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00" windowHeight="1185"/>
  </bookViews>
  <sheets>
    <sheet name="Смета 12 гр. по ФЕР" sheetId="5" r:id="rId1"/>
    <sheet name="Акт КС-2 c НР и СП" sheetId="6" r:id="rId2"/>
    <sheet name="Макет форма-3" sheetId="7" r:id="rId3"/>
    <sheet name="Source" sheetId="1" r:id="rId4"/>
    <sheet name="SourceObSm" sheetId="2" r:id="rId5"/>
    <sheet name="SmtRes" sheetId="3" r:id="rId6"/>
    <sheet name="EtalonRes" sheetId="4" r:id="rId7"/>
  </sheets>
  <definedNames>
    <definedName name="_xlnm.Print_Titles" localSheetId="1">'Акт КС-2 c НР и СП'!$35:$35</definedName>
    <definedName name="_xlnm.Print_Titles" localSheetId="0">'Смета 12 гр. по ФЕР'!$31:$31</definedName>
    <definedName name="_xlnm.Print_Area" localSheetId="1">'Акт КС-2 c НР и СП'!$A$1:$H$1784</definedName>
    <definedName name="_xlnm.Print_Area" localSheetId="0">'Смета 12 гр. по ФЕР'!$A$1:$L$1241</definedName>
  </definedNames>
  <calcPr calcId="144525"/>
</workbook>
</file>

<file path=xl/calcChain.xml><?xml version="1.0" encoding="utf-8"?>
<calcChain xmlns="http://schemas.openxmlformats.org/spreadsheetml/2006/main">
  <c r="A1" i="7" l="1"/>
  <c r="G1779" i="6"/>
  <c r="G1774" i="6"/>
  <c r="C1779" i="6"/>
  <c r="C1774" i="6"/>
  <c r="G1771" i="6"/>
  <c r="C1771" i="6"/>
  <c r="G1770" i="6"/>
  <c r="C1770" i="6"/>
  <c r="G1769" i="6"/>
  <c r="C1769" i="6"/>
  <c r="AG1767" i="6"/>
  <c r="H1767" i="6"/>
  <c r="C1767" i="6"/>
  <c r="G1765" i="6"/>
  <c r="C1765" i="6"/>
  <c r="G1764" i="6"/>
  <c r="C1764" i="6"/>
  <c r="G1763" i="6"/>
  <c r="C1763" i="6"/>
  <c r="H1760" i="6"/>
  <c r="C1760" i="6"/>
  <c r="G1758" i="6"/>
  <c r="C1758" i="6"/>
  <c r="G1757" i="6"/>
  <c r="C1757" i="6"/>
  <c r="G1756" i="6"/>
  <c r="C1756" i="6"/>
  <c r="H1753" i="6"/>
  <c r="C1753" i="6"/>
  <c r="H1751" i="6"/>
  <c r="G1751" i="6"/>
  <c r="H1750" i="6"/>
  <c r="G1750" i="6"/>
  <c r="H1749" i="6"/>
  <c r="G1749" i="6"/>
  <c r="F1749" i="6"/>
  <c r="H1748" i="6"/>
  <c r="G1748" i="6"/>
  <c r="H1747" i="6"/>
  <c r="G1747" i="6"/>
  <c r="F1747" i="6"/>
  <c r="D1741" i="6"/>
  <c r="D1740" i="6"/>
  <c r="D1739" i="6"/>
  <c r="D1738" i="6"/>
  <c r="AB1737" i="6"/>
  <c r="AA1737" i="6"/>
  <c r="Z1737" i="6"/>
  <c r="Y1737" i="6"/>
  <c r="X1737" i="6"/>
  <c r="W1737" i="6"/>
  <c r="V1737" i="6"/>
  <c r="U1737" i="6"/>
  <c r="T1737" i="6"/>
  <c r="H1737" i="6"/>
  <c r="G1737" i="6"/>
  <c r="F1737" i="6"/>
  <c r="E1737" i="6"/>
  <c r="C1737" i="6"/>
  <c r="D1737" i="6"/>
  <c r="B1737" i="6"/>
  <c r="H1736" i="6"/>
  <c r="G1736" i="6"/>
  <c r="H1735" i="6"/>
  <c r="G1735" i="6"/>
  <c r="H1734" i="6"/>
  <c r="G1734" i="6"/>
  <c r="F1734" i="6"/>
  <c r="H1733" i="6"/>
  <c r="G1733" i="6"/>
  <c r="H1732" i="6"/>
  <c r="G1732" i="6"/>
  <c r="F1732" i="6"/>
  <c r="D1726" i="6"/>
  <c r="D1725" i="6"/>
  <c r="D1724" i="6"/>
  <c r="D1723" i="6"/>
  <c r="C1722" i="6"/>
  <c r="AB1721" i="6"/>
  <c r="AA1721" i="6"/>
  <c r="Z1721" i="6"/>
  <c r="Y1721" i="6"/>
  <c r="X1721" i="6"/>
  <c r="W1721" i="6"/>
  <c r="V1721" i="6"/>
  <c r="U1721" i="6"/>
  <c r="T1721" i="6"/>
  <c r="H1721" i="6"/>
  <c r="G1721" i="6"/>
  <c r="F1721" i="6"/>
  <c r="E1721" i="6"/>
  <c r="C1721" i="6"/>
  <c r="D1721" i="6"/>
  <c r="B1721" i="6"/>
  <c r="D1720" i="6"/>
  <c r="AB1719" i="6"/>
  <c r="AA1719" i="6"/>
  <c r="Z1719" i="6"/>
  <c r="Y1719" i="6"/>
  <c r="X1719" i="6"/>
  <c r="W1719" i="6"/>
  <c r="V1719" i="6"/>
  <c r="U1719" i="6"/>
  <c r="T1719" i="6"/>
  <c r="H1719" i="6"/>
  <c r="G1719" i="6"/>
  <c r="F1719" i="6"/>
  <c r="E1719" i="6"/>
  <c r="C1719" i="6"/>
  <c r="D1719" i="6"/>
  <c r="B1719" i="6"/>
  <c r="D1718" i="6"/>
  <c r="AB1717" i="6"/>
  <c r="AA1717" i="6"/>
  <c r="Z1717" i="6"/>
  <c r="Y1717" i="6"/>
  <c r="X1717" i="6"/>
  <c r="W1717" i="6"/>
  <c r="V1717" i="6"/>
  <c r="U1717" i="6"/>
  <c r="T1717" i="6"/>
  <c r="H1717" i="6"/>
  <c r="G1717" i="6"/>
  <c r="F1717" i="6"/>
  <c r="E1717" i="6"/>
  <c r="C1717" i="6"/>
  <c r="D1717" i="6"/>
  <c r="B1717" i="6"/>
  <c r="D1716" i="6"/>
  <c r="AB1715" i="6"/>
  <c r="AA1715" i="6"/>
  <c r="Z1715" i="6"/>
  <c r="Y1715" i="6"/>
  <c r="X1715" i="6"/>
  <c r="W1715" i="6"/>
  <c r="V1715" i="6"/>
  <c r="U1715" i="6"/>
  <c r="T1715" i="6"/>
  <c r="H1715" i="6"/>
  <c r="G1715" i="6"/>
  <c r="F1715" i="6"/>
  <c r="E1715" i="6"/>
  <c r="C1715" i="6"/>
  <c r="D1715" i="6"/>
  <c r="B1715" i="6"/>
  <c r="D1714" i="6"/>
  <c r="AB1713" i="6"/>
  <c r="AA1713" i="6"/>
  <c r="Z1713" i="6"/>
  <c r="Y1713" i="6"/>
  <c r="X1713" i="6"/>
  <c r="W1713" i="6"/>
  <c r="V1713" i="6"/>
  <c r="U1713" i="6"/>
  <c r="T1713" i="6"/>
  <c r="H1713" i="6"/>
  <c r="G1713" i="6"/>
  <c r="F1713" i="6"/>
  <c r="E1713" i="6"/>
  <c r="C1713" i="6"/>
  <c r="D1713" i="6"/>
  <c r="B1713" i="6"/>
  <c r="H1712" i="6"/>
  <c r="G1712" i="6"/>
  <c r="H1711" i="6"/>
  <c r="G1711" i="6"/>
  <c r="H1710" i="6"/>
  <c r="G1710" i="6"/>
  <c r="F1710" i="6"/>
  <c r="H1709" i="6"/>
  <c r="G1709" i="6"/>
  <c r="H1708" i="6"/>
  <c r="G1708" i="6"/>
  <c r="F1708" i="6"/>
  <c r="D1702" i="6"/>
  <c r="D1701" i="6"/>
  <c r="D1700" i="6"/>
  <c r="D1699" i="6"/>
  <c r="C1698" i="6"/>
  <c r="AB1697" i="6"/>
  <c r="AA1697" i="6"/>
  <c r="Z1697" i="6"/>
  <c r="Y1697" i="6"/>
  <c r="X1697" i="6"/>
  <c r="W1697" i="6"/>
  <c r="V1697" i="6"/>
  <c r="U1697" i="6"/>
  <c r="T1697" i="6"/>
  <c r="H1697" i="6"/>
  <c r="G1697" i="6"/>
  <c r="F1697" i="6"/>
  <c r="E1697" i="6"/>
  <c r="C1697" i="6"/>
  <c r="D1697" i="6"/>
  <c r="B1697" i="6"/>
  <c r="H1696" i="6"/>
  <c r="G1696" i="6"/>
  <c r="H1695" i="6"/>
  <c r="G1695" i="6"/>
  <c r="F1695" i="6"/>
  <c r="H1694" i="6"/>
  <c r="G1694" i="6"/>
  <c r="F1694" i="6"/>
  <c r="D1693" i="6"/>
  <c r="D1692" i="6"/>
  <c r="D1691" i="6"/>
  <c r="D1690" i="6"/>
  <c r="C1689" i="6"/>
  <c r="AB1688" i="6"/>
  <c r="AA1688" i="6"/>
  <c r="Z1688" i="6"/>
  <c r="Y1688" i="6"/>
  <c r="X1688" i="6"/>
  <c r="W1688" i="6"/>
  <c r="V1688" i="6"/>
  <c r="U1688" i="6"/>
  <c r="T1688" i="6"/>
  <c r="H1688" i="6"/>
  <c r="G1688" i="6"/>
  <c r="F1688" i="6"/>
  <c r="E1688" i="6"/>
  <c r="C1688" i="6"/>
  <c r="D1688" i="6"/>
  <c r="B1688" i="6"/>
  <c r="H1687" i="6"/>
  <c r="G1687" i="6"/>
  <c r="H1686" i="6"/>
  <c r="G1686" i="6"/>
  <c r="F1686" i="6"/>
  <c r="H1685" i="6"/>
  <c r="G1685" i="6"/>
  <c r="F1685" i="6"/>
  <c r="D1684" i="6"/>
  <c r="D1683" i="6"/>
  <c r="D1682" i="6"/>
  <c r="D1681" i="6"/>
  <c r="C1680" i="6"/>
  <c r="AB1679" i="6"/>
  <c r="AA1679" i="6"/>
  <c r="Z1679" i="6"/>
  <c r="Y1679" i="6"/>
  <c r="X1679" i="6"/>
  <c r="W1679" i="6"/>
  <c r="V1679" i="6"/>
  <c r="U1679" i="6"/>
  <c r="T1679" i="6"/>
  <c r="H1679" i="6"/>
  <c r="G1679" i="6"/>
  <c r="F1679" i="6"/>
  <c r="E1679" i="6"/>
  <c r="C1679" i="6"/>
  <c r="D1679" i="6"/>
  <c r="B1679" i="6"/>
  <c r="D1678" i="6"/>
  <c r="AB1677" i="6"/>
  <c r="AA1677" i="6"/>
  <c r="Z1677" i="6"/>
  <c r="Y1677" i="6"/>
  <c r="X1677" i="6"/>
  <c r="W1677" i="6"/>
  <c r="V1677" i="6"/>
  <c r="U1677" i="6"/>
  <c r="T1677" i="6"/>
  <c r="H1677" i="6"/>
  <c r="G1677" i="6"/>
  <c r="F1677" i="6"/>
  <c r="E1677" i="6"/>
  <c r="C1677" i="6"/>
  <c r="D1677" i="6"/>
  <c r="B1677" i="6"/>
  <c r="D1676" i="6"/>
  <c r="AB1675" i="6"/>
  <c r="AA1675" i="6"/>
  <c r="Z1675" i="6"/>
  <c r="Y1675" i="6"/>
  <c r="X1675" i="6"/>
  <c r="W1675" i="6"/>
  <c r="V1675" i="6"/>
  <c r="U1675" i="6"/>
  <c r="T1675" i="6"/>
  <c r="H1675" i="6"/>
  <c r="G1675" i="6"/>
  <c r="F1675" i="6"/>
  <c r="E1675" i="6"/>
  <c r="C1675" i="6"/>
  <c r="D1675" i="6"/>
  <c r="B1675" i="6"/>
  <c r="H1674" i="6"/>
  <c r="G1674" i="6"/>
  <c r="H1673" i="6"/>
  <c r="G1673" i="6"/>
  <c r="H1672" i="6"/>
  <c r="G1672" i="6"/>
  <c r="F1672" i="6"/>
  <c r="H1671" i="6"/>
  <c r="G1671" i="6"/>
  <c r="H1670" i="6"/>
  <c r="G1670" i="6"/>
  <c r="F1670" i="6"/>
  <c r="D1664" i="6"/>
  <c r="D1663" i="6"/>
  <c r="D1662" i="6"/>
  <c r="D1661" i="6"/>
  <c r="AB1660" i="6"/>
  <c r="AA1660" i="6"/>
  <c r="Z1660" i="6"/>
  <c r="Y1660" i="6"/>
  <c r="X1660" i="6"/>
  <c r="W1660" i="6"/>
  <c r="V1660" i="6"/>
  <c r="U1660" i="6"/>
  <c r="T1660" i="6"/>
  <c r="H1660" i="6"/>
  <c r="G1660" i="6"/>
  <c r="F1660" i="6"/>
  <c r="E1660" i="6"/>
  <c r="C1660" i="6"/>
  <c r="D1660" i="6"/>
  <c r="B1660" i="6"/>
  <c r="D1659" i="6"/>
  <c r="AB1658" i="6"/>
  <c r="AA1658" i="6"/>
  <c r="Z1658" i="6"/>
  <c r="Y1658" i="6"/>
  <c r="X1658" i="6"/>
  <c r="W1658" i="6"/>
  <c r="V1658" i="6"/>
  <c r="U1658" i="6"/>
  <c r="T1658" i="6"/>
  <c r="H1658" i="6"/>
  <c r="G1658" i="6"/>
  <c r="F1658" i="6"/>
  <c r="E1658" i="6"/>
  <c r="C1658" i="6"/>
  <c r="D1658" i="6"/>
  <c r="B1658" i="6"/>
  <c r="D1657" i="6"/>
  <c r="AB1656" i="6"/>
  <c r="AA1656" i="6"/>
  <c r="Z1656" i="6"/>
  <c r="Y1656" i="6"/>
  <c r="X1656" i="6"/>
  <c r="W1656" i="6"/>
  <c r="V1656" i="6"/>
  <c r="U1656" i="6"/>
  <c r="T1656" i="6"/>
  <c r="H1656" i="6"/>
  <c r="G1656" i="6"/>
  <c r="F1656" i="6"/>
  <c r="E1656" i="6"/>
  <c r="C1656" i="6"/>
  <c r="D1656" i="6"/>
  <c r="B1656" i="6"/>
  <c r="H1655" i="6"/>
  <c r="G1655" i="6"/>
  <c r="H1654" i="6"/>
  <c r="G1654" i="6"/>
  <c r="H1653" i="6"/>
  <c r="G1653" i="6"/>
  <c r="F1653" i="6"/>
  <c r="H1652" i="6"/>
  <c r="G1652" i="6"/>
  <c r="H1651" i="6"/>
  <c r="G1651" i="6"/>
  <c r="F1651" i="6"/>
  <c r="D1645" i="6"/>
  <c r="D1644" i="6"/>
  <c r="D1643" i="6"/>
  <c r="D1642" i="6"/>
  <c r="C1641" i="6"/>
  <c r="AB1640" i="6"/>
  <c r="AA1640" i="6"/>
  <c r="Z1640" i="6"/>
  <c r="Y1640" i="6"/>
  <c r="X1640" i="6"/>
  <c r="W1640" i="6"/>
  <c r="V1640" i="6"/>
  <c r="U1640" i="6"/>
  <c r="T1640" i="6"/>
  <c r="H1640" i="6"/>
  <c r="G1640" i="6"/>
  <c r="F1640" i="6"/>
  <c r="E1640" i="6"/>
  <c r="C1640" i="6"/>
  <c r="D1640" i="6"/>
  <c r="B1640" i="6"/>
  <c r="D1639" i="6"/>
  <c r="AB1638" i="6"/>
  <c r="AA1638" i="6"/>
  <c r="Z1638" i="6"/>
  <c r="Y1638" i="6"/>
  <c r="X1638" i="6"/>
  <c r="W1638" i="6"/>
  <c r="V1638" i="6"/>
  <c r="U1638" i="6"/>
  <c r="T1638" i="6"/>
  <c r="H1638" i="6"/>
  <c r="G1638" i="6"/>
  <c r="F1638" i="6"/>
  <c r="E1638" i="6"/>
  <c r="C1638" i="6"/>
  <c r="D1638" i="6"/>
  <c r="B1638" i="6"/>
  <c r="D1637" i="6"/>
  <c r="AB1636" i="6"/>
  <c r="AA1636" i="6"/>
  <c r="Z1636" i="6"/>
  <c r="Y1636" i="6"/>
  <c r="X1636" i="6"/>
  <c r="W1636" i="6"/>
  <c r="V1636" i="6"/>
  <c r="U1636" i="6"/>
  <c r="T1636" i="6"/>
  <c r="H1636" i="6"/>
  <c r="G1636" i="6"/>
  <c r="F1636" i="6"/>
  <c r="E1636" i="6"/>
  <c r="C1636" i="6"/>
  <c r="D1636" i="6"/>
  <c r="B1636" i="6"/>
  <c r="H1635" i="6"/>
  <c r="G1635" i="6"/>
  <c r="H1634" i="6"/>
  <c r="G1634" i="6"/>
  <c r="H1633" i="6"/>
  <c r="G1633" i="6"/>
  <c r="F1633" i="6"/>
  <c r="H1632" i="6"/>
  <c r="G1632" i="6"/>
  <c r="H1631" i="6"/>
  <c r="G1631" i="6"/>
  <c r="F1631" i="6"/>
  <c r="D1625" i="6"/>
  <c r="D1624" i="6"/>
  <c r="D1623" i="6"/>
  <c r="D1622" i="6"/>
  <c r="C1621" i="6"/>
  <c r="AB1620" i="6"/>
  <c r="AA1620" i="6"/>
  <c r="Z1620" i="6"/>
  <c r="Y1620" i="6"/>
  <c r="X1620" i="6"/>
  <c r="W1620" i="6"/>
  <c r="V1620" i="6"/>
  <c r="U1620" i="6"/>
  <c r="T1620" i="6"/>
  <c r="H1620" i="6"/>
  <c r="G1620" i="6"/>
  <c r="F1620" i="6"/>
  <c r="E1620" i="6"/>
  <c r="C1620" i="6"/>
  <c r="D1620" i="6"/>
  <c r="B1620" i="6"/>
  <c r="D1619" i="6"/>
  <c r="AB1618" i="6"/>
  <c r="AA1618" i="6"/>
  <c r="Z1618" i="6"/>
  <c r="Y1618" i="6"/>
  <c r="X1618" i="6"/>
  <c r="W1618" i="6"/>
  <c r="V1618" i="6"/>
  <c r="U1618" i="6"/>
  <c r="T1618" i="6"/>
  <c r="H1618" i="6"/>
  <c r="G1618" i="6"/>
  <c r="F1618" i="6"/>
  <c r="E1618" i="6"/>
  <c r="C1618" i="6"/>
  <c r="D1618" i="6"/>
  <c r="B1618" i="6"/>
  <c r="D1617" i="6"/>
  <c r="AB1616" i="6"/>
  <c r="AA1616" i="6"/>
  <c r="Z1616" i="6"/>
  <c r="Y1616" i="6"/>
  <c r="X1616" i="6"/>
  <c r="W1616" i="6"/>
  <c r="V1616" i="6"/>
  <c r="U1616" i="6"/>
  <c r="T1616" i="6"/>
  <c r="H1616" i="6"/>
  <c r="G1616" i="6"/>
  <c r="F1616" i="6"/>
  <c r="E1616" i="6"/>
  <c r="C1616" i="6"/>
  <c r="D1616" i="6"/>
  <c r="B1616" i="6"/>
  <c r="H1615" i="6"/>
  <c r="G1615" i="6"/>
  <c r="H1614" i="6"/>
  <c r="G1614" i="6"/>
  <c r="H1613" i="6"/>
  <c r="G1613" i="6"/>
  <c r="F1613" i="6"/>
  <c r="H1612" i="6"/>
  <c r="G1612" i="6"/>
  <c r="H1611" i="6"/>
  <c r="G1611" i="6"/>
  <c r="F1611" i="6"/>
  <c r="D1605" i="6"/>
  <c r="D1604" i="6"/>
  <c r="D1603" i="6"/>
  <c r="D1602" i="6"/>
  <c r="C1601" i="6"/>
  <c r="AB1600" i="6"/>
  <c r="AA1600" i="6"/>
  <c r="Z1600" i="6"/>
  <c r="Y1600" i="6"/>
  <c r="X1600" i="6"/>
  <c r="W1600" i="6"/>
  <c r="V1600" i="6"/>
  <c r="U1600" i="6"/>
  <c r="T1600" i="6"/>
  <c r="H1600" i="6"/>
  <c r="G1600" i="6"/>
  <c r="F1600" i="6"/>
  <c r="E1600" i="6"/>
  <c r="C1600" i="6"/>
  <c r="D1600" i="6"/>
  <c r="B1600" i="6"/>
  <c r="H1599" i="6"/>
  <c r="G1599" i="6"/>
  <c r="H1598" i="6"/>
  <c r="G1598" i="6"/>
  <c r="F1598" i="6"/>
  <c r="H1597" i="6"/>
  <c r="G1597" i="6"/>
  <c r="F1597" i="6"/>
  <c r="D1595" i="6"/>
  <c r="D1594" i="6"/>
  <c r="D1593" i="6"/>
  <c r="D1592" i="6"/>
  <c r="C1591" i="6"/>
  <c r="AB1590" i="6"/>
  <c r="AA1590" i="6"/>
  <c r="Z1590" i="6"/>
  <c r="Y1590" i="6"/>
  <c r="X1590" i="6"/>
  <c r="W1590" i="6"/>
  <c r="V1590" i="6"/>
  <c r="U1590" i="6"/>
  <c r="T1590" i="6"/>
  <c r="H1590" i="6"/>
  <c r="G1590" i="6"/>
  <c r="F1590" i="6"/>
  <c r="E1590" i="6"/>
  <c r="C1590" i="6"/>
  <c r="D1590" i="6"/>
  <c r="B1590" i="6"/>
  <c r="A1589" i="6"/>
  <c r="G1587" i="6"/>
  <c r="C1587" i="6"/>
  <c r="G1586" i="6"/>
  <c r="C1586" i="6"/>
  <c r="G1585" i="6"/>
  <c r="C1585" i="6"/>
  <c r="H1582" i="6"/>
  <c r="C1582" i="6"/>
  <c r="H1580" i="6"/>
  <c r="G1580" i="6"/>
  <c r="H1579" i="6"/>
  <c r="G1579" i="6"/>
  <c r="H1578" i="6"/>
  <c r="G1578" i="6"/>
  <c r="F1578" i="6"/>
  <c r="H1577" i="6"/>
  <c r="G1577" i="6"/>
  <c r="H1576" i="6"/>
  <c r="G1576" i="6"/>
  <c r="F1576" i="6"/>
  <c r="D1570" i="6"/>
  <c r="D1569" i="6"/>
  <c r="D1568" i="6"/>
  <c r="D1567" i="6"/>
  <c r="AB1566" i="6"/>
  <c r="AA1566" i="6"/>
  <c r="Z1566" i="6"/>
  <c r="Y1566" i="6"/>
  <c r="X1566" i="6"/>
  <c r="W1566" i="6"/>
  <c r="V1566" i="6"/>
  <c r="U1566" i="6"/>
  <c r="T1566" i="6"/>
  <c r="H1566" i="6"/>
  <c r="G1566" i="6"/>
  <c r="F1566" i="6"/>
  <c r="E1566" i="6"/>
  <c r="C1566" i="6"/>
  <c r="D1566" i="6"/>
  <c r="B1566" i="6"/>
  <c r="H1565" i="6"/>
  <c r="G1565" i="6"/>
  <c r="H1564" i="6"/>
  <c r="G1564" i="6"/>
  <c r="H1563" i="6"/>
  <c r="G1563" i="6"/>
  <c r="F1563" i="6"/>
  <c r="H1562" i="6"/>
  <c r="G1562" i="6"/>
  <c r="H1561" i="6"/>
  <c r="G1561" i="6"/>
  <c r="F1561" i="6"/>
  <c r="D1555" i="6"/>
  <c r="D1554" i="6"/>
  <c r="D1553" i="6"/>
  <c r="D1552" i="6"/>
  <c r="AB1551" i="6"/>
  <c r="AA1551" i="6"/>
  <c r="Z1551" i="6"/>
  <c r="Y1551" i="6"/>
  <c r="X1551" i="6"/>
  <c r="W1551" i="6"/>
  <c r="V1551" i="6"/>
  <c r="U1551" i="6"/>
  <c r="T1551" i="6"/>
  <c r="H1551" i="6"/>
  <c r="G1551" i="6"/>
  <c r="F1551" i="6"/>
  <c r="E1551" i="6"/>
  <c r="C1551" i="6"/>
  <c r="D1551" i="6"/>
  <c r="B1551" i="6"/>
  <c r="D1550" i="6"/>
  <c r="AB1549" i="6"/>
  <c r="AA1549" i="6"/>
  <c r="Z1549" i="6"/>
  <c r="Y1549" i="6"/>
  <c r="X1549" i="6"/>
  <c r="W1549" i="6"/>
  <c r="V1549" i="6"/>
  <c r="U1549" i="6"/>
  <c r="T1549" i="6"/>
  <c r="H1549" i="6"/>
  <c r="G1549" i="6"/>
  <c r="F1549" i="6"/>
  <c r="E1549" i="6"/>
  <c r="C1549" i="6"/>
  <c r="D1549" i="6"/>
  <c r="B1549" i="6"/>
  <c r="D1548" i="6"/>
  <c r="AB1547" i="6"/>
  <c r="AA1547" i="6"/>
  <c r="Z1547" i="6"/>
  <c r="Y1547" i="6"/>
  <c r="X1547" i="6"/>
  <c r="W1547" i="6"/>
  <c r="V1547" i="6"/>
  <c r="U1547" i="6"/>
  <c r="T1547" i="6"/>
  <c r="H1547" i="6"/>
  <c r="G1547" i="6"/>
  <c r="F1547" i="6"/>
  <c r="E1547" i="6"/>
  <c r="C1547" i="6"/>
  <c r="D1547" i="6"/>
  <c r="B1547" i="6"/>
  <c r="H1546" i="6"/>
  <c r="G1546" i="6"/>
  <c r="H1545" i="6"/>
  <c r="G1545" i="6"/>
  <c r="H1544" i="6"/>
  <c r="G1544" i="6"/>
  <c r="F1544" i="6"/>
  <c r="H1543" i="6"/>
  <c r="G1543" i="6"/>
  <c r="H1542" i="6"/>
  <c r="G1542" i="6"/>
  <c r="F1542" i="6"/>
  <c r="D1536" i="6"/>
  <c r="D1535" i="6"/>
  <c r="D1534" i="6"/>
  <c r="D1533" i="6"/>
  <c r="C1532" i="6"/>
  <c r="AB1531" i="6"/>
  <c r="AA1531" i="6"/>
  <c r="Z1531" i="6"/>
  <c r="Y1531" i="6"/>
  <c r="X1531" i="6"/>
  <c r="W1531" i="6"/>
  <c r="V1531" i="6"/>
  <c r="U1531" i="6"/>
  <c r="T1531" i="6"/>
  <c r="H1531" i="6"/>
  <c r="G1531" i="6"/>
  <c r="F1531" i="6"/>
  <c r="E1531" i="6"/>
  <c r="C1531" i="6"/>
  <c r="D1531" i="6"/>
  <c r="B1531" i="6"/>
  <c r="D1530" i="6"/>
  <c r="AB1529" i="6"/>
  <c r="AA1529" i="6"/>
  <c r="Z1529" i="6"/>
  <c r="Y1529" i="6"/>
  <c r="X1529" i="6"/>
  <c r="W1529" i="6"/>
  <c r="V1529" i="6"/>
  <c r="U1529" i="6"/>
  <c r="T1529" i="6"/>
  <c r="H1529" i="6"/>
  <c r="G1529" i="6"/>
  <c r="F1529" i="6"/>
  <c r="E1529" i="6"/>
  <c r="C1529" i="6"/>
  <c r="D1529" i="6"/>
  <c r="B1529" i="6"/>
  <c r="D1528" i="6"/>
  <c r="AB1527" i="6"/>
  <c r="AA1527" i="6"/>
  <c r="Z1527" i="6"/>
  <c r="Y1527" i="6"/>
  <c r="X1527" i="6"/>
  <c r="W1527" i="6"/>
  <c r="V1527" i="6"/>
  <c r="U1527" i="6"/>
  <c r="T1527" i="6"/>
  <c r="H1527" i="6"/>
  <c r="G1527" i="6"/>
  <c r="F1527" i="6"/>
  <c r="E1527" i="6"/>
  <c r="C1527" i="6"/>
  <c r="D1527" i="6"/>
  <c r="B1527" i="6"/>
  <c r="H1526" i="6"/>
  <c r="G1526" i="6"/>
  <c r="H1525" i="6"/>
  <c r="G1525" i="6"/>
  <c r="H1524" i="6"/>
  <c r="G1524" i="6"/>
  <c r="F1524" i="6"/>
  <c r="H1523" i="6"/>
  <c r="G1523" i="6"/>
  <c r="H1522" i="6"/>
  <c r="G1522" i="6"/>
  <c r="F1522" i="6"/>
  <c r="D1516" i="6"/>
  <c r="D1515" i="6"/>
  <c r="D1514" i="6"/>
  <c r="D1513" i="6"/>
  <c r="C1512" i="6"/>
  <c r="AB1511" i="6"/>
  <c r="AA1511" i="6"/>
  <c r="Z1511" i="6"/>
  <c r="Y1511" i="6"/>
  <c r="X1511" i="6"/>
  <c r="W1511" i="6"/>
  <c r="V1511" i="6"/>
  <c r="U1511" i="6"/>
  <c r="T1511" i="6"/>
  <c r="H1511" i="6"/>
  <c r="G1511" i="6"/>
  <c r="F1511" i="6"/>
  <c r="E1511" i="6"/>
  <c r="C1511" i="6"/>
  <c r="D1511" i="6"/>
  <c r="B1511" i="6"/>
  <c r="D1510" i="6"/>
  <c r="AB1509" i="6"/>
  <c r="AA1509" i="6"/>
  <c r="Z1509" i="6"/>
  <c r="Y1509" i="6"/>
  <c r="X1509" i="6"/>
  <c r="W1509" i="6"/>
  <c r="V1509" i="6"/>
  <c r="U1509" i="6"/>
  <c r="T1509" i="6"/>
  <c r="H1509" i="6"/>
  <c r="G1509" i="6"/>
  <c r="F1509" i="6"/>
  <c r="E1509" i="6"/>
  <c r="C1509" i="6"/>
  <c r="D1509" i="6"/>
  <c r="B1509" i="6"/>
  <c r="H1508" i="6"/>
  <c r="G1508" i="6"/>
  <c r="H1507" i="6"/>
  <c r="G1507" i="6"/>
  <c r="H1506" i="6"/>
  <c r="G1506" i="6"/>
  <c r="F1506" i="6"/>
  <c r="H1505" i="6"/>
  <c r="G1505" i="6"/>
  <c r="H1504" i="6"/>
  <c r="G1504" i="6"/>
  <c r="F1504" i="6"/>
  <c r="D1498" i="6"/>
  <c r="D1497" i="6"/>
  <c r="D1496" i="6"/>
  <c r="D1495" i="6"/>
  <c r="C1494" i="6"/>
  <c r="AB1493" i="6"/>
  <c r="AA1493" i="6"/>
  <c r="Z1493" i="6"/>
  <c r="Y1493" i="6"/>
  <c r="X1493" i="6"/>
  <c r="W1493" i="6"/>
  <c r="V1493" i="6"/>
  <c r="U1493" i="6"/>
  <c r="T1493" i="6"/>
  <c r="H1493" i="6"/>
  <c r="G1493" i="6"/>
  <c r="F1493" i="6"/>
  <c r="E1493" i="6"/>
  <c r="C1493" i="6"/>
  <c r="D1493" i="6"/>
  <c r="B1493" i="6"/>
  <c r="D1492" i="6"/>
  <c r="AB1491" i="6"/>
  <c r="AA1491" i="6"/>
  <c r="Z1491" i="6"/>
  <c r="Y1491" i="6"/>
  <c r="X1491" i="6"/>
  <c r="W1491" i="6"/>
  <c r="V1491" i="6"/>
  <c r="U1491" i="6"/>
  <c r="T1491" i="6"/>
  <c r="H1491" i="6"/>
  <c r="G1491" i="6"/>
  <c r="F1491" i="6"/>
  <c r="E1491" i="6"/>
  <c r="C1491" i="6"/>
  <c r="D1491" i="6"/>
  <c r="B1491" i="6"/>
  <c r="D1490" i="6"/>
  <c r="AB1489" i="6"/>
  <c r="AA1489" i="6"/>
  <c r="Z1489" i="6"/>
  <c r="Y1489" i="6"/>
  <c r="X1489" i="6"/>
  <c r="W1489" i="6"/>
  <c r="V1489" i="6"/>
  <c r="U1489" i="6"/>
  <c r="T1489" i="6"/>
  <c r="H1489" i="6"/>
  <c r="G1489" i="6"/>
  <c r="F1489" i="6"/>
  <c r="E1489" i="6"/>
  <c r="C1489" i="6"/>
  <c r="D1489" i="6"/>
  <c r="B1489" i="6"/>
  <c r="D1488" i="6"/>
  <c r="AB1487" i="6"/>
  <c r="AA1487" i="6"/>
  <c r="Z1487" i="6"/>
  <c r="Y1487" i="6"/>
  <c r="X1487" i="6"/>
  <c r="W1487" i="6"/>
  <c r="V1487" i="6"/>
  <c r="U1487" i="6"/>
  <c r="T1487" i="6"/>
  <c r="H1487" i="6"/>
  <c r="G1487" i="6"/>
  <c r="F1487" i="6"/>
  <c r="E1487" i="6"/>
  <c r="C1487" i="6"/>
  <c r="D1487" i="6"/>
  <c r="B1487" i="6"/>
  <c r="H1486" i="6"/>
  <c r="G1486" i="6"/>
  <c r="H1485" i="6"/>
  <c r="G1485" i="6"/>
  <c r="H1484" i="6"/>
  <c r="G1484" i="6"/>
  <c r="F1484" i="6"/>
  <c r="H1483" i="6"/>
  <c r="G1483" i="6"/>
  <c r="H1482" i="6"/>
  <c r="G1482" i="6"/>
  <c r="F1482" i="6"/>
  <c r="D1476" i="6"/>
  <c r="D1475" i="6"/>
  <c r="D1474" i="6"/>
  <c r="D1473" i="6"/>
  <c r="C1472" i="6"/>
  <c r="AB1471" i="6"/>
  <c r="AA1471" i="6"/>
  <c r="Z1471" i="6"/>
  <c r="Y1471" i="6"/>
  <c r="X1471" i="6"/>
  <c r="W1471" i="6"/>
  <c r="V1471" i="6"/>
  <c r="U1471" i="6"/>
  <c r="T1471" i="6"/>
  <c r="H1471" i="6"/>
  <c r="G1471" i="6"/>
  <c r="F1471" i="6"/>
  <c r="E1471" i="6"/>
  <c r="C1471" i="6"/>
  <c r="D1471" i="6"/>
  <c r="B1471" i="6"/>
  <c r="D1470" i="6"/>
  <c r="AB1469" i="6"/>
  <c r="AA1469" i="6"/>
  <c r="Z1469" i="6"/>
  <c r="Y1469" i="6"/>
  <c r="X1469" i="6"/>
  <c r="W1469" i="6"/>
  <c r="V1469" i="6"/>
  <c r="U1469" i="6"/>
  <c r="T1469" i="6"/>
  <c r="H1469" i="6"/>
  <c r="G1469" i="6"/>
  <c r="F1469" i="6"/>
  <c r="E1469" i="6"/>
  <c r="C1469" i="6"/>
  <c r="D1469" i="6"/>
  <c r="B1469" i="6"/>
  <c r="H1468" i="6"/>
  <c r="G1468" i="6"/>
  <c r="H1467" i="6"/>
  <c r="G1467" i="6"/>
  <c r="H1466" i="6"/>
  <c r="G1466" i="6"/>
  <c r="F1466" i="6"/>
  <c r="H1465" i="6"/>
  <c r="G1465" i="6"/>
  <c r="H1464" i="6"/>
  <c r="G1464" i="6"/>
  <c r="F1464" i="6"/>
  <c r="D1458" i="6"/>
  <c r="D1457" i="6"/>
  <c r="D1456" i="6"/>
  <c r="D1455" i="6"/>
  <c r="C1454" i="6"/>
  <c r="AB1453" i="6"/>
  <c r="AA1453" i="6"/>
  <c r="Z1453" i="6"/>
  <c r="Y1453" i="6"/>
  <c r="X1453" i="6"/>
  <c r="W1453" i="6"/>
  <c r="V1453" i="6"/>
  <c r="U1453" i="6"/>
  <c r="T1453" i="6"/>
  <c r="H1453" i="6"/>
  <c r="G1453" i="6"/>
  <c r="F1453" i="6"/>
  <c r="E1453" i="6"/>
  <c r="C1453" i="6"/>
  <c r="D1453" i="6"/>
  <c r="B1453" i="6"/>
  <c r="D1452" i="6"/>
  <c r="AB1451" i="6"/>
  <c r="AA1451" i="6"/>
  <c r="Z1451" i="6"/>
  <c r="Y1451" i="6"/>
  <c r="X1451" i="6"/>
  <c r="W1451" i="6"/>
  <c r="V1451" i="6"/>
  <c r="U1451" i="6"/>
  <c r="T1451" i="6"/>
  <c r="H1451" i="6"/>
  <c r="G1451" i="6"/>
  <c r="F1451" i="6"/>
  <c r="E1451" i="6"/>
  <c r="C1451" i="6"/>
  <c r="D1451" i="6"/>
  <c r="B1451" i="6"/>
  <c r="D1450" i="6"/>
  <c r="AB1449" i="6"/>
  <c r="AA1449" i="6"/>
  <c r="Z1449" i="6"/>
  <c r="Y1449" i="6"/>
  <c r="X1449" i="6"/>
  <c r="W1449" i="6"/>
  <c r="V1449" i="6"/>
  <c r="U1449" i="6"/>
  <c r="T1449" i="6"/>
  <c r="H1449" i="6"/>
  <c r="G1449" i="6"/>
  <c r="F1449" i="6"/>
  <c r="E1449" i="6"/>
  <c r="C1449" i="6"/>
  <c r="D1449" i="6"/>
  <c r="B1449" i="6"/>
  <c r="D1448" i="6"/>
  <c r="AB1447" i="6"/>
  <c r="AA1447" i="6"/>
  <c r="Z1447" i="6"/>
  <c r="Y1447" i="6"/>
  <c r="X1447" i="6"/>
  <c r="W1447" i="6"/>
  <c r="V1447" i="6"/>
  <c r="U1447" i="6"/>
  <c r="T1447" i="6"/>
  <c r="H1447" i="6"/>
  <c r="G1447" i="6"/>
  <c r="F1447" i="6"/>
  <c r="E1447" i="6"/>
  <c r="C1447" i="6"/>
  <c r="D1447" i="6"/>
  <c r="B1447" i="6"/>
  <c r="D1446" i="6"/>
  <c r="AB1445" i="6"/>
  <c r="AA1445" i="6"/>
  <c r="Z1445" i="6"/>
  <c r="Y1445" i="6"/>
  <c r="X1445" i="6"/>
  <c r="W1445" i="6"/>
  <c r="V1445" i="6"/>
  <c r="U1445" i="6"/>
  <c r="T1445" i="6"/>
  <c r="H1445" i="6"/>
  <c r="G1445" i="6"/>
  <c r="F1445" i="6"/>
  <c r="E1445" i="6"/>
  <c r="C1445" i="6"/>
  <c r="D1445" i="6"/>
  <c r="B1445" i="6"/>
  <c r="H1444" i="6"/>
  <c r="G1444" i="6"/>
  <c r="H1443" i="6"/>
  <c r="G1443" i="6"/>
  <c r="H1442" i="6"/>
  <c r="G1442" i="6"/>
  <c r="F1442" i="6"/>
  <c r="H1441" i="6"/>
  <c r="G1441" i="6"/>
  <c r="H1440" i="6"/>
  <c r="G1440" i="6"/>
  <c r="F1440" i="6"/>
  <c r="D1434" i="6"/>
  <c r="D1433" i="6"/>
  <c r="D1432" i="6"/>
  <c r="D1431" i="6"/>
  <c r="C1430" i="6"/>
  <c r="AB1429" i="6"/>
  <c r="AA1429" i="6"/>
  <c r="Z1429" i="6"/>
  <c r="Y1429" i="6"/>
  <c r="X1429" i="6"/>
  <c r="W1429" i="6"/>
  <c r="V1429" i="6"/>
  <c r="U1429" i="6"/>
  <c r="T1429" i="6"/>
  <c r="H1429" i="6"/>
  <c r="G1429" i="6"/>
  <c r="F1429" i="6"/>
  <c r="E1429" i="6"/>
  <c r="C1429" i="6"/>
  <c r="D1429" i="6"/>
  <c r="B1429" i="6"/>
  <c r="D1428" i="6"/>
  <c r="AB1427" i="6"/>
  <c r="AA1427" i="6"/>
  <c r="Z1427" i="6"/>
  <c r="Y1427" i="6"/>
  <c r="X1427" i="6"/>
  <c r="W1427" i="6"/>
  <c r="V1427" i="6"/>
  <c r="U1427" i="6"/>
  <c r="T1427" i="6"/>
  <c r="H1427" i="6"/>
  <c r="G1427" i="6"/>
  <c r="F1427" i="6"/>
  <c r="E1427" i="6"/>
  <c r="C1427" i="6"/>
  <c r="D1427" i="6"/>
  <c r="B1427" i="6"/>
  <c r="D1426" i="6"/>
  <c r="AB1425" i="6"/>
  <c r="AA1425" i="6"/>
  <c r="Z1425" i="6"/>
  <c r="Y1425" i="6"/>
  <c r="X1425" i="6"/>
  <c r="W1425" i="6"/>
  <c r="V1425" i="6"/>
  <c r="U1425" i="6"/>
  <c r="T1425" i="6"/>
  <c r="H1425" i="6"/>
  <c r="G1425" i="6"/>
  <c r="F1425" i="6"/>
  <c r="E1425" i="6"/>
  <c r="C1425" i="6"/>
  <c r="D1425" i="6"/>
  <c r="B1425" i="6"/>
  <c r="D1424" i="6"/>
  <c r="AB1423" i="6"/>
  <c r="AA1423" i="6"/>
  <c r="Z1423" i="6"/>
  <c r="Y1423" i="6"/>
  <c r="X1423" i="6"/>
  <c r="W1423" i="6"/>
  <c r="V1423" i="6"/>
  <c r="U1423" i="6"/>
  <c r="T1423" i="6"/>
  <c r="H1423" i="6"/>
  <c r="G1423" i="6"/>
  <c r="F1423" i="6"/>
  <c r="E1423" i="6"/>
  <c r="C1423" i="6"/>
  <c r="D1423" i="6"/>
  <c r="B1423" i="6"/>
  <c r="D1422" i="6"/>
  <c r="AB1421" i="6"/>
  <c r="AA1421" i="6"/>
  <c r="Z1421" i="6"/>
  <c r="Y1421" i="6"/>
  <c r="X1421" i="6"/>
  <c r="W1421" i="6"/>
  <c r="V1421" i="6"/>
  <c r="U1421" i="6"/>
  <c r="T1421" i="6"/>
  <c r="H1421" i="6"/>
  <c r="G1421" i="6"/>
  <c r="F1421" i="6"/>
  <c r="E1421" i="6"/>
  <c r="C1421" i="6"/>
  <c r="D1421" i="6"/>
  <c r="B1421" i="6"/>
  <c r="H1420" i="6"/>
  <c r="G1420" i="6"/>
  <c r="H1419" i="6"/>
  <c r="G1419" i="6"/>
  <c r="H1418" i="6"/>
  <c r="G1418" i="6"/>
  <c r="F1418" i="6"/>
  <c r="H1417" i="6"/>
  <c r="G1417" i="6"/>
  <c r="H1416" i="6"/>
  <c r="G1416" i="6"/>
  <c r="F1416" i="6"/>
  <c r="D1410" i="6"/>
  <c r="D1409" i="6"/>
  <c r="D1408" i="6"/>
  <c r="D1407" i="6"/>
  <c r="C1406" i="6"/>
  <c r="AB1405" i="6"/>
  <c r="AA1405" i="6"/>
  <c r="Z1405" i="6"/>
  <c r="Y1405" i="6"/>
  <c r="X1405" i="6"/>
  <c r="W1405" i="6"/>
  <c r="V1405" i="6"/>
  <c r="U1405" i="6"/>
  <c r="T1405" i="6"/>
  <c r="H1405" i="6"/>
  <c r="G1405" i="6"/>
  <c r="F1405" i="6"/>
  <c r="E1405" i="6"/>
  <c r="C1405" i="6"/>
  <c r="D1405" i="6"/>
  <c r="B1405" i="6"/>
  <c r="H1404" i="6"/>
  <c r="G1404" i="6"/>
  <c r="H1403" i="6"/>
  <c r="G1403" i="6"/>
  <c r="F1403" i="6"/>
  <c r="H1402" i="6"/>
  <c r="G1402" i="6"/>
  <c r="F1402" i="6"/>
  <c r="D1401" i="6"/>
  <c r="D1400" i="6"/>
  <c r="D1399" i="6"/>
  <c r="D1398" i="6"/>
  <c r="C1397" i="6"/>
  <c r="AB1396" i="6"/>
  <c r="AA1396" i="6"/>
  <c r="Z1396" i="6"/>
  <c r="Y1396" i="6"/>
  <c r="X1396" i="6"/>
  <c r="W1396" i="6"/>
  <c r="V1396" i="6"/>
  <c r="U1396" i="6"/>
  <c r="T1396" i="6"/>
  <c r="H1396" i="6"/>
  <c r="G1396" i="6"/>
  <c r="F1396" i="6"/>
  <c r="E1396" i="6"/>
  <c r="C1396" i="6"/>
  <c r="D1396" i="6"/>
  <c r="B1396" i="6"/>
  <c r="H1395" i="6"/>
  <c r="G1395" i="6"/>
  <c r="H1394" i="6"/>
  <c r="G1394" i="6"/>
  <c r="F1394" i="6"/>
  <c r="H1393" i="6"/>
  <c r="G1393" i="6"/>
  <c r="F1393" i="6"/>
  <c r="D1392" i="6"/>
  <c r="D1391" i="6"/>
  <c r="D1390" i="6"/>
  <c r="D1389" i="6"/>
  <c r="C1388" i="6"/>
  <c r="AB1387" i="6"/>
  <c r="AA1387" i="6"/>
  <c r="Z1387" i="6"/>
  <c r="Y1387" i="6"/>
  <c r="X1387" i="6"/>
  <c r="W1387" i="6"/>
  <c r="V1387" i="6"/>
  <c r="U1387" i="6"/>
  <c r="T1387" i="6"/>
  <c r="H1387" i="6"/>
  <c r="G1387" i="6"/>
  <c r="F1387" i="6"/>
  <c r="E1387" i="6"/>
  <c r="C1387" i="6"/>
  <c r="D1387" i="6"/>
  <c r="B1387" i="6"/>
  <c r="H1386" i="6"/>
  <c r="G1386" i="6"/>
  <c r="H1385" i="6"/>
  <c r="G1385" i="6"/>
  <c r="F1385" i="6"/>
  <c r="H1384" i="6"/>
  <c r="G1384" i="6"/>
  <c r="F1384" i="6"/>
  <c r="D1383" i="6"/>
  <c r="D1382" i="6"/>
  <c r="D1381" i="6"/>
  <c r="D1380" i="6"/>
  <c r="C1379" i="6"/>
  <c r="AB1378" i="6"/>
  <c r="AA1378" i="6"/>
  <c r="Z1378" i="6"/>
  <c r="Y1378" i="6"/>
  <c r="X1378" i="6"/>
  <c r="W1378" i="6"/>
  <c r="V1378" i="6"/>
  <c r="U1378" i="6"/>
  <c r="T1378" i="6"/>
  <c r="H1378" i="6"/>
  <c r="G1378" i="6"/>
  <c r="F1378" i="6"/>
  <c r="E1378" i="6"/>
  <c r="C1378" i="6"/>
  <c r="D1378" i="6"/>
  <c r="B1378" i="6"/>
  <c r="H1377" i="6"/>
  <c r="G1377" i="6"/>
  <c r="H1376" i="6"/>
  <c r="G1376" i="6"/>
  <c r="F1376" i="6"/>
  <c r="H1375" i="6"/>
  <c r="G1375" i="6"/>
  <c r="F1375" i="6"/>
  <c r="D1374" i="6"/>
  <c r="D1373" i="6"/>
  <c r="D1372" i="6"/>
  <c r="D1371" i="6"/>
  <c r="C1370" i="6"/>
  <c r="AB1369" i="6"/>
  <c r="AA1369" i="6"/>
  <c r="Z1369" i="6"/>
  <c r="Y1369" i="6"/>
  <c r="X1369" i="6"/>
  <c r="W1369" i="6"/>
  <c r="V1369" i="6"/>
  <c r="U1369" i="6"/>
  <c r="T1369" i="6"/>
  <c r="H1369" i="6"/>
  <c r="G1369" i="6"/>
  <c r="F1369" i="6"/>
  <c r="E1369" i="6"/>
  <c r="C1369" i="6"/>
  <c r="D1369" i="6"/>
  <c r="B1369" i="6"/>
  <c r="H1368" i="6"/>
  <c r="G1368" i="6"/>
  <c r="H1367" i="6"/>
  <c r="G1367" i="6"/>
  <c r="F1367" i="6"/>
  <c r="H1366" i="6"/>
  <c r="G1366" i="6"/>
  <c r="F1366" i="6"/>
  <c r="D1365" i="6"/>
  <c r="D1364" i="6"/>
  <c r="D1363" i="6"/>
  <c r="D1362" i="6"/>
  <c r="AB1361" i="6"/>
  <c r="AA1361" i="6"/>
  <c r="Z1361" i="6"/>
  <c r="Y1361" i="6"/>
  <c r="X1361" i="6"/>
  <c r="W1361" i="6"/>
  <c r="V1361" i="6"/>
  <c r="U1361" i="6"/>
  <c r="T1361" i="6"/>
  <c r="H1361" i="6"/>
  <c r="G1361" i="6"/>
  <c r="F1361" i="6"/>
  <c r="E1361" i="6"/>
  <c r="C1361" i="6"/>
  <c r="D1361" i="6"/>
  <c r="B1361" i="6"/>
  <c r="D1360" i="6"/>
  <c r="AB1359" i="6"/>
  <c r="AA1359" i="6"/>
  <c r="Z1359" i="6"/>
  <c r="Y1359" i="6"/>
  <c r="X1359" i="6"/>
  <c r="W1359" i="6"/>
  <c r="V1359" i="6"/>
  <c r="U1359" i="6"/>
  <c r="T1359" i="6"/>
  <c r="H1359" i="6"/>
  <c r="G1359" i="6"/>
  <c r="F1359" i="6"/>
  <c r="E1359" i="6"/>
  <c r="C1359" i="6"/>
  <c r="D1359" i="6"/>
  <c r="B1359" i="6"/>
  <c r="H1358" i="6"/>
  <c r="G1358" i="6"/>
  <c r="H1357" i="6"/>
  <c r="G1357" i="6"/>
  <c r="F1357" i="6"/>
  <c r="H1356" i="6"/>
  <c r="G1356" i="6"/>
  <c r="F1356" i="6"/>
  <c r="D1355" i="6"/>
  <c r="D1354" i="6"/>
  <c r="D1353" i="6"/>
  <c r="D1352" i="6"/>
  <c r="AB1351" i="6"/>
  <c r="AA1351" i="6"/>
  <c r="Z1351" i="6"/>
  <c r="Y1351" i="6"/>
  <c r="X1351" i="6"/>
  <c r="W1351" i="6"/>
  <c r="V1351" i="6"/>
  <c r="U1351" i="6"/>
  <c r="T1351" i="6"/>
  <c r="H1351" i="6"/>
  <c r="G1351" i="6"/>
  <c r="F1351" i="6"/>
  <c r="E1351" i="6"/>
  <c r="C1351" i="6"/>
  <c r="D1351" i="6"/>
  <c r="B1351" i="6"/>
  <c r="H1350" i="6"/>
  <c r="G1350" i="6"/>
  <c r="H1349" i="6"/>
  <c r="G1349" i="6"/>
  <c r="F1349" i="6"/>
  <c r="H1348" i="6"/>
  <c r="G1348" i="6"/>
  <c r="F1348" i="6"/>
  <c r="D1347" i="6"/>
  <c r="D1346" i="6"/>
  <c r="D1345" i="6"/>
  <c r="D1344" i="6"/>
  <c r="C1343" i="6"/>
  <c r="AB1342" i="6"/>
  <c r="AA1342" i="6"/>
  <c r="Z1342" i="6"/>
  <c r="Y1342" i="6"/>
  <c r="X1342" i="6"/>
  <c r="W1342" i="6"/>
  <c r="V1342" i="6"/>
  <c r="U1342" i="6"/>
  <c r="T1342" i="6"/>
  <c r="H1342" i="6"/>
  <c r="G1342" i="6"/>
  <c r="F1342" i="6"/>
  <c r="E1342" i="6"/>
  <c r="C1342" i="6"/>
  <c r="D1342" i="6"/>
  <c r="B1342" i="6"/>
  <c r="H1341" i="6"/>
  <c r="G1341" i="6"/>
  <c r="H1340" i="6"/>
  <c r="G1340" i="6"/>
  <c r="F1340" i="6"/>
  <c r="H1339" i="6"/>
  <c r="G1339" i="6"/>
  <c r="F1339" i="6"/>
  <c r="D1338" i="6"/>
  <c r="D1337" i="6"/>
  <c r="D1336" i="6"/>
  <c r="D1335" i="6"/>
  <c r="C1334" i="6"/>
  <c r="AB1333" i="6"/>
  <c r="AA1333" i="6"/>
  <c r="Z1333" i="6"/>
  <c r="Y1333" i="6"/>
  <c r="X1333" i="6"/>
  <c r="W1333" i="6"/>
  <c r="V1333" i="6"/>
  <c r="U1333" i="6"/>
  <c r="T1333" i="6"/>
  <c r="H1333" i="6"/>
  <c r="G1333" i="6"/>
  <c r="F1333" i="6"/>
  <c r="E1333" i="6"/>
  <c r="C1333" i="6"/>
  <c r="D1333" i="6"/>
  <c r="B1333" i="6"/>
  <c r="A1332" i="6"/>
  <c r="G1330" i="6"/>
  <c r="C1330" i="6"/>
  <c r="G1329" i="6"/>
  <c r="C1329" i="6"/>
  <c r="G1328" i="6"/>
  <c r="C1328" i="6"/>
  <c r="H1325" i="6"/>
  <c r="C1325" i="6"/>
  <c r="D1323" i="6"/>
  <c r="AB1322" i="6"/>
  <c r="AA1322" i="6"/>
  <c r="Z1322" i="6"/>
  <c r="Y1322" i="6"/>
  <c r="X1322" i="6"/>
  <c r="W1322" i="6"/>
  <c r="V1322" i="6"/>
  <c r="U1322" i="6"/>
  <c r="T1322" i="6"/>
  <c r="H1322" i="6"/>
  <c r="G1322" i="6"/>
  <c r="F1322" i="6"/>
  <c r="E1322" i="6"/>
  <c r="C1322" i="6"/>
  <c r="D1322" i="6"/>
  <c r="B1322" i="6"/>
  <c r="H1321" i="6"/>
  <c r="G1321" i="6"/>
  <c r="H1320" i="6"/>
  <c r="G1320" i="6"/>
  <c r="F1320" i="6"/>
  <c r="H1319" i="6"/>
  <c r="G1319" i="6"/>
  <c r="F1319" i="6"/>
  <c r="D1318" i="6"/>
  <c r="D1317" i="6"/>
  <c r="D1316" i="6"/>
  <c r="D1315" i="6"/>
  <c r="AB1314" i="6"/>
  <c r="AA1314" i="6"/>
  <c r="Z1314" i="6"/>
  <c r="Y1314" i="6"/>
  <c r="X1314" i="6"/>
  <c r="W1314" i="6"/>
  <c r="V1314" i="6"/>
  <c r="U1314" i="6"/>
  <c r="T1314" i="6"/>
  <c r="H1314" i="6"/>
  <c r="G1314" i="6"/>
  <c r="F1314" i="6"/>
  <c r="E1314" i="6"/>
  <c r="C1314" i="6"/>
  <c r="D1314" i="6"/>
  <c r="B1314" i="6"/>
  <c r="D1313" i="6"/>
  <c r="AB1312" i="6"/>
  <c r="AA1312" i="6"/>
  <c r="Z1312" i="6"/>
  <c r="Y1312" i="6"/>
  <c r="X1312" i="6"/>
  <c r="W1312" i="6"/>
  <c r="V1312" i="6"/>
  <c r="U1312" i="6"/>
  <c r="T1312" i="6"/>
  <c r="H1312" i="6"/>
  <c r="G1312" i="6"/>
  <c r="F1312" i="6"/>
  <c r="E1312" i="6"/>
  <c r="C1312" i="6"/>
  <c r="D1312" i="6"/>
  <c r="B1312" i="6"/>
  <c r="H1311" i="6"/>
  <c r="G1311" i="6"/>
  <c r="H1310" i="6"/>
  <c r="G1310" i="6"/>
  <c r="H1309" i="6"/>
  <c r="G1309" i="6"/>
  <c r="F1309" i="6"/>
  <c r="H1308" i="6"/>
  <c r="G1308" i="6"/>
  <c r="H1307" i="6"/>
  <c r="G1307" i="6"/>
  <c r="F1307" i="6"/>
  <c r="D1301" i="6"/>
  <c r="D1300" i="6"/>
  <c r="D1299" i="6"/>
  <c r="D1298" i="6"/>
  <c r="AB1297" i="6"/>
  <c r="AA1297" i="6"/>
  <c r="Z1297" i="6"/>
  <c r="Y1297" i="6"/>
  <c r="X1297" i="6"/>
  <c r="W1297" i="6"/>
  <c r="V1297" i="6"/>
  <c r="U1297" i="6"/>
  <c r="T1297" i="6"/>
  <c r="H1297" i="6"/>
  <c r="G1297" i="6"/>
  <c r="F1297" i="6"/>
  <c r="E1297" i="6"/>
  <c r="C1297" i="6"/>
  <c r="D1297" i="6"/>
  <c r="B1297" i="6"/>
  <c r="D1296" i="6"/>
  <c r="AB1295" i="6"/>
  <c r="AA1295" i="6"/>
  <c r="Z1295" i="6"/>
  <c r="Y1295" i="6"/>
  <c r="X1295" i="6"/>
  <c r="W1295" i="6"/>
  <c r="V1295" i="6"/>
  <c r="U1295" i="6"/>
  <c r="T1295" i="6"/>
  <c r="H1295" i="6"/>
  <c r="G1295" i="6"/>
  <c r="F1295" i="6"/>
  <c r="E1295" i="6"/>
  <c r="C1295" i="6"/>
  <c r="D1295" i="6"/>
  <c r="B1295" i="6"/>
  <c r="H1294" i="6"/>
  <c r="G1294" i="6"/>
  <c r="H1293" i="6"/>
  <c r="G1293" i="6"/>
  <c r="H1292" i="6"/>
  <c r="G1292" i="6"/>
  <c r="F1292" i="6"/>
  <c r="H1291" i="6"/>
  <c r="G1291" i="6"/>
  <c r="H1290" i="6"/>
  <c r="G1290" i="6"/>
  <c r="F1290" i="6"/>
  <c r="D1284" i="6"/>
  <c r="D1283" i="6"/>
  <c r="D1282" i="6"/>
  <c r="D1281" i="6"/>
  <c r="AB1280" i="6"/>
  <c r="AA1280" i="6"/>
  <c r="Z1280" i="6"/>
  <c r="Y1280" i="6"/>
  <c r="X1280" i="6"/>
  <c r="W1280" i="6"/>
  <c r="V1280" i="6"/>
  <c r="U1280" i="6"/>
  <c r="T1280" i="6"/>
  <c r="H1280" i="6"/>
  <c r="G1280" i="6"/>
  <c r="F1280" i="6"/>
  <c r="E1280" i="6"/>
  <c r="C1280" i="6"/>
  <c r="D1280" i="6"/>
  <c r="B1280" i="6"/>
  <c r="D1279" i="6"/>
  <c r="AB1278" i="6"/>
  <c r="AA1278" i="6"/>
  <c r="Z1278" i="6"/>
  <c r="Y1278" i="6"/>
  <c r="X1278" i="6"/>
  <c r="W1278" i="6"/>
  <c r="V1278" i="6"/>
  <c r="U1278" i="6"/>
  <c r="T1278" i="6"/>
  <c r="H1278" i="6"/>
  <c r="G1278" i="6"/>
  <c r="F1278" i="6"/>
  <c r="E1278" i="6"/>
  <c r="C1278" i="6"/>
  <c r="D1278" i="6"/>
  <c r="B1278" i="6"/>
  <c r="H1277" i="6"/>
  <c r="G1277" i="6"/>
  <c r="H1276" i="6"/>
  <c r="G1276" i="6"/>
  <c r="H1275" i="6"/>
  <c r="G1275" i="6"/>
  <c r="F1275" i="6"/>
  <c r="H1274" i="6"/>
  <c r="G1274" i="6"/>
  <c r="H1273" i="6"/>
  <c r="G1273" i="6"/>
  <c r="F1273" i="6"/>
  <c r="D1267" i="6"/>
  <c r="D1266" i="6"/>
  <c r="D1265" i="6"/>
  <c r="D1264" i="6"/>
  <c r="C1263" i="6"/>
  <c r="AB1262" i="6"/>
  <c r="AA1262" i="6"/>
  <c r="Z1262" i="6"/>
  <c r="Y1262" i="6"/>
  <c r="X1262" i="6"/>
  <c r="W1262" i="6"/>
  <c r="V1262" i="6"/>
  <c r="U1262" i="6"/>
  <c r="T1262" i="6"/>
  <c r="H1262" i="6"/>
  <c r="G1262" i="6"/>
  <c r="F1262" i="6"/>
  <c r="E1262" i="6"/>
  <c r="C1262" i="6"/>
  <c r="D1262" i="6"/>
  <c r="B1262" i="6"/>
  <c r="H1261" i="6"/>
  <c r="G1261" i="6"/>
  <c r="H1260" i="6"/>
  <c r="G1260" i="6"/>
  <c r="H1259" i="6"/>
  <c r="G1259" i="6"/>
  <c r="F1259" i="6"/>
  <c r="H1258" i="6"/>
  <c r="G1258" i="6"/>
  <c r="H1257" i="6"/>
  <c r="G1257" i="6"/>
  <c r="F1257" i="6"/>
  <c r="D1251" i="6"/>
  <c r="D1250" i="6"/>
  <c r="D1249" i="6"/>
  <c r="D1248" i="6"/>
  <c r="C1247" i="6"/>
  <c r="AB1246" i="6"/>
  <c r="AA1246" i="6"/>
  <c r="Z1246" i="6"/>
  <c r="Y1246" i="6"/>
  <c r="X1246" i="6"/>
  <c r="W1246" i="6"/>
  <c r="V1246" i="6"/>
  <c r="U1246" i="6"/>
  <c r="T1246" i="6"/>
  <c r="H1246" i="6"/>
  <c r="G1246" i="6"/>
  <c r="F1246" i="6"/>
  <c r="E1246" i="6"/>
  <c r="C1246" i="6"/>
  <c r="D1246" i="6"/>
  <c r="B1246" i="6"/>
  <c r="H1245" i="6"/>
  <c r="G1245" i="6"/>
  <c r="H1244" i="6"/>
  <c r="G1244" i="6"/>
  <c r="H1243" i="6"/>
  <c r="G1243" i="6"/>
  <c r="F1243" i="6"/>
  <c r="H1242" i="6"/>
  <c r="G1242" i="6"/>
  <c r="H1241" i="6"/>
  <c r="G1241" i="6"/>
  <c r="F1241" i="6"/>
  <c r="D1235" i="6"/>
  <c r="D1234" i="6"/>
  <c r="D1233" i="6"/>
  <c r="D1232" i="6"/>
  <c r="AB1231" i="6"/>
  <c r="AA1231" i="6"/>
  <c r="Z1231" i="6"/>
  <c r="Y1231" i="6"/>
  <c r="X1231" i="6"/>
  <c r="W1231" i="6"/>
  <c r="V1231" i="6"/>
  <c r="U1231" i="6"/>
  <c r="T1231" i="6"/>
  <c r="H1231" i="6"/>
  <c r="G1231" i="6"/>
  <c r="F1231" i="6"/>
  <c r="E1231" i="6"/>
  <c r="C1231" i="6"/>
  <c r="D1231" i="6"/>
  <c r="B1231" i="6"/>
  <c r="D1230" i="6"/>
  <c r="AB1229" i="6"/>
  <c r="AA1229" i="6"/>
  <c r="Z1229" i="6"/>
  <c r="Y1229" i="6"/>
  <c r="X1229" i="6"/>
  <c r="W1229" i="6"/>
  <c r="V1229" i="6"/>
  <c r="U1229" i="6"/>
  <c r="T1229" i="6"/>
  <c r="H1229" i="6"/>
  <c r="G1229" i="6"/>
  <c r="F1229" i="6"/>
  <c r="E1229" i="6"/>
  <c r="C1229" i="6"/>
  <c r="D1229" i="6"/>
  <c r="B1229" i="6"/>
  <c r="H1228" i="6"/>
  <c r="G1228" i="6"/>
  <c r="H1227" i="6"/>
  <c r="G1227" i="6"/>
  <c r="H1226" i="6"/>
  <c r="G1226" i="6"/>
  <c r="F1226" i="6"/>
  <c r="H1225" i="6"/>
  <c r="G1225" i="6"/>
  <c r="H1224" i="6"/>
  <c r="G1224" i="6"/>
  <c r="F1224" i="6"/>
  <c r="D1218" i="6"/>
  <c r="D1217" i="6"/>
  <c r="D1216" i="6"/>
  <c r="D1215" i="6"/>
  <c r="AB1214" i="6"/>
  <c r="AA1214" i="6"/>
  <c r="Z1214" i="6"/>
  <c r="Y1214" i="6"/>
  <c r="X1214" i="6"/>
  <c r="W1214" i="6"/>
  <c r="V1214" i="6"/>
  <c r="U1214" i="6"/>
  <c r="T1214" i="6"/>
  <c r="H1214" i="6"/>
  <c r="G1214" i="6"/>
  <c r="F1214" i="6"/>
  <c r="E1214" i="6"/>
  <c r="C1214" i="6"/>
  <c r="D1214" i="6"/>
  <c r="B1214" i="6"/>
  <c r="D1213" i="6"/>
  <c r="AB1212" i="6"/>
  <c r="AA1212" i="6"/>
  <c r="Z1212" i="6"/>
  <c r="Y1212" i="6"/>
  <c r="X1212" i="6"/>
  <c r="W1212" i="6"/>
  <c r="V1212" i="6"/>
  <c r="U1212" i="6"/>
  <c r="T1212" i="6"/>
  <c r="H1212" i="6"/>
  <c r="G1212" i="6"/>
  <c r="F1212" i="6"/>
  <c r="E1212" i="6"/>
  <c r="C1212" i="6"/>
  <c r="D1212" i="6"/>
  <c r="B1212" i="6"/>
  <c r="D1211" i="6"/>
  <c r="AB1210" i="6"/>
  <c r="AA1210" i="6"/>
  <c r="Z1210" i="6"/>
  <c r="Y1210" i="6"/>
  <c r="X1210" i="6"/>
  <c r="W1210" i="6"/>
  <c r="V1210" i="6"/>
  <c r="U1210" i="6"/>
  <c r="T1210" i="6"/>
  <c r="H1210" i="6"/>
  <c r="G1210" i="6"/>
  <c r="F1210" i="6"/>
  <c r="E1210" i="6"/>
  <c r="C1210" i="6"/>
  <c r="D1210" i="6"/>
  <c r="B1210" i="6"/>
  <c r="D1209" i="6"/>
  <c r="AB1208" i="6"/>
  <c r="AA1208" i="6"/>
  <c r="Z1208" i="6"/>
  <c r="Y1208" i="6"/>
  <c r="X1208" i="6"/>
  <c r="W1208" i="6"/>
  <c r="V1208" i="6"/>
  <c r="U1208" i="6"/>
  <c r="T1208" i="6"/>
  <c r="H1208" i="6"/>
  <c r="G1208" i="6"/>
  <c r="F1208" i="6"/>
  <c r="E1208" i="6"/>
  <c r="C1208" i="6"/>
  <c r="D1208" i="6"/>
  <c r="B1208" i="6"/>
  <c r="H1207" i="6"/>
  <c r="G1207" i="6"/>
  <c r="H1206" i="6"/>
  <c r="G1206" i="6"/>
  <c r="H1205" i="6"/>
  <c r="G1205" i="6"/>
  <c r="F1205" i="6"/>
  <c r="H1204" i="6"/>
  <c r="G1204" i="6"/>
  <c r="H1203" i="6"/>
  <c r="G1203" i="6"/>
  <c r="F1203" i="6"/>
  <c r="D1197" i="6"/>
  <c r="D1196" i="6"/>
  <c r="D1195" i="6"/>
  <c r="D1194" i="6"/>
  <c r="AB1193" i="6"/>
  <c r="AA1193" i="6"/>
  <c r="Z1193" i="6"/>
  <c r="Y1193" i="6"/>
  <c r="X1193" i="6"/>
  <c r="W1193" i="6"/>
  <c r="V1193" i="6"/>
  <c r="U1193" i="6"/>
  <c r="T1193" i="6"/>
  <c r="H1193" i="6"/>
  <c r="G1193" i="6"/>
  <c r="F1193" i="6"/>
  <c r="E1193" i="6"/>
  <c r="C1193" i="6"/>
  <c r="D1193" i="6"/>
  <c r="B1193" i="6"/>
  <c r="D1192" i="6"/>
  <c r="AB1191" i="6"/>
  <c r="AA1191" i="6"/>
  <c r="Z1191" i="6"/>
  <c r="Y1191" i="6"/>
  <c r="X1191" i="6"/>
  <c r="W1191" i="6"/>
  <c r="V1191" i="6"/>
  <c r="U1191" i="6"/>
  <c r="T1191" i="6"/>
  <c r="H1191" i="6"/>
  <c r="G1191" i="6"/>
  <c r="F1191" i="6"/>
  <c r="E1191" i="6"/>
  <c r="C1191" i="6"/>
  <c r="D1191" i="6"/>
  <c r="B1191" i="6"/>
  <c r="D1190" i="6"/>
  <c r="AB1189" i="6"/>
  <c r="AA1189" i="6"/>
  <c r="Z1189" i="6"/>
  <c r="Y1189" i="6"/>
  <c r="X1189" i="6"/>
  <c r="W1189" i="6"/>
  <c r="V1189" i="6"/>
  <c r="U1189" i="6"/>
  <c r="T1189" i="6"/>
  <c r="H1189" i="6"/>
  <c r="G1189" i="6"/>
  <c r="F1189" i="6"/>
  <c r="E1189" i="6"/>
  <c r="C1189" i="6"/>
  <c r="D1189" i="6"/>
  <c r="B1189" i="6"/>
  <c r="D1188" i="6"/>
  <c r="AB1187" i="6"/>
  <c r="AA1187" i="6"/>
  <c r="Z1187" i="6"/>
  <c r="Y1187" i="6"/>
  <c r="X1187" i="6"/>
  <c r="W1187" i="6"/>
  <c r="V1187" i="6"/>
  <c r="U1187" i="6"/>
  <c r="T1187" i="6"/>
  <c r="H1187" i="6"/>
  <c r="G1187" i="6"/>
  <c r="F1187" i="6"/>
  <c r="E1187" i="6"/>
  <c r="C1187" i="6"/>
  <c r="D1187" i="6"/>
  <c r="B1187" i="6"/>
  <c r="D1186" i="6"/>
  <c r="AB1185" i="6"/>
  <c r="AA1185" i="6"/>
  <c r="Z1185" i="6"/>
  <c r="Y1185" i="6"/>
  <c r="X1185" i="6"/>
  <c r="W1185" i="6"/>
  <c r="V1185" i="6"/>
  <c r="U1185" i="6"/>
  <c r="T1185" i="6"/>
  <c r="H1185" i="6"/>
  <c r="G1185" i="6"/>
  <c r="F1185" i="6"/>
  <c r="E1185" i="6"/>
  <c r="C1185" i="6"/>
  <c r="D1185" i="6"/>
  <c r="B1185" i="6"/>
  <c r="D1184" i="6"/>
  <c r="AB1183" i="6"/>
  <c r="AA1183" i="6"/>
  <c r="Z1183" i="6"/>
  <c r="Y1183" i="6"/>
  <c r="X1183" i="6"/>
  <c r="W1183" i="6"/>
  <c r="V1183" i="6"/>
  <c r="U1183" i="6"/>
  <c r="T1183" i="6"/>
  <c r="H1183" i="6"/>
  <c r="G1183" i="6"/>
  <c r="F1183" i="6"/>
  <c r="E1183" i="6"/>
  <c r="C1183" i="6"/>
  <c r="D1183" i="6"/>
  <c r="B1183" i="6"/>
  <c r="D1182" i="6"/>
  <c r="AB1181" i="6"/>
  <c r="AA1181" i="6"/>
  <c r="Z1181" i="6"/>
  <c r="Y1181" i="6"/>
  <c r="X1181" i="6"/>
  <c r="W1181" i="6"/>
  <c r="V1181" i="6"/>
  <c r="U1181" i="6"/>
  <c r="T1181" i="6"/>
  <c r="H1181" i="6"/>
  <c r="G1181" i="6"/>
  <c r="F1181" i="6"/>
  <c r="E1181" i="6"/>
  <c r="C1181" i="6"/>
  <c r="D1181" i="6"/>
  <c r="B1181" i="6"/>
  <c r="H1180" i="6"/>
  <c r="G1180" i="6"/>
  <c r="H1179" i="6"/>
  <c r="G1179" i="6"/>
  <c r="H1178" i="6"/>
  <c r="G1178" i="6"/>
  <c r="F1178" i="6"/>
  <c r="H1177" i="6"/>
  <c r="G1177" i="6"/>
  <c r="H1176" i="6"/>
  <c r="G1176" i="6"/>
  <c r="F1176" i="6"/>
  <c r="D1170" i="6"/>
  <c r="D1169" i="6"/>
  <c r="D1168" i="6"/>
  <c r="D1167" i="6"/>
  <c r="C1166" i="6"/>
  <c r="AB1165" i="6"/>
  <c r="AA1165" i="6"/>
  <c r="Z1165" i="6"/>
  <c r="Y1165" i="6"/>
  <c r="X1165" i="6"/>
  <c r="W1165" i="6"/>
  <c r="V1165" i="6"/>
  <c r="U1165" i="6"/>
  <c r="T1165" i="6"/>
  <c r="H1165" i="6"/>
  <c r="G1165" i="6"/>
  <c r="F1165" i="6"/>
  <c r="E1165" i="6"/>
  <c r="C1165" i="6"/>
  <c r="D1165" i="6"/>
  <c r="B1165" i="6"/>
  <c r="D1164" i="6"/>
  <c r="AB1163" i="6"/>
  <c r="AA1163" i="6"/>
  <c r="Z1163" i="6"/>
  <c r="Y1163" i="6"/>
  <c r="X1163" i="6"/>
  <c r="W1163" i="6"/>
  <c r="V1163" i="6"/>
  <c r="U1163" i="6"/>
  <c r="T1163" i="6"/>
  <c r="H1163" i="6"/>
  <c r="G1163" i="6"/>
  <c r="F1163" i="6"/>
  <c r="E1163" i="6"/>
  <c r="C1163" i="6"/>
  <c r="D1163" i="6"/>
  <c r="B1163" i="6"/>
  <c r="H1162" i="6"/>
  <c r="G1162" i="6"/>
  <c r="H1161" i="6"/>
  <c r="G1161" i="6"/>
  <c r="F1161" i="6"/>
  <c r="H1160" i="6"/>
  <c r="G1160" i="6"/>
  <c r="F1160" i="6"/>
  <c r="D1159" i="6"/>
  <c r="D1158" i="6"/>
  <c r="D1157" i="6"/>
  <c r="D1156" i="6"/>
  <c r="C1155" i="6"/>
  <c r="AB1154" i="6"/>
  <c r="AA1154" i="6"/>
  <c r="Z1154" i="6"/>
  <c r="Y1154" i="6"/>
  <c r="X1154" i="6"/>
  <c r="W1154" i="6"/>
  <c r="V1154" i="6"/>
  <c r="U1154" i="6"/>
  <c r="T1154" i="6"/>
  <c r="H1154" i="6"/>
  <c r="G1154" i="6"/>
  <c r="F1154" i="6"/>
  <c r="E1154" i="6"/>
  <c r="C1154" i="6"/>
  <c r="D1154" i="6"/>
  <c r="B1154" i="6"/>
  <c r="D1153" i="6"/>
  <c r="AB1152" i="6"/>
  <c r="AA1152" i="6"/>
  <c r="Z1152" i="6"/>
  <c r="Y1152" i="6"/>
  <c r="X1152" i="6"/>
  <c r="W1152" i="6"/>
  <c r="V1152" i="6"/>
  <c r="U1152" i="6"/>
  <c r="T1152" i="6"/>
  <c r="H1152" i="6"/>
  <c r="G1152" i="6"/>
  <c r="F1152" i="6"/>
  <c r="E1152" i="6"/>
  <c r="C1152" i="6"/>
  <c r="D1152" i="6"/>
  <c r="B1152" i="6"/>
  <c r="D1151" i="6"/>
  <c r="AB1150" i="6"/>
  <c r="AA1150" i="6"/>
  <c r="Z1150" i="6"/>
  <c r="Y1150" i="6"/>
  <c r="X1150" i="6"/>
  <c r="W1150" i="6"/>
  <c r="V1150" i="6"/>
  <c r="U1150" i="6"/>
  <c r="T1150" i="6"/>
  <c r="H1150" i="6"/>
  <c r="G1150" i="6"/>
  <c r="F1150" i="6"/>
  <c r="E1150" i="6"/>
  <c r="C1150" i="6"/>
  <c r="D1150" i="6"/>
  <c r="B1150" i="6"/>
  <c r="D1149" i="6"/>
  <c r="AB1148" i="6"/>
  <c r="AA1148" i="6"/>
  <c r="Z1148" i="6"/>
  <c r="Y1148" i="6"/>
  <c r="X1148" i="6"/>
  <c r="W1148" i="6"/>
  <c r="V1148" i="6"/>
  <c r="U1148" i="6"/>
  <c r="T1148" i="6"/>
  <c r="H1148" i="6"/>
  <c r="G1148" i="6"/>
  <c r="F1148" i="6"/>
  <c r="E1148" i="6"/>
  <c r="C1148" i="6"/>
  <c r="D1148" i="6"/>
  <c r="B1148" i="6"/>
  <c r="H1147" i="6"/>
  <c r="G1147" i="6"/>
  <c r="H1146" i="6"/>
  <c r="G1146" i="6"/>
  <c r="H1145" i="6"/>
  <c r="G1145" i="6"/>
  <c r="F1145" i="6"/>
  <c r="H1144" i="6"/>
  <c r="G1144" i="6"/>
  <c r="H1143" i="6"/>
  <c r="G1143" i="6"/>
  <c r="F1143" i="6"/>
  <c r="D1137" i="6"/>
  <c r="D1136" i="6"/>
  <c r="D1135" i="6"/>
  <c r="D1134" i="6"/>
  <c r="C1133" i="6"/>
  <c r="AB1132" i="6"/>
  <c r="AA1132" i="6"/>
  <c r="Z1132" i="6"/>
  <c r="Y1132" i="6"/>
  <c r="X1132" i="6"/>
  <c r="W1132" i="6"/>
  <c r="V1132" i="6"/>
  <c r="U1132" i="6"/>
  <c r="T1132" i="6"/>
  <c r="H1132" i="6"/>
  <c r="G1132" i="6"/>
  <c r="F1132" i="6"/>
  <c r="E1132" i="6"/>
  <c r="C1132" i="6"/>
  <c r="D1132" i="6"/>
  <c r="B1132" i="6"/>
  <c r="D1131" i="6"/>
  <c r="AB1130" i="6"/>
  <c r="AA1130" i="6"/>
  <c r="Z1130" i="6"/>
  <c r="Y1130" i="6"/>
  <c r="X1130" i="6"/>
  <c r="W1130" i="6"/>
  <c r="V1130" i="6"/>
  <c r="U1130" i="6"/>
  <c r="T1130" i="6"/>
  <c r="H1130" i="6"/>
  <c r="G1130" i="6"/>
  <c r="F1130" i="6"/>
  <c r="E1130" i="6"/>
  <c r="C1130" i="6"/>
  <c r="D1130" i="6"/>
  <c r="B1130" i="6"/>
  <c r="D1129" i="6"/>
  <c r="AB1128" i="6"/>
  <c r="AA1128" i="6"/>
  <c r="Z1128" i="6"/>
  <c r="Y1128" i="6"/>
  <c r="X1128" i="6"/>
  <c r="W1128" i="6"/>
  <c r="V1128" i="6"/>
  <c r="U1128" i="6"/>
  <c r="T1128" i="6"/>
  <c r="H1128" i="6"/>
  <c r="G1128" i="6"/>
  <c r="F1128" i="6"/>
  <c r="E1128" i="6"/>
  <c r="C1128" i="6"/>
  <c r="D1128" i="6"/>
  <c r="B1128" i="6"/>
  <c r="D1127" i="6"/>
  <c r="AB1126" i="6"/>
  <c r="AA1126" i="6"/>
  <c r="Z1126" i="6"/>
  <c r="Y1126" i="6"/>
  <c r="X1126" i="6"/>
  <c r="W1126" i="6"/>
  <c r="V1126" i="6"/>
  <c r="U1126" i="6"/>
  <c r="T1126" i="6"/>
  <c r="H1126" i="6"/>
  <c r="G1126" i="6"/>
  <c r="F1126" i="6"/>
  <c r="E1126" i="6"/>
  <c r="C1126" i="6"/>
  <c r="D1126" i="6"/>
  <c r="B1126" i="6"/>
  <c r="H1125" i="6"/>
  <c r="G1125" i="6"/>
  <c r="H1124" i="6"/>
  <c r="G1124" i="6"/>
  <c r="H1123" i="6"/>
  <c r="G1123" i="6"/>
  <c r="F1123" i="6"/>
  <c r="H1122" i="6"/>
  <c r="G1122" i="6"/>
  <c r="H1121" i="6"/>
  <c r="G1121" i="6"/>
  <c r="F1121" i="6"/>
  <c r="D1115" i="6"/>
  <c r="D1114" i="6"/>
  <c r="D1113" i="6"/>
  <c r="D1112" i="6"/>
  <c r="C1111" i="6"/>
  <c r="AB1110" i="6"/>
  <c r="AA1110" i="6"/>
  <c r="Z1110" i="6"/>
  <c r="Y1110" i="6"/>
  <c r="X1110" i="6"/>
  <c r="W1110" i="6"/>
  <c r="V1110" i="6"/>
  <c r="U1110" i="6"/>
  <c r="T1110" i="6"/>
  <c r="H1110" i="6"/>
  <c r="G1110" i="6"/>
  <c r="F1110" i="6"/>
  <c r="E1110" i="6"/>
  <c r="C1110" i="6"/>
  <c r="D1110" i="6"/>
  <c r="B1110" i="6"/>
  <c r="H1109" i="6"/>
  <c r="G1109" i="6"/>
  <c r="H1108" i="6"/>
  <c r="G1108" i="6"/>
  <c r="F1108" i="6"/>
  <c r="H1107" i="6"/>
  <c r="G1107" i="6"/>
  <c r="F1107" i="6"/>
  <c r="D1106" i="6"/>
  <c r="D1105" i="6"/>
  <c r="D1104" i="6"/>
  <c r="D1103" i="6"/>
  <c r="C1102" i="6"/>
  <c r="AB1101" i="6"/>
  <c r="AA1101" i="6"/>
  <c r="Z1101" i="6"/>
  <c r="Y1101" i="6"/>
  <c r="X1101" i="6"/>
  <c r="W1101" i="6"/>
  <c r="V1101" i="6"/>
  <c r="U1101" i="6"/>
  <c r="T1101" i="6"/>
  <c r="H1101" i="6"/>
  <c r="G1101" i="6"/>
  <c r="F1101" i="6"/>
  <c r="E1101" i="6"/>
  <c r="C1101" i="6"/>
  <c r="D1101" i="6"/>
  <c r="B1101" i="6"/>
  <c r="D1100" i="6"/>
  <c r="AB1099" i="6"/>
  <c r="AA1099" i="6"/>
  <c r="Z1099" i="6"/>
  <c r="Y1099" i="6"/>
  <c r="X1099" i="6"/>
  <c r="W1099" i="6"/>
  <c r="V1099" i="6"/>
  <c r="U1099" i="6"/>
  <c r="T1099" i="6"/>
  <c r="H1099" i="6"/>
  <c r="G1099" i="6"/>
  <c r="F1099" i="6"/>
  <c r="E1099" i="6"/>
  <c r="C1099" i="6"/>
  <c r="D1099" i="6"/>
  <c r="B1099" i="6"/>
  <c r="H1098" i="6"/>
  <c r="G1098" i="6"/>
  <c r="H1097" i="6"/>
  <c r="G1097" i="6"/>
  <c r="F1097" i="6"/>
  <c r="H1096" i="6"/>
  <c r="G1096" i="6"/>
  <c r="F1096" i="6"/>
  <c r="D1095" i="6"/>
  <c r="D1094" i="6"/>
  <c r="D1093" i="6"/>
  <c r="D1092" i="6"/>
  <c r="C1091" i="6"/>
  <c r="AB1090" i="6"/>
  <c r="AA1090" i="6"/>
  <c r="Z1090" i="6"/>
  <c r="Y1090" i="6"/>
  <c r="X1090" i="6"/>
  <c r="W1090" i="6"/>
  <c r="V1090" i="6"/>
  <c r="U1090" i="6"/>
  <c r="T1090" i="6"/>
  <c r="H1090" i="6"/>
  <c r="G1090" i="6"/>
  <c r="F1090" i="6"/>
  <c r="E1090" i="6"/>
  <c r="C1090" i="6"/>
  <c r="D1090" i="6"/>
  <c r="B1090" i="6"/>
  <c r="H1089" i="6"/>
  <c r="G1089" i="6"/>
  <c r="H1088" i="6"/>
  <c r="G1088" i="6"/>
  <c r="F1088" i="6"/>
  <c r="H1087" i="6"/>
  <c r="G1087" i="6"/>
  <c r="F1087" i="6"/>
  <c r="D1085" i="6"/>
  <c r="D1084" i="6"/>
  <c r="D1083" i="6"/>
  <c r="D1082" i="6"/>
  <c r="C1081" i="6"/>
  <c r="AB1080" i="6"/>
  <c r="AA1080" i="6"/>
  <c r="Z1080" i="6"/>
  <c r="Y1080" i="6"/>
  <c r="X1080" i="6"/>
  <c r="W1080" i="6"/>
  <c r="V1080" i="6"/>
  <c r="U1080" i="6"/>
  <c r="T1080" i="6"/>
  <c r="H1080" i="6"/>
  <c r="G1080" i="6"/>
  <c r="F1080" i="6"/>
  <c r="E1080" i="6"/>
  <c r="C1080" i="6"/>
  <c r="D1080" i="6"/>
  <c r="B1080" i="6"/>
  <c r="A1079" i="6"/>
  <c r="G1077" i="6"/>
  <c r="C1077" i="6"/>
  <c r="G1076" i="6"/>
  <c r="C1076" i="6"/>
  <c r="G1075" i="6"/>
  <c r="C1075" i="6"/>
  <c r="H1072" i="6"/>
  <c r="C1072" i="6"/>
  <c r="H1070" i="6"/>
  <c r="G1070" i="6"/>
  <c r="H1069" i="6"/>
  <c r="G1069" i="6"/>
  <c r="F1069" i="6"/>
  <c r="H1068" i="6"/>
  <c r="G1068" i="6"/>
  <c r="F1068" i="6"/>
  <c r="D1067" i="6"/>
  <c r="AB1066" i="6"/>
  <c r="AA1066" i="6"/>
  <c r="Z1066" i="6"/>
  <c r="Y1066" i="6"/>
  <c r="X1066" i="6"/>
  <c r="W1066" i="6"/>
  <c r="V1066" i="6"/>
  <c r="U1066" i="6"/>
  <c r="T1066" i="6"/>
  <c r="H1066" i="6"/>
  <c r="G1066" i="6"/>
  <c r="F1066" i="6"/>
  <c r="E1066" i="6"/>
  <c r="C1066" i="6"/>
  <c r="D1066" i="6"/>
  <c r="B1066" i="6"/>
  <c r="H1065" i="6"/>
  <c r="G1065" i="6"/>
  <c r="H1064" i="6"/>
  <c r="G1064" i="6"/>
  <c r="F1064" i="6"/>
  <c r="H1063" i="6"/>
  <c r="G1063" i="6"/>
  <c r="F1063" i="6"/>
  <c r="D1062" i="6"/>
  <c r="AB1061" i="6"/>
  <c r="AA1061" i="6"/>
  <c r="Z1061" i="6"/>
  <c r="Y1061" i="6"/>
  <c r="X1061" i="6"/>
  <c r="W1061" i="6"/>
  <c r="V1061" i="6"/>
  <c r="U1061" i="6"/>
  <c r="T1061" i="6"/>
  <c r="H1061" i="6"/>
  <c r="G1061" i="6"/>
  <c r="F1061" i="6"/>
  <c r="E1061" i="6"/>
  <c r="C1061" i="6"/>
  <c r="D1061" i="6"/>
  <c r="B1061" i="6"/>
  <c r="H1060" i="6"/>
  <c r="G1060" i="6"/>
  <c r="H1059" i="6"/>
  <c r="G1059" i="6"/>
  <c r="F1059" i="6"/>
  <c r="H1058" i="6"/>
  <c r="G1058" i="6"/>
  <c r="F1058" i="6"/>
  <c r="D1057" i="6"/>
  <c r="C1056" i="6"/>
  <c r="AB1055" i="6"/>
  <c r="AA1055" i="6"/>
  <c r="Z1055" i="6"/>
  <c r="Y1055" i="6"/>
  <c r="X1055" i="6"/>
  <c r="W1055" i="6"/>
  <c r="V1055" i="6"/>
  <c r="U1055" i="6"/>
  <c r="T1055" i="6"/>
  <c r="H1055" i="6"/>
  <c r="G1055" i="6"/>
  <c r="F1055" i="6"/>
  <c r="E1055" i="6"/>
  <c r="C1055" i="6"/>
  <c r="D1055" i="6"/>
  <c r="B1055" i="6"/>
  <c r="H1054" i="6"/>
  <c r="G1054" i="6"/>
  <c r="H1053" i="6"/>
  <c r="G1053" i="6"/>
  <c r="F1053" i="6"/>
  <c r="H1052" i="6"/>
  <c r="G1052" i="6"/>
  <c r="F1052" i="6"/>
  <c r="D1051" i="6"/>
  <c r="AB1050" i="6"/>
  <c r="AA1050" i="6"/>
  <c r="Z1050" i="6"/>
  <c r="Y1050" i="6"/>
  <c r="X1050" i="6"/>
  <c r="W1050" i="6"/>
  <c r="V1050" i="6"/>
  <c r="U1050" i="6"/>
  <c r="T1050" i="6"/>
  <c r="H1050" i="6"/>
  <c r="G1050" i="6"/>
  <c r="F1050" i="6"/>
  <c r="E1050" i="6"/>
  <c r="C1050" i="6"/>
  <c r="D1050" i="6"/>
  <c r="B1050" i="6"/>
  <c r="D1049" i="6"/>
  <c r="AB1048" i="6"/>
  <c r="AA1048" i="6"/>
  <c r="Z1048" i="6"/>
  <c r="Y1048" i="6"/>
  <c r="X1048" i="6"/>
  <c r="W1048" i="6"/>
  <c r="V1048" i="6"/>
  <c r="U1048" i="6"/>
  <c r="T1048" i="6"/>
  <c r="H1048" i="6"/>
  <c r="G1048" i="6"/>
  <c r="F1048" i="6"/>
  <c r="E1048" i="6"/>
  <c r="C1048" i="6"/>
  <c r="D1048" i="6"/>
  <c r="B1048" i="6"/>
  <c r="H1047" i="6"/>
  <c r="G1047" i="6"/>
  <c r="H1046" i="6"/>
  <c r="G1046" i="6"/>
  <c r="F1046" i="6"/>
  <c r="H1045" i="6"/>
  <c r="G1045" i="6"/>
  <c r="F1045" i="6"/>
  <c r="D1044" i="6"/>
  <c r="D1043" i="6"/>
  <c r="D1042" i="6"/>
  <c r="D1041" i="6"/>
  <c r="AB1040" i="6"/>
  <c r="AA1040" i="6"/>
  <c r="Z1040" i="6"/>
  <c r="Y1040" i="6"/>
  <c r="X1040" i="6"/>
  <c r="W1040" i="6"/>
  <c r="V1040" i="6"/>
  <c r="U1040" i="6"/>
  <c r="T1040" i="6"/>
  <c r="H1040" i="6"/>
  <c r="G1040" i="6"/>
  <c r="F1040" i="6"/>
  <c r="E1040" i="6"/>
  <c r="C1040" i="6"/>
  <c r="D1040" i="6"/>
  <c r="B1040" i="6"/>
  <c r="D1039" i="6"/>
  <c r="AB1038" i="6"/>
  <c r="AA1038" i="6"/>
  <c r="Z1038" i="6"/>
  <c r="Y1038" i="6"/>
  <c r="X1038" i="6"/>
  <c r="W1038" i="6"/>
  <c r="V1038" i="6"/>
  <c r="U1038" i="6"/>
  <c r="T1038" i="6"/>
  <c r="H1038" i="6"/>
  <c r="G1038" i="6"/>
  <c r="F1038" i="6"/>
  <c r="E1038" i="6"/>
  <c r="C1038" i="6"/>
  <c r="D1038" i="6"/>
  <c r="B1038" i="6"/>
  <c r="H1037" i="6"/>
  <c r="G1037" i="6"/>
  <c r="H1036" i="6"/>
  <c r="G1036" i="6"/>
  <c r="F1036" i="6"/>
  <c r="H1035" i="6"/>
  <c r="G1035" i="6"/>
  <c r="F1035" i="6"/>
  <c r="D1034" i="6"/>
  <c r="D1033" i="6"/>
  <c r="D1032" i="6"/>
  <c r="D1031" i="6"/>
  <c r="AB1030" i="6"/>
  <c r="AA1030" i="6"/>
  <c r="Z1030" i="6"/>
  <c r="Y1030" i="6"/>
  <c r="X1030" i="6"/>
  <c r="W1030" i="6"/>
  <c r="V1030" i="6"/>
  <c r="U1030" i="6"/>
  <c r="T1030" i="6"/>
  <c r="H1030" i="6"/>
  <c r="G1030" i="6"/>
  <c r="F1030" i="6"/>
  <c r="E1030" i="6"/>
  <c r="C1030" i="6"/>
  <c r="D1030" i="6"/>
  <c r="B1030" i="6"/>
  <c r="D1029" i="6"/>
  <c r="AB1028" i="6"/>
  <c r="AA1028" i="6"/>
  <c r="Z1028" i="6"/>
  <c r="Y1028" i="6"/>
  <c r="X1028" i="6"/>
  <c r="W1028" i="6"/>
  <c r="V1028" i="6"/>
  <c r="U1028" i="6"/>
  <c r="T1028" i="6"/>
  <c r="H1028" i="6"/>
  <c r="G1028" i="6"/>
  <c r="F1028" i="6"/>
  <c r="E1028" i="6"/>
  <c r="C1028" i="6"/>
  <c r="D1028" i="6"/>
  <c r="B1028" i="6"/>
  <c r="D1027" i="6"/>
  <c r="AB1026" i="6"/>
  <c r="AA1026" i="6"/>
  <c r="Z1026" i="6"/>
  <c r="Y1026" i="6"/>
  <c r="X1026" i="6"/>
  <c r="W1026" i="6"/>
  <c r="V1026" i="6"/>
  <c r="U1026" i="6"/>
  <c r="T1026" i="6"/>
  <c r="H1026" i="6"/>
  <c r="G1026" i="6"/>
  <c r="F1026" i="6"/>
  <c r="E1026" i="6"/>
  <c r="C1026" i="6"/>
  <c r="D1026" i="6"/>
  <c r="B1026" i="6"/>
  <c r="D1025" i="6"/>
  <c r="AB1024" i="6"/>
  <c r="AA1024" i="6"/>
  <c r="Z1024" i="6"/>
  <c r="Y1024" i="6"/>
  <c r="X1024" i="6"/>
  <c r="W1024" i="6"/>
  <c r="V1024" i="6"/>
  <c r="U1024" i="6"/>
  <c r="T1024" i="6"/>
  <c r="H1024" i="6"/>
  <c r="G1024" i="6"/>
  <c r="F1024" i="6"/>
  <c r="E1024" i="6"/>
  <c r="C1024" i="6"/>
  <c r="D1024" i="6"/>
  <c r="B1024" i="6"/>
  <c r="H1023" i="6"/>
  <c r="G1023" i="6"/>
  <c r="H1022" i="6"/>
  <c r="G1022" i="6"/>
  <c r="F1022" i="6"/>
  <c r="H1021" i="6"/>
  <c r="G1021" i="6"/>
  <c r="F1021" i="6"/>
  <c r="D1020" i="6"/>
  <c r="D1019" i="6"/>
  <c r="D1018" i="6"/>
  <c r="D1017" i="6"/>
  <c r="AB1016" i="6"/>
  <c r="AA1016" i="6"/>
  <c r="Z1016" i="6"/>
  <c r="Y1016" i="6"/>
  <c r="X1016" i="6"/>
  <c r="W1016" i="6"/>
  <c r="V1016" i="6"/>
  <c r="U1016" i="6"/>
  <c r="T1016" i="6"/>
  <c r="H1016" i="6"/>
  <c r="G1016" i="6"/>
  <c r="F1016" i="6"/>
  <c r="E1016" i="6"/>
  <c r="C1016" i="6"/>
  <c r="D1016" i="6"/>
  <c r="B1016" i="6"/>
  <c r="D1015" i="6"/>
  <c r="AB1014" i="6"/>
  <c r="AA1014" i="6"/>
  <c r="Z1014" i="6"/>
  <c r="Y1014" i="6"/>
  <c r="X1014" i="6"/>
  <c r="W1014" i="6"/>
  <c r="V1014" i="6"/>
  <c r="U1014" i="6"/>
  <c r="T1014" i="6"/>
  <c r="H1014" i="6"/>
  <c r="G1014" i="6"/>
  <c r="F1014" i="6"/>
  <c r="E1014" i="6"/>
  <c r="C1014" i="6"/>
  <c r="D1014" i="6"/>
  <c r="B1014" i="6"/>
  <c r="H1013" i="6"/>
  <c r="G1013" i="6"/>
  <c r="H1012" i="6"/>
  <c r="G1012" i="6"/>
  <c r="F1012" i="6"/>
  <c r="H1011" i="6"/>
  <c r="G1011" i="6"/>
  <c r="F1011" i="6"/>
  <c r="D1010" i="6"/>
  <c r="D1009" i="6"/>
  <c r="D1008" i="6"/>
  <c r="D1007" i="6"/>
  <c r="AB1006" i="6"/>
  <c r="AA1006" i="6"/>
  <c r="Z1006" i="6"/>
  <c r="Y1006" i="6"/>
  <c r="X1006" i="6"/>
  <c r="W1006" i="6"/>
  <c r="V1006" i="6"/>
  <c r="U1006" i="6"/>
  <c r="T1006" i="6"/>
  <c r="H1006" i="6"/>
  <c r="G1006" i="6"/>
  <c r="F1006" i="6"/>
  <c r="E1006" i="6"/>
  <c r="C1006" i="6"/>
  <c r="D1006" i="6"/>
  <c r="B1006" i="6"/>
  <c r="D1005" i="6"/>
  <c r="AB1004" i="6"/>
  <c r="AA1004" i="6"/>
  <c r="Z1004" i="6"/>
  <c r="Y1004" i="6"/>
  <c r="X1004" i="6"/>
  <c r="W1004" i="6"/>
  <c r="V1004" i="6"/>
  <c r="U1004" i="6"/>
  <c r="T1004" i="6"/>
  <c r="H1004" i="6"/>
  <c r="G1004" i="6"/>
  <c r="F1004" i="6"/>
  <c r="E1004" i="6"/>
  <c r="C1004" i="6"/>
  <c r="D1004" i="6"/>
  <c r="B1004" i="6"/>
  <c r="H1003" i="6"/>
  <c r="G1003" i="6"/>
  <c r="H1002" i="6"/>
  <c r="G1002" i="6"/>
  <c r="F1002" i="6"/>
  <c r="H1001" i="6"/>
  <c r="G1001" i="6"/>
  <c r="F1001" i="6"/>
  <c r="D1000" i="6"/>
  <c r="D999" i="6"/>
  <c r="D998" i="6"/>
  <c r="D997" i="6"/>
  <c r="C996" i="6"/>
  <c r="AB995" i="6"/>
  <c r="AA995" i="6"/>
  <c r="Z995" i="6"/>
  <c r="Y995" i="6"/>
  <c r="X995" i="6"/>
  <c r="W995" i="6"/>
  <c r="V995" i="6"/>
  <c r="U995" i="6"/>
  <c r="T995" i="6"/>
  <c r="H995" i="6"/>
  <c r="G995" i="6"/>
  <c r="F995" i="6"/>
  <c r="E995" i="6"/>
  <c r="C995" i="6"/>
  <c r="D995" i="6"/>
  <c r="B995" i="6"/>
  <c r="D994" i="6"/>
  <c r="AB993" i="6"/>
  <c r="AA993" i="6"/>
  <c r="Z993" i="6"/>
  <c r="Y993" i="6"/>
  <c r="X993" i="6"/>
  <c r="W993" i="6"/>
  <c r="V993" i="6"/>
  <c r="U993" i="6"/>
  <c r="T993" i="6"/>
  <c r="H993" i="6"/>
  <c r="G993" i="6"/>
  <c r="F993" i="6"/>
  <c r="E993" i="6"/>
  <c r="C993" i="6"/>
  <c r="D993" i="6"/>
  <c r="B993" i="6"/>
  <c r="H992" i="6"/>
  <c r="G992" i="6"/>
  <c r="H991" i="6"/>
  <c r="G991" i="6"/>
  <c r="F991" i="6"/>
  <c r="H990" i="6"/>
  <c r="G990" i="6"/>
  <c r="F990" i="6"/>
  <c r="D989" i="6"/>
  <c r="D988" i="6"/>
  <c r="D987" i="6"/>
  <c r="D986" i="6"/>
  <c r="C985" i="6"/>
  <c r="AB984" i="6"/>
  <c r="AA984" i="6"/>
  <c r="Z984" i="6"/>
  <c r="Y984" i="6"/>
  <c r="X984" i="6"/>
  <c r="W984" i="6"/>
  <c r="V984" i="6"/>
  <c r="U984" i="6"/>
  <c r="T984" i="6"/>
  <c r="H984" i="6"/>
  <c r="G984" i="6"/>
  <c r="F984" i="6"/>
  <c r="E984" i="6"/>
  <c r="C984" i="6"/>
  <c r="D984" i="6"/>
  <c r="B984" i="6"/>
  <c r="D983" i="6"/>
  <c r="AB982" i="6"/>
  <c r="AA982" i="6"/>
  <c r="Z982" i="6"/>
  <c r="Y982" i="6"/>
  <c r="X982" i="6"/>
  <c r="W982" i="6"/>
  <c r="V982" i="6"/>
  <c r="U982" i="6"/>
  <c r="T982" i="6"/>
  <c r="H982" i="6"/>
  <c r="G982" i="6"/>
  <c r="F982" i="6"/>
  <c r="E982" i="6"/>
  <c r="C982" i="6"/>
  <c r="D982" i="6"/>
  <c r="B982" i="6"/>
  <c r="D981" i="6"/>
  <c r="AB980" i="6"/>
  <c r="AA980" i="6"/>
  <c r="Z980" i="6"/>
  <c r="Y980" i="6"/>
  <c r="X980" i="6"/>
  <c r="W980" i="6"/>
  <c r="V980" i="6"/>
  <c r="U980" i="6"/>
  <c r="T980" i="6"/>
  <c r="H980" i="6"/>
  <c r="G980" i="6"/>
  <c r="F980" i="6"/>
  <c r="E980" i="6"/>
  <c r="C980" i="6"/>
  <c r="D980" i="6"/>
  <c r="B980" i="6"/>
  <c r="D979" i="6"/>
  <c r="AB978" i="6"/>
  <c r="AA978" i="6"/>
  <c r="Z978" i="6"/>
  <c r="Y978" i="6"/>
  <c r="X978" i="6"/>
  <c r="W978" i="6"/>
  <c r="V978" i="6"/>
  <c r="U978" i="6"/>
  <c r="T978" i="6"/>
  <c r="H978" i="6"/>
  <c r="G978" i="6"/>
  <c r="F978" i="6"/>
  <c r="E978" i="6"/>
  <c r="C978" i="6"/>
  <c r="D978" i="6"/>
  <c r="B978" i="6"/>
  <c r="H977" i="6"/>
  <c r="G977" i="6"/>
  <c r="H976" i="6"/>
  <c r="G976" i="6"/>
  <c r="F976" i="6"/>
  <c r="H975" i="6"/>
  <c r="G975" i="6"/>
  <c r="F975" i="6"/>
  <c r="D974" i="6"/>
  <c r="D973" i="6"/>
  <c r="D972" i="6"/>
  <c r="D971" i="6"/>
  <c r="C970" i="6"/>
  <c r="AB969" i="6"/>
  <c r="AA969" i="6"/>
  <c r="Z969" i="6"/>
  <c r="Y969" i="6"/>
  <c r="X969" i="6"/>
  <c r="W969" i="6"/>
  <c r="V969" i="6"/>
  <c r="U969" i="6"/>
  <c r="T969" i="6"/>
  <c r="H969" i="6"/>
  <c r="G969" i="6"/>
  <c r="F969" i="6"/>
  <c r="E969" i="6"/>
  <c r="C969" i="6"/>
  <c r="D969" i="6"/>
  <c r="B969" i="6"/>
  <c r="D968" i="6"/>
  <c r="AB967" i="6"/>
  <c r="AA967" i="6"/>
  <c r="Z967" i="6"/>
  <c r="Y967" i="6"/>
  <c r="X967" i="6"/>
  <c r="W967" i="6"/>
  <c r="V967" i="6"/>
  <c r="U967" i="6"/>
  <c r="T967" i="6"/>
  <c r="H967" i="6"/>
  <c r="G967" i="6"/>
  <c r="F967" i="6"/>
  <c r="E967" i="6"/>
  <c r="C967" i="6"/>
  <c r="D967" i="6"/>
  <c r="B967" i="6"/>
  <c r="H966" i="6"/>
  <c r="G966" i="6"/>
  <c r="H965" i="6"/>
  <c r="G965" i="6"/>
  <c r="F965" i="6"/>
  <c r="H964" i="6"/>
  <c r="G964" i="6"/>
  <c r="F964" i="6"/>
  <c r="D963" i="6"/>
  <c r="D962" i="6"/>
  <c r="D961" i="6"/>
  <c r="D960" i="6"/>
  <c r="AB959" i="6"/>
  <c r="AA959" i="6"/>
  <c r="Z959" i="6"/>
  <c r="Y959" i="6"/>
  <c r="X959" i="6"/>
  <c r="W959" i="6"/>
  <c r="V959" i="6"/>
  <c r="U959" i="6"/>
  <c r="T959" i="6"/>
  <c r="H959" i="6"/>
  <c r="G959" i="6"/>
  <c r="F959" i="6"/>
  <c r="E959" i="6"/>
  <c r="C959" i="6"/>
  <c r="D959" i="6"/>
  <c r="B959" i="6"/>
  <c r="D958" i="6"/>
  <c r="AB957" i="6"/>
  <c r="AA957" i="6"/>
  <c r="Z957" i="6"/>
  <c r="Y957" i="6"/>
  <c r="X957" i="6"/>
  <c r="W957" i="6"/>
  <c r="V957" i="6"/>
  <c r="U957" i="6"/>
  <c r="T957" i="6"/>
  <c r="H957" i="6"/>
  <c r="G957" i="6"/>
  <c r="F957" i="6"/>
  <c r="E957" i="6"/>
  <c r="C957" i="6"/>
  <c r="D957" i="6"/>
  <c r="B957" i="6"/>
  <c r="H956" i="6"/>
  <c r="G956" i="6"/>
  <c r="H955" i="6"/>
  <c r="G955" i="6"/>
  <c r="F955" i="6"/>
  <c r="H954" i="6"/>
  <c r="G954" i="6"/>
  <c r="F954" i="6"/>
  <c r="D953" i="6"/>
  <c r="D952" i="6"/>
  <c r="D951" i="6"/>
  <c r="D950" i="6"/>
  <c r="C949" i="6"/>
  <c r="AB948" i="6"/>
  <c r="AA948" i="6"/>
  <c r="Z948" i="6"/>
  <c r="Y948" i="6"/>
  <c r="X948" i="6"/>
  <c r="W948" i="6"/>
  <c r="V948" i="6"/>
  <c r="U948" i="6"/>
  <c r="T948" i="6"/>
  <c r="H948" i="6"/>
  <c r="G948" i="6"/>
  <c r="F948" i="6"/>
  <c r="E948" i="6"/>
  <c r="C948" i="6"/>
  <c r="D948" i="6"/>
  <c r="B948" i="6"/>
  <c r="D947" i="6"/>
  <c r="AB946" i="6"/>
  <c r="AA946" i="6"/>
  <c r="Z946" i="6"/>
  <c r="Y946" i="6"/>
  <c r="X946" i="6"/>
  <c r="W946" i="6"/>
  <c r="V946" i="6"/>
  <c r="U946" i="6"/>
  <c r="T946" i="6"/>
  <c r="H946" i="6"/>
  <c r="G946" i="6"/>
  <c r="F946" i="6"/>
  <c r="E946" i="6"/>
  <c r="C946" i="6"/>
  <c r="D946" i="6"/>
  <c r="B946" i="6"/>
  <c r="H945" i="6"/>
  <c r="G945" i="6"/>
  <c r="H944" i="6"/>
  <c r="G944" i="6"/>
  <c r="F944" i="6"/>
  <c r="H943" i="6"/>
  <c r="G943" i="6"/>
  <c r="F943" i="6"/>
  <c r="D942" i="6"/>
  <c r="D941" i="6"/>
  <c r="D940" i="6"/>
  <c r="D939" i="6"/>
  <c r="C938" i="6"/>
  <c r="AB937" i="6"/>
  <c r="AA937" i="6"/>
  <c r="Z937" i="6"/>
  <c r="Y937" i="6"/>
  <c r="X937" i="6"/>
  <c r="W937" i="6"/>
  <c r="V937" i="6"/>
  <c r="U937" i="6"/>
  <c r="T937" i="6"/>
  <c r="H937" i="6"/>
  <c r="G937" i="6"/>
  <c r="F937" i="6"/>
  <c r="E937" i="6"/>
  <c r="C937" i="6"/>
  <c r="D937" i="6"/>
  <c r="B937" i="6"/>
  <c r="H936" i="6"/>
  <c r="G936" i="6"/>
  <c r="H935" i="6"/>
  <c r="G935" i="6"/>
  <c r="F935" i="6"/>
  <c r="H934" i="6"/>
  <c r="G934" i="6"/>
  <c r="F934" i="6"/>
  <c r="D933" i="6"/>
  <c r="D932" i="6"/>
  <c r="D931" i="6"/>
  <c r="D930" i="6"/>
  <c r="C929" i="6"/>
  <c r="AB928" i="6"/>
  <c r="AA928" i="6"/>
  <c r="Z928" i="6"/>
  <c r="Y928" i="6"/>
  <c r="X928" i="6"/>
  <c r="W928" i="6"/>
  <c r="V928" i="6"/>
  <c r="U928" i="6"/>
  <c r="T928" i="6"/>
  <c r="H928" i="6"/>
  <c r="G928" i="6"/>
  <c r="F928" i="6"/>
  <c r="E928" i="6"/>
  <c r="C928" i="6"/>
  <c r="D928" i="6"/>
  <c r="B928" i="6"/>
  <c r="D927" i="6"/>
  <c r="AB926" i="6"/>
  <c r="AA926" i="6"/>
  <c r="Z926" i="6"/>
  <c r="Y926" i="6"/>
  <c r="X926" i="6"/>
  <c r="W926" i="6"/>
  <c r="V926" i="6"/>
  <c r="U926" i="6"/>
  <c r="T926" i="6"/>
  <c r="H926" i="6"/>
  <c r="G926" i="6"/>
  <c r="F926" i="6"/>
  <c r="E926" i="6"/>
  <c r="C926" i="6"/>
  <c r="D926" i="6"/>
  <c r="B926" i="6"/>
  <c r="D925" i="6"/>
  <c r="AB924" i="6"/>
  <c r="AA924" i="6"/>
  <c r="Z924" i="6"/>
  <c r="Y924" i="6"/>
  <c r="X924" i="6"/>
  <c r="W924" i="6"/>
  <c r="V924" i="6"/>
  <c r="U924" i="6"/>
  <c r="T924" i="6"/>
  <c r="H924" i="6"/>
  <c r="G924" i="6"/>
  <c r="F924" i="6"/>
  <c r="E924" i="6"/>
  <c r="C924" i="6"/>
  <c r="D924" i="6"/>
  <c r="B924" i="6"/>
  <c r="H923" i="6"/>
  <c r="G923" i="6"/>
  <c r="H922" i="6"/>
  <c r="G922" i="6"/>
  <c r="F922" i="6"/>
  <c r="H921" i="6"/>
  <c r="G921" i="6"/>
  <c r="F921" i="6"/>
  <c r="D920" i="6"/>
  <c r="D919" i="6"/>
  <c r="D918" i="6"/>
  <c r="D917" i="6"/>
  <c r="C916" i="6"/>
  <c r="AB915" i="6"/>
  <c r="AA915" i="6"/>
  <c r="Z915" i="6"/>
  <c r="Y915" i="6"/>
  <c r="X915" i="6"/>
  <c r="W915" i="6"/>
  <c r="V915" i="6"/>
  <c r="U915" i="6"/>
  <c r="T915" i="6"/>
  <c r="H915" i="6"/>
  <c r="G915" i="6"/>
  <c r="F915" i="6"/>
  <c r="E915" i="6"/>
  <c r="C915" i="6"/>
  <c r="D915" i="6"/>
  <c r="B915" i="6"/>
  <c r="D914" i="6"/>
  <c r="AB913" i="6"/>
  <c r="AA913" i="6"/>
  <c r="Z913" i="6"/>
  <c r="Y913" i="6"/>
  <c r="X913" i="6"/>
  <c r="W913" i="6"/>
  <c r="V913" i="6"/>
  <c r="U913" i="6"/>
  <c r="T913" i="6"/>
  <c r="H913" i="6"/>
  <c r="G913" i="6"/>
  <c r="F913" i="6"/>
  <c r="E913" i="6"/>
  <c r="C913" i="6"/>
  <c r="D913" i="6"/>
  <c r="B913" i="6"/>
  <c r="D912" i="6"/>
  <c r="AB911" i="6"/>
  <c r="AA911" i="6"/>
  <c r="Z911" i="6"/>
  <c r="Y911" i="6"/>
  <c r="X911" i="6"/>
  <c r="W911" i="6"/>
  <c r="V911" i="6"/>
  <c r="U911" i="6"/>
  <c r="T911" i="6"/>
  <c r="H911" i="6"/>
  <c r="G911" i="6"/>
  <c r="F911" i="6"/>
  <c r="E911" i="6"/>
  <c r="C911" i="6"/>
  <c r="D911" i="6"/>
  <c r="B911" i="6"/>
  <c r="D910" i="6"/>
  <c r="AB909" i="6"/>
  <c r="AA909" i="6"/>
  <c r="Z909" i="6"/>
  <c r="Y909" i="6"/>
  <c r="X909" i="6"/>
  <c r="W909" i="6"/>
  <c r="V909" i="6"/>
  <c r="U909" i="6"/>
  <c r="T909" i="6"/>
  <c r="H909" i="6"/>
  <c r="G909" i="6"/>
  <c r="F909" i="6"/>
  <c r="E909" i="6"/>
  <c r="C909" i="6"/>
  <c r="D909" i="6"/>
  <c r="B909" i="6"/>
  <c r="H908" i="6"/>
  <c r="G908" i="6"/>
  <c r="H907" i="6"/>
  <c r="G907" i="6"/>
  <c r="F907" i="6"/>
  <c r="H906" i="6"/>
  <c r="G906" i="6"/>
  <c r="F906" i="6"/>
  <c r="D905" i="6"/>
  <c r="D904" i="6"/>
  <c r="D903" i="6"/>
  <c r="D902" i="6"/>
  <c r="C901" i="6"/>
  <c r="AB900" i="6"/>
  <c r="AA900" i="6"/>
  <c r="Z900" i="6"/>
  <c r="Y900" i="6"/>
  <c r="X900" i="6"/>
  <c r="W900" i="6"/>
  <c r="V900" i="6"/>
  <c r="U900" i="6"/>
  <c r="T900" i="6"/>
  <c r="H900" i="6"/>
  <c r="G900" i="6"/>
  <c r="F900" i="6"/>
  <c r="E900" i="6"/>
  <c r="C900" i="6"/>
  <c r="D900" i="6"/>
  <c r="B900" i="6"/>
  <c r="D899" i="6"/>
  <c r="AB898" i="6"/>
  <c r="AA898" i="6"/>
  <c r="Z898" i="6"/>
  <c r="Y898" i="6"/>
  <c r="X898" i="6"/>
  <c r="W898" i="6"/>
  <c r="V898" i="6"/>
  <c r="U898" i="6"/>
  <c r="T898" i="6"/>
  <c r="H898" i="6"/>
  <c r="G898" i="6"/>
  <c r="F898" i="6"/>
  <c r="E898" i="6"/>
  <c r="C898" i="6"/>
  <c r="D898" i="6"/>
  <c r="B898" i="6"/>
  <c r="H897" i="6"/>
  <c r="G897" i="6"/>
  <c r="H896" i="6"/>
  <c r="G896" i="6"/>
  <c r="F896" i="6"/>
  <c r="H895" i="6"/>
  <c r="G895" i="6"/>
  <c r="F895" i="6"/>
  <c r="D894" i="6"/>
  <c r="D893" i="6"/>
  <c r="D892" i="6"/>
  <c r="D891" i="6"/>
  <c r="C890" i="6"/>
  <c r="AB889" i="6"/>
  <c r="AA889" i="6"/>
  <c r="Z889" i="6"/>
  <c r="Y889" i="6"/>
  <c r="X889" i="6"/>
  <c r="W889" i="6"/>
  <c r="V889" i="6"/>
  <c r="U889" i="6"/>
  <c r="T889" i="6"/>
  <c r="H889" i="6"/>
  <c r="G889" i="6"/>
  <c r="F889" i="6"/>
  <c r="E889" i="6"/>
  <c r="C889" i="6"/>
  <c r="D889" i="6"/>
  <c r="B889" i="6"/>
  <c r="D888" i="6"/>
  <c r="AB887" i="6"/>
  <c r="AA887" i="6"/>
  <c r="Z887" i="6"/>
  <c r="Y887" i="6"/>
  <c r="X887" i="6"/>
  <c r="W887" i="6"/>
  <c r="V887" i="6"/>
  <c r="U887" i="6"/>
  <c r="T887" i="6"/>
  <c r="H887" i="6"/>
  <c r="G887" i="6"/>
  <c r="F887" i="6"/>
  <c r="E887" i="6"/>
  <c r="C887" i="6"/>
  <c r="D887" i="6"/>
  <c r="B887" i="6"/>
  <c r="H886" i="6"/>
  <c r="G886" i="6"/>
  <c r="H885" i="6"/>
  <c r="G885" i="6"/>
  <c r="F885" i="6"/>
  <c r="H884" i="6"/>
  <c r="G884" i="6"/>
  <c r="F884" i="6"/>
  <c r="D883" i="6"/>
  <c r="D882" i="6"/>
  <c r="D881" i="6"/>
  <c r="D880" i="6"/>
  <c r="C879" i="6"/>
  <c r="AB878" i="6"/>
  <c r="AA878" i="6"/>
  <c r="Z878" i="6"/>
  <c r="Y878" i="6"/>
  <c r="X878" i="6"/>
  <c r="W878" i="6"/>
  <c r="V878" i="6"/>
  <c r="U878" i="6"/>
  <c r="T878" i="6"/>
  <c r="H878" i="6"/>
  <c r="G878" i="6"/>
  <c r="F878" i="6"/>
  <c r="E878" i="6"/>
  <c r="C878" i="6"/>
  <c r="D878" i="6"/>
  <c r="B878" i="6"/>
  <c r="D877" i="6"/>
  <c r="AB876" i="6"/>
  <c r="AA876" i="6"/>
  <c r="Z876" i="6"/>
  <c r="Y876" i="6"/>
  <c r="X876" i="6"/>
  <c r="W876" i="6"/>
  <c r="V876" i="6"/>
  <c r="U876" i="6"/>
  <c r="T876" i="6"/>
  <c r="H876" i="6"/>
  <c r="G876" i="6"/>
  <c r="F876" i="6"/>
  <c r="E876" i="6"/>
  <c r="C876" i="6"/>
  <c r="D876" i="6"/>
  <c r="B876" i="6"/>
  <c r="D875" i="6"/>
  <c r="AB874" i="6"/>
  <c r="AA874" i="6"/>
  <c r="Z874" i="6"/>
  <c r="Y874" i="6"/>
  <c r="X874" i="6"/>
  <c r="W874" i="6"/>
  <c r="V874" i="6"/>
  <c r="U874" i="6"/>
  <c r="T874" i="6"/>
  <c r="H874" i="6"/>
  <c r="G874" i="6"/>
  <c r="F874" i="6"/>
  <c r="E874" i="6"/>
  <c r="C874" i="6"/>
  <c r="D874" i="6"/>
  <c r="B874" i="6"/>
  <c r="H873" i="6"/>
  <c r="G873" i="6"/>
  <c r="H872" i="6"/>
  <c r="G872" i="6"/>
  <c r="F872" i="6"/>
  <c r="H871" i="6"/>
  <c r="G871" i="6"/>
  <c r="F871" i="6"/>
  <c r="D870" i="6"/>
  <c r="D869" i="6"/>
  <c r="D868" i="6"/>
  <c r="D867" i="6"/>
  <c r="C866" i="6"/>
  <c r="AB865" i="6"/>
  <c r="AA865" i="6"/>
  <c r="Z865" i="6"/>
  <c r="Y865" i="6"/>
  <c r="X865" i="6"/>
  <c r="W865" i="6"/>
  <c r="V865" i="6"/>
  <c r="U865" i="6"/>
  <c r="T865" i="6"/>
  <c r="H865" i="6"/>
  <c r="G865" i="6"/>
  <c r="F865" i="6"/>
  <c r="E865" i="6"/>
  <c r="C865" i="6"/>
  <c r="D865" i="6"/>
  <c r="B865" i="6"/>
  <c r="H864" i="6"/>
  <c r="G864" i="6"/>
  <c r="H863" i="6"/>
  <c r="G863" i="6"/>
  <c r="F863" i="6"/>
  <c r="H862" i="6"/>
  <c r="G862" i="6"/>
  <c r="F862" i="6"/>
  <c r="D861" i="6"/>
  <c r="D860" i="6"/>
  <c r="D859" i="6"/>
  <c r="D858" i="6"/>
  <c r="C857" i="6"/>
  <c r="AB856" i="6"/>
  <c r="AA856" i="6"/>
  <c r="Z856" i="6"/>
  <c r="Y856" i="6"/>
  <c r="X856" i="6"/>
  <c r="W856" i="6"/>
  <c r="V856" i="6"/>
  <c r="U856" i="6"/>
  <c r="T856" i="6"/>
  <c r="H856" i="6"/>
  <c r="G856" i="6"/>
  <c r="F856" i="6"/>
  <c r="E856" i="6"/>
  <c r="C856" i="6"/>
  <c r="D856" i="6"/>
  <c r="B856" i="6"/>
  <c r="H855" i="6"/>
  <c r="G855" i="6"/>
  <c r="H854" i="6"/>
  <c r="G854" i="6"/>
  <c r="F854" i="6"/>
  <c r="H853" i="6"/>
  <c r="G853" i="6"/>
  <c r="F853" i="6"/>
  <c r="D852" i="6"/>
  <c r="D851" i="6"/>
  <c r="D850" i="6"/>
  <c r="D849" i="6"/>
  <c r="C848" i="6"/>
  <c r="AB847" i="6"/>
  <c r="AA847" i="6"/>
  <c r="Z847" i="6"/>
  <c r="Y847" i="6"/>
  <c r="X847" i="6"/>
  <c r="W847" i="6"/>
  <c r="V847" i="6"/>
  <c r="U847" i="6"/>
  <c r="T847" i="6"/>
  <c r="H847" i="6"/>
  <c r="G847" i="6"/>
  <c r="F847" i="6"/>
  <c r="E847" i="6"/>
  <c r="C847" i="6"/>
  <c r="D847" i="6"/>
  <c r="B847" i="6"/>
  <c r="H846" i="6"/>
  <c r="G846" i="6"/>
  <c r="H845" i="6"/>
  <c r="G845" i="6"/>
  <c r="F845" i="6"/>
  <c r="H844" i="6"/>
  <c r="G844" i="6"/>
  <c r="F844" i="6"/>
  <c r="D843" i="6"/>
  <c r="D842" i="6"/>
  <c r="D841" i="6"/>
  <c r="D840" i="6"/>
  <c r="C839" i="6"/>
  <c r="AB838" i="6"/>
  <c r="AA838" i="6"/>
  <c r="Z838" i="6"/>
  <c r="Y838" i="6"/>
  <c r="X838" i="6"/>
  <c r="W838" i="6"/>
  <c r="V838" i="6"/>
  <c r="U838" i="6"/>
  <c r="T838" i="6"/>
  <c r="H838" i="6"/>
  <c r="G838" i="6"/>
  <c r="F838" i="6"/>
  <c r="E838" i="6"/>
  <c r="C838" i="6"/>
  <c r="D838" i="6"/>
  <c r="B838" i="6"/>
  <c r="H837" i="6"/>
  <c r="G837" i="6"/>
  <c r="H836" i="6"/>
  <c r="G836" i="6"/>
  <c r="F836" i="6"/>
  <c r="H835" i="6"/>
  <c r="G835" i="6"/>
  <c r="F835" i="6"/>
  <c r="D828" i="6"/>
  <c r="D827" i="6"/>
  <c r="D826" i="6"/>
  <c r="D825" i="6"/>
  <c r="AB824" i="6"/>
  <c r="AA824" i="6"/>
  <c r="Z824" i="6"/>
  <c r="Y824" i="6"/>
  <c r="X824" i="6"/>
  <c r="W824" i="6"/>
  <c r="V824" i="6"/>
  <c r="U824" i="6"/>
  <c r="T824" i="6"/>
  <c r="H824" i="6"/>
  <c r="G824" i="6"/>
  <c r="F824" i="6"/>
  <c r="E824" i="6"/>
  <c r="C824" i="6"/>
  <c r="D824" i="6"/>
  <c r="B824" i="6"/>
  <c r="H823" i="6"/>
  <c r="G823" i="6"/>
  <c r="H822" i="6"/>
  <c r="G822" i="6"/>
  <c r="F822" i="6"/>
  <c r="H821" i="6"/>
  <c r="G821" i="6"/>
  <c r="F821" i="6"/>
  <c r="D814" i="6"/>
  <c r="D813" i="6"/>
  <c r="D812" i="6"/>
  <c r="D811" i="6"/>
  <c r="AB810" i="6"/>
  <c r="AA810" i="6"/>
  <c r="Z810" i="6"/>
  <c r="Y810" i="6"/>
  <c r="X810" i="6"/>
  <c r="W810" i="6"/>
  <c r="V810" i="6"/>
  <c r="U810" i="6"/>
  <c r="T810" i="6"/>
  <c r="H810" i="6"/>
  <c r="G810" i="6"/>
  <c r="F810" i="6"/>
  <c r="E810" i="6"/>
  <c r="C810" i="6"/>
  <c r="D810" i="6"/>
  <c r="B810" i="6"/>
  <c r="H809" i="6"/>
  <c r="G809" i="6"/>
  <c r="H808" i="6"/>
  <c r="G808" i="6"/>
  <c r="F808" i="6"/>
  <c r="H807" i="6"/>
  <c r="G807" i="6"/>
  <c r="F807" i="6"/>
  <c r="D800" i="6"/>
  <c r="D799" i="6"/>
  <c r="D798" i="6"/>
  <c r="D797" i="6"/>
  <c r="AB796" i="6"/>
  <c r="AA796" i="6"/>
  <c r="Z796" i="6"/>
  <c r="Y796" i="6"/>
  <c r="X796" i="6"/>
  <c r="W796" i="6"/>
  <c r="V796" i="6"/>
  <c r="U796" i="6"/>
  <c r="T796" i="6"/>
  <c r="H796" i="6"/>
  <c r="G796" i="6"/>
  <c r="F796" i="6"/>
  <c r="E796" i="6"/>
  <c r="C796" i="6"/>
  <c r="D796" i="6"/>
  <c r="B796" i="6"/>
  <c r="H795" i="6"/>
  <c r="G795" i="6"/>
  <c r="H794" i="6"/>
  <c r="G794" i="6"/>
  <c r="F794" i="6"/>
  <c r="H793" i="6"/>
  <c r="G793" i="6"/>
  <c r="F793" i="6"/>
  <c r="D792" i="6"/>
  <c r="D791" i="6"/>
  <c r="D790" i="6"/>
  <c r="D789" i="6"/>
  <c r="C788" i="6"/>
  <c r="AB787" i="6"/>
  <c r="AA787" i="6"/>
  <c r="Z787" i="6"/>
  <c r="Y787" i="6"/>
  <c r="X787" i="6"/>
  <c r="W787" i="6"/>
  <c r="V787" i="6"/>
  <c r="U787" i="6"/>
  <c r="T787" i="6"/>
  <c r="H787" i="6"/>
  <c r="G787" i="6"/>
  <c r="F787" i="6"/>
  <c r="E787" i="6"/>
  <c r="C787" i="6"/>
  <c r="D787" i="6"/>
  <c r="B787" i="6"/>
  <c r="H786" i="6"/>
  <c r="G786" i="6"/>
  <c r="H785" i="6"/>
  <c r="G785" i="6"/>
  <c r="F785" i="6"/>
  <c r="H784" i="6"/>
  <c r="G784" i="6"/>
  <c r="F784" i="6"/>
  <c r="D783" i="6"/>
  <c r="D782" i="6"/>
  <c r="D781" i="6"/>
  <c r="D780" i="6"/>
  <c r="C779" i="6"/>
  <c r="AB778" i="6"/>
  <c r="AA778" i="6"/>
  <c r="Z778" i="6"/>
  <c r="Y778" i="6"/>
  <c r="X778" i="6"/>
  <c r="W778" i="6"/>
  <c r="V778" i="6"/>
  <c r="U778" i="6"/>
  <c r="T778" i="6"/>
  <c r="H778" i="6"/>
  <c r="G778" i="6"/>
  <c r="F778" i="6"/>
  <c r="E778" i="6"/>
  <c r="C778" i="6"/>
  <c r="D778" i="6"/>
  <c r="B778" i="6"/>
  <c r="H777" i="6"/>
  <c r="G777" i="6"/>
  <c r="H776" i="6"/>
  <c r="G776" i="6"/>
  <c r="F776" i="6"/>
  <c r="H775" i="6"/>
  <c r="G775" i="6"/>
  <c r="F775" i="6"/>
  <c r="D768" i="6"/>
  <c r="D767" i="6"/>
  <c r="D766" i="6"/>
  <c r="D765" i="6"/>
  <c r="AB764" i="6"/>
  <c r="AA764" i="6"/>
  <c r="Z764" i="6"/>
  <c r="Y764" i="6"/>
  <c r="X764" i="6"/>
  <c r="W764" i="6"/>
  <c r="V764" i="6"/>
  <c r="U764" i="6"/>
  <c r="T764" i="6"/>
  <c r="H764" i="6"/>
  <c r="G764" i="6"/>
  <c r="F764" i="6"/>
  <c r="E764" i="6"/>
  <c r="C764" i="6"/>
  <c r="D764" i="6"/>
  <c r="B764" i="6"/>
  <c r="A763" i="6"/>
  <c r="G761" i="6"/>
  <c r="C761" i="6"/>
  <c r="G760" i="6"/>
  <c r="C760" i="6"/>
  <c r="G759" i="6"/>
  <c r="C759" i="6"/>
  <c r="H756" i="6"/>
  <c r="C756" i="6"/>
  <c r="D754" i="6"/>
  <c r="AB753" i="6"/>
  <c r="AA753" i="6"/>
  <c r="Z753" i="6"/>
  <c r="Y753" i="6"/>
  <c r="X753" i="6"/>
  <c r="W753" i="6"/>
  <c r="V753" i="6"/>
  <c r="U753" i="6"/>
  <c r="T753" i="6"/>
  <c r="H753" i="6"/>
  <c r="G753" i="6"/>
  <c r="F753" i="6"/>
  <c r="E753" i="6"/>
  <c r="C753" i="6"/>
  <c r="D753" i="6"/>
  <c r="B753" i="6"/>
  <c r="D752" i="6"/>
  <c r="AB751" i="6"/>
  <c r="AA751" i="6"/>
  <c r="Z751" i="6"/>
  <c r="Y751" i="6"/>
  <c r="X751" i="6"/>
  <c r="W751" i="6"/>
  <c r="V751" i="6"/>
  <c r="U751" i="6"/>
  <c r="T751" i="6"/>
  <c r="H751" i="6"/>
  <c r="G751" i="6"/>
  <c r="F751" i="6"/>
  <c r="E751" i="6"/>
  <c r="C751" i="6"/>
  <c r="D751" i="6"/>
  <c r="B751" i="6"/>
  <c r="H750" i="6"/>
  <c r="G750" i="6"/>
  <c r="H749" i="6"/>
  <c r="G749" i="6"/>
  <c r="F749" i="6"/>
  <c r="H748" i="6"/>
  <c r="G748" i="6"/>
  <c r="F748" i="6"/>
  <c r="D747" i="6"/>
  <c r="D746" i="6"/>
  <c r="D745" i="6"/>
  <c r="D744" i="6"/>
  <c r="AB743" i="6"/>
  <c r="AA743" i="6"/>
  <c r="Z743" i="6"/>
  <c r="Y743" i="6"/>
  <c r="X743" i="6"/>
  <c r="W743" i="6"/>
  <c r="V743" i="6"/>
  <c r="U743" i="6"/>
  <c r="T743" i="6"/>
  <c r="H743" i="6"/>
  <c r="G743" i="6"/>
  <c r="F743" i="6"/>
  <c r="E743" i="6"/>
  <c r="C743" i="6"/>
  <c r="D743" i="6"/>
  <c r="B743" i="6"/>
  <c r="H742" i="6"/>
  <c r="G742" i="6"/>
  <c r="H741" i="6"/>
  <c r="G741" i="6"/>
  <c r="H740" i="6"/>
  <c r="G740" i="6"/>
  <c r="F740" i="6"/>
  <c r="H739" i="6"/>
  <c r="G739" i="6"/>
  <c r="H738" i="6"/>
  <c r="G738" i="6"/>
  <c r="F738" i="6"/>
  <c r="D732" i="6"/>
  <c r="D731" i="6"/>
  <c r="D730" i="6"/>
  <c r="D729" i="6"/>
  <c r="C728" i="6"/>
  <c r="AB727" i="6"/>
  <c r="AA727" i="6"/>
  <c r="Z727" i="6"/>
  <c r="Y727" i="6"/>
  <c r="X727" i="6"/>
  <c r="W727" i="6"/>
  <c r="V727" i="6"/>
  <c r="U727" i="6"/>
  <c r="T727" i="6"/>
  <c r="H727" i="6"/>
  <c r="G727" i="6"/>
  <c r="F727" i="6"/>
  <c r="E727" i="6"/>
  <c r="C727" i="6"/>
  <c r="D727" i="6"/>
  <c r="B727" i="6"/>
  <c r="D726" i="6"/>
  <c r="AB725" i="6"/>
  <c r="AA725" i="6"/>
  <c r="Z725" i="6"/>
  <c r="Y725" i="6"/>
  <c r="X725" i="6"/>
  <c r="W725" i="6"/>
  <c r="V725" i="6"/>
  <c r="U725" i="6"/>
  <c r="T725" i="6"/>
  <c r="H725" i="6"/>
  <c r="G725" i="6"/>
  <c r="F725" i="6"/>
  <c r="E725" i="6"/>
  <c r="C725" i="6"/>
  <c r="D725" i="6"/>
  <c r="B725" i="6"/>
  <c r="D724" i="6"/>
  <c r="AB723" i="6"/>
  <c r="AA723" i="6"/>
  <c r="Z723" i="6"/>
  <c r="Y723" i="6"/>
  <c r="X723" i="6"/>
  <c r="W723" i="6"/>
  <c r="V723" i="6"/>
  <c r="U723" i="6"/>
  <c r="T723" i="6"/>
  <c r="H723" i="6"/>
  <c r="G723" i="6"/>
  <c r="F723" i="6"/>
  <c r="E723" i="6"/>
  <c r="C723" i="6"/>
  <c r="D723" i="6"/>
  <c r="B723" i="6"/>
  <c r="H722" i="6"/>
  <c r="G722" i="6"/>
  <c r="H721" i="6"/>
  <c r="G721" i="6"/>
  <c r="F721" i="6"/>
  <c r="H720" i="6"/>
  <c r="G720" i="6"/>
  <c r="F720" i="6"/>
  <c r="D719" i="6"/>
  <c r="D718" i="6"/>
  <c r="D717" i="6"/>
  <c r="D716" i="6"/>
  <c r="C715" i="6"/>
  <c r="AB714" i="6"/>
  <c r="AA714" i="6"/>
  <c r="Z714" i="6"/>
  <c r="Y714" i="6"/>
  <c r="X714" i="6"/>
  <c r="W714" i="6"/>
  <c r="V714" i="6"/>
  <c r="U714" i="6"/>
  <c r="T714" i="6"/>
  <c r="H714" i="6"/>
  <c r="G714" i="6"/>
  <c r="F714" i="6"/>
  <c r="E714" i="6"/>
  <c r="C714" i="6"/>
  <c r="D714" i="6"/>
  <c r="B714" i="6"/>
  <c r="H713" i="6"/>
  <c r="G713" i="6"/>
  <c r="H712" i="6"/>
  <c r="G712" i="6"/>
  <c r="F712" i="6"/>
  <c r="H711" i="6"/>
  <c r="G711" i="6"/>
  <c r="F711" i="6"/>
  <c r="D710" i="6"/>
  <c r="D709" i="6"/>
  <c r="D708" i="6"/>
  <c r="D707" i="6"/>
  <c r="C706" i="6"/>
  <c r="AB705" i="6"/>
  <c r="AA705" i="6"/>
  <c r="Z705" i="6"/>
  <c r="Y705" i="6"/>
  <c r="X705" i="6"/>
  <c r="W705" i="6"/>
  <c r="V705" i="6"/>
  <c r="U705" i="6"/>
  <c r="T705" i="6"/>
  <c r="H705" i="6"/>
  <c r="G705" i="6"/>
  <c r="F705" i="6"/>
  <c r="E705" i="6"/>
  <c r="C705" i="6"/>
  <c r="D705" i="6"/>
  <c r="B705" i="6"/>
  <c r="D704" i="6"/>
  <c r="AB703" i="6"/>
  <c r="AA703" i="6"/>
  <c r="Z703" i="6"/>
  <c r="Y703" i="6"/>
  <c r="X703" i="6"/>
  <c r="W703" i="6"/>
  <c r="V703" i="6"/>
  <c r="U703" i="6"/>
  <c r="T703" i="6"/>
  <c r="H703" i="6"/>
  <c r="G703" i="6"/>
  <c r="F703" i="6"/>
  <c r="E703" i="6"/>
  <c r="C703" i="6"/>
  <c r="D703" i="6"/>
  <c r="B703" i="6"/>
  <c r="D702" i="6"/>
  <c r="AB701" i="6"/>
  <c r="AA701" i="6"/>
  <c r="Z701" i="6"/>
  <c r="Y701" i="6"/>
  <c r="X701" i="6"/>
  <c r="W701" i="6"/>
  <c r="V701" i="6"/>
  <c r="U701" i="6"/>
  <c r="T701" i="6"/>
  <c r="H701" i="6"/>
  <c r="G701" i="6"/>
  <c r="F701" i="6"/>
  <c r="E701" i="6"/>
  <c r="C701" i="6"/>
  <c r="D701" i="6"/>
  <c r="B701" i="6"/>
  <c r="H700" i="6"/>
  <c r="G700" i="6"/>
  <c r="H699" i="6"/>
  <c r="G699" i="6"/>
  <c r="H698" i="6"/>
  <c r="G698" i="6"/>
  <c r="F698" i="6"/>
  <c r="H697" i="6"/>
  <c r="G697" i="6"/>
  <c r="H696" i="6"/>
  <c r="G696" i="6"/>
  <c r="F696" i="6"/>
  <c r="D690" i="6"/>
  <c r="D689" i="6"/>
  <c r="D688" i="6"/>
  <c r="D687" i="6"/>
  <c r="C686" i="6"/>
  <c r="AB685" i="6"/>
  <c r="AA685" i="6"/>
  <c r="Z685" i="6"/>
  <c r="Y685" i="6"/>
  <c r="X685" i="6"/>
  <c r="W685" i="6"/>
  <c r="V685" i="6"/>
  <c r="U685" i="6"/>
  <c r="T685" i="6"/>
  <c r="H685" i="6"/>
  <c r="G685" i="6"/>
  <c r="F685" i="6"/>
  <c r="E685" i="6"/>
  <c r="C685" i="6"/>
  <c r="D685" i="6"/>
  <c r="B685" i="6"/>
  <c r="D684" i="6"/>
  <c r="AB683" i="6"/>
  <c r="AA683" i="6"/>
  <c r="Z683" i="6"/>
  <c r="Y683" i="6"/>
  <c r="X683" i="6"/>
  <c r="W683" i="6"/>
  <c r="V683" i="6"/>
  <c r="U683" i="6"/>
  <c r="T683" i="6"/>
  <c r="H683" i="6"/>
  <c r="G683" i="6"/>
  <c r="F683" i="6"/>
  <c r="E683" i="6"/>
  <c r="C683" i="6"/>
  <c r="D683" i="6"/>
  <c r="B683" i="6"/>
  <c r="H682" i="6"/>
  <c r="G682" i="6"/>
  <c r="H681" i="6"/>
  <c r="G681" i="6"/>
  <c r="H680" i="6"/>
  <c r="G680" i="6"/>
  <c r="F680" i="6"/>
  <c r="H679" i="6"/>
  <c r="G679" i="6"/>
  <c r="H678" i="6"/>
  <c r="G678" i="6"/>
  <c r="F678" i="6"/>
  <c r="D672" i="6"/>
  <c r="D671" i="6"/>
  <c r="D670" i="6"/>
  <c r="D669" i="6"/>
  <c r="C668" i="6"/>
  <c r="AB667" i="6"/>
  <c r="AA667" i="6"/>
  <c r="Z667" i="6"/>
  <c r="Y667" i="6"/>
  <c r="X667" i="6"/>
  <c r="W667" i="6"/>
  <c r="V667" i="6"/>
  <c r="U667" i="6"/>
  <c r="T667" i="6"/>
  <c r="H667" i="6"/>
  <c r="G667" i="6"/>
  <c r="F667" i="6"/>
  <c r="E667" i="6"/>
  <c r="C667" i="6"/>
  <c r="D667" i="6"/>
  <c r="B667" i="6"/>
  <c r="D666" i="6"/>
  <c r="AB665" i="6"/>
  <c r="AA665" i="6"/>
  <c r="Z665" i="6"/>
  <c r="Y665" i="6"/>
  <c r="X665" i="6"/>
  <c r="W665" i="6"/>
  <c r="V665" i="6"/>
  <c r="U665" i="6"/>
  <c r="T665" i="6"/>
  <c r="H665" i="6"/>
  <c r="G665" i="6"/>
  <c r="F665" i="6"/>
  <c r="E665" i="6"/>
  <c r="C665" i="6"/>
  <c r="D665" i="6"/>
  <c r="B665" i="6"/>
  <c r="H664" i="6"/>
  <c r="G664" i="6"/>
  <c r="H663" i="6"/>
  <c r="G663" i="6"/>
  <c r="H662" i="6"/>
  <c r="G662" i="6"/>
  <c r="F662" i="6"/>
  <c r="H661" i="6"/>
  <c r="G661" i="6"/>
  <c r="H660" i="6"/>
  <c r="G660" i="6"/>
  <c r="F660" i="6"/>
  <c r="D654" i="6"/>
  <c r="D653" i="6"/>
  <c r="D652" i="6"/>
  <c r="D651" i="6"/>
  <c r="C650" i="6"/>
  <c r="AB649" i="6"/>
  <c r="AA649" i="6"/>
  <c r="Z649" i="6"/>
  <c r="Y649" i="6"/>
  <c r="X649" i="6"/>
  <c r="W649" i="6"/>
  <c r="V649" i="6"/>
  <c r="U649" i="6"/>
  <c r="T649" i="6"/>
  <c r="H649" i="6"/>
  <c r="G649" i="6"/>
  <c r="F649" i="6"/>
  <c r="E649" i="6"/>
  <c r="C649" i="6"/>
  <c r="D649" i="6"/>
  <c r="B649" i="6"/>
  <c r="D648" i="6"/>
  <c r="AB647" i="6"/>
  <c r="AA647" i="6"/>
  <c r="Z647" i="6"/>
  <c r="Y647" i="6"/>
  <c r="X647" i="6"/>
  <c r="W647" i="6"/>
  <c r="V647" i="6"/>
  <c r="U647" i="6"/>
  <c r="T647" i="6"/>
  <c r="H647" i="6"/>
  <c r="G647" i="6"/>
  <c r="F647" i="6"/>
  <c r="E647" i="6"/>
  <c r="C647" i="6"/>
  <c r="D647" i="6"/>
  <c r="B647" i="6"/>
  <c r="D646" i="6"/>
  <c r="AB645" i="6"/>
  <c r="AA645" i="6"/>
  <c r="Z645" i="6"/>
  <c r="Y645" i="6"/>
  <c r="X645" i="6"/>
  <c r="W645" i="6"/>
  <c r="V645" i="6"/>
  <c r="U645" i="6"/>
  <c r="T645" i="6"/>
  <c r="H645" i="6"/>
  <c r="G645" i="6"/>
  <c r="F645" i="6"/>
  <c r="E645" i="6"/>
  <c r="C645" i="6"/>
  <c r="D645" i="6"/>
  <c r="B645" i="6"/>
  <c r="H644" i="6"/>
  <c r="G644" i="6"/>
  <c r="H643" i="6"/>
  <c r="G643" i="6"/>
  <c r="F643" i="6"/>
  <c r="H642" i="6"/>
  <c r="G642" i="6"/>
  <c r="F642" i="6"/>
  <c r="D641" i="6"/>
  <c r="D640" i="6"/>
  <c r="D639" i="6"/>
  <c r="D638" i="6"/>
  <c r="C637" i="6"/>
  <c r="AB636" i="6"/>
  <c r="AA636" i="6"/>
  <c r="Z636" i="6"/>
  <c r="Y636" i="6"/>
  <c r="X636" i="6"/>
  <c r="W636" i="6"/>
  <c r="V636" i="6"/>
  <c r="U636" i="6"/>
  <c r="T636" i="6"/>
  <c r="H636" i="6"/>
  <c r="G636" i="6"/>
  <c r="F636" i="6"/>
  <c r="E636" i="6"/>
  <c r="C636" i="6"/>
  <c r="D636" i="6"/>
  <c r="B636" i="6"/>
  <c r="D635" i="6"/>
  <c r="AB634" i="6"/>
  <c r="AA634" i="6"/>
  <c r="Z634" i="6"/>
  <c r="Y634" i="6"/>
  <c r="X634" i="6"/>
  <c r="W634" i="6"/>
  <c r="V634" i="6"/>
  <c r="U634" i="6"/>
  <c r="T634" i="6"/>
  <c r="H634" i="6"/>
  <c r="G634" i="6"/>
  <c r="F634" i="6"/>
  <c r="E634" i="6"/>
  <c r="C634" i="6"/>
  <c r="D634" i="6"/>
  <c r="B634" i="6"/>
  <c r="D633" i="6"/>
  <c r="AB632" i="6"/>
  <c r="AA632" i="6"/>
  <c r="Z632" i="6"/>
  <c r="Y632" i="6"/>
  <c r="X632" i="6"/>
  <c r="W632" i="6"/>
  <c r="V632" i="6"/>
  <c r="U632" i="6"/>
  <c r="T632" i="6"/>
  <c r="H632" i="6"/>
  <c r="G632" i="6"/>
  <c r="F632" i="6"/>
  <c r="E632" i="6"/>
  <c r="C632" i="6"/>
  <c r="D632" i="6"/>
  <c r="B632" i="6"/>
  <c r="H631" i="6"/>
  <c r="G631" i="6"/>
  <c r="H630" i="6"/>
  <c r="G630" i="6"/>
  <c r="F630" i="6"/>
  <c r="H629" i="6"/>
  <c r="G629" i="6"/>
  <c r="F629" i="6"/>
  <c r="D628" i="6"/>
  <c r="D627" i="6"/>
  <c r="D626" i="6"/>
  <c r="D625" i="6"/>
  <c r="C624" i="6"/>
  <c r="AB623" i="6"/>
  <c r="AA623" i="6"/>
  <c r="Z623" i="6"/>
  <c r="Y623" i="6"/>
  <c r="X623" i="6"/>
  <c r="W623" i="6"/>
  <c r="V623" i="6"/>
  <c r="U623" i="6"/>
  <c r="T623" i="6"/>
  <c r="H623" i="6"/>
  <c r="G623" i="6"/>
  <c r="F623" i="6"/>
  <c r="E623" i="6"/>
  <c r="C623" i="6"/>
  <c r="D623" i="6"/>
  <c r="B623" i="6"/>
  <c r="D622" i="6"/>
  <c r="AB621" i="6"/>
  <c r="AA621" i="6"/>
  <c r="Z621" i="6"/>
  <c r="Y621" i="6"/>
  <c r="X621" i="6"/>
  <c r="W621" i="6"/>
  <c r="V621" i="6"/>
  <c r="U621" i="6"/>
  <c r="T621" i="6"/>
  <c r="H621" i="6"/>
  <c r="G621" i="6"/>
  <c r="F621" i="6"/>
  <c r="E621" i="6"/>
  <c r="C621" i="6"/>
  <c r="D621" i="6"/>
  <c r="B621" i="6"/>
  <c r="H620" i="6"/>
  <c r="G620" i="6"/>
  <c r="H619" i="6"/>
  <c r="G619" i="6"/>
  <c r="H618" i="6"/>
  <c r="G618" i="6"/>
  <c r="F618" i="6"/>
  <c r="H617" i="6"/>
  <c r="G617" i="6"/>
  <c r="H616" i="6"/>
  <c r="G616" i="6"/>
  <c r="F616" i="6"/>
  <c r="D610" i="6"/>
  <c r="D609" i="6"/>
  <c r="D608" i="6"/>
  <c r="D607" i="6"/>
  <c r="C606" i="6"/>
  <c r="AB605" i="6"/>
  <c r="AA605" i="6"/>
  <c r="Z605" i="6"/>
  <c r="Y605" i="6"/>
  <c r="X605" i="6"/>
  <c r="W605" i="6"/>
  <c r="V605" i="6"/>
  <c r="U605" i="6"/>
  <c r="T605" i="6"/>
  <c r="H605" i="6"/>
  <c r="G605" i="6"/>
  <c r="F605" i="6"/>
  <c r="E605" i="6"/>
  <c r="C605" i="6"/>
  <c r="D605" i="6"/>
  <c r="B605" i="6"/>
  <c r="D604" i="6"/>
  <c r="AB603" i="6"/>
  <c r="AA603" i="6"/>
  <c r="Z603" i="6"/>
  <c r="Y603" i="6"/>
  <c r="X603" i="6"/>
  <c r="W603" i="6"/>
  <c r="V603" i="6"/>
  <c r="U603" i="6"/>
  <c r="T603" i="6"/>
  <c r="H603" i="6"/>
  <c r="G603" i="6"/>
  <c r="F603" i="6"/>
  <c r="E603" i="6"/>
  <c r="C603" i="6"/>
  <c r="D603" i="6"/>
  <c r="B603" i="6"/>
  <c r="D602" i="6"/>
  <c r="AB601" i="6"/>
  <c r="AA601" i="6"/>
  <c r="Z601" i="6"/>
  <c r="Y601" i="6"/>
  <c r="X601" i="6"/>
  <c r="W601" i="6"/>
  <c r="V601" i="6"/>
  <c r="U601" i="6"/>
  <c r="T601" i="6"/>
  <c r="H601" i="6"/>
  <c r="G601" i="6"/>
  <c r="F601" i="6"/>
  <c r="E601" i="6"/>
  <c r="D601" i="6"/>
  <c r="B601" i="6"/>
  <c r="H600" i="6"/>
  <c r="G600" i="6"/>
  <c r="H599" i="6"/>
  <c r="G599" i="6"/>
  <c r="H598" i="6"/>
  <c r="G598" i="6"/>
  <c r="F598" i="6"/>
  <c r="H597" i="6"/>
  <c r="G597" i="6"/>
  <c r="H596" i="6"/>
  <c r="G596" i="6"/>
  <c r="F596" i="6"/>
  <c r="D590" i="6"/>
  <c r="D589" i="6"/>
  <c r="D588" i="6"/>
  <c r="D587" i="6"/>
  <c r="C586" i="6"/>
  <c r="AB585" i="6"/>
  <c r="AA585" i="6"/>
  <c r="Z585" i="6"/>
  <c r="Y585" i="6"/>
  <c r="X585" i="6"/>
  <c r="W585" i="6"/>
  <c r="V585" i="6"/>
  <c r="U585" i="6"/>
  <c r="T585" i="6"/>
  <c r="H585" i="6"/>
  <c r="G585" i="6"/>
  <c r="F585" i="6"/>
  <c r="E585" i="6"/>
  <c r="C585" i="6"/>
  <c r="D585" i="6"/>
  <c r="B585" i="6"/>
  <c r="D584" i="6"/>
  <c r="AB583" i="6"/>
  <c r="AA583" i="6"/>
  <c r="Z583" i="6"/>
  <c r="Y583" i="6"/>
  <c r="X583" i="6"/>
  <c r="W583" i="6"/>
  <c r="V583" i="6"/>
  <c r="U583" i="6"/>
  <c r="T583" i="6"/>
  <c r="H583" i="6"/>
  <c r="G583" i="6"/>
  <c r="F583" i="6"/>
  <c r="E583" i="6"/>
  <c r="C583" i="6"/>
  <c r="D583" i="6"/>
  <c r="B583" i="6"/>
  <c r="D582" i="6"/>
  <c r="AB581" i="6"/>
  <c r="AA581" i="6"/>
  <c r="Z581" i="6"/>
  <c r="Y581" i="6"/>
  <c r="X581" i="6"/>
  <c r="W581" i="6"/>
  <c r="V581" i="6"/>
  <c r="U581" i="6"/>
  <c r="T581" i="6"/>
  <c r="H581" i="6"/>
  <c r="G581" i="6"/>
  <c r="F581" i="6"/>
  <c r="E581" i="6"/>
  <c r="C581" i="6"/>
  <c r="D581" i="6"/>
  <c r="B581" i="6"/>
  <c r="H580" i="6"/>
  <c r="G580" i="6"/>
  <c r="H579" i="6"/>
  <c r="G579" i="6"/>
  <c r="H578" i="6"/>
  <c r="G578" i="6"/>
  <c r="F578" i="6"/>
  <c r="H577" i="6"/>
  <c r="G577" i="6"/>
  <c r="H576" i="6"/>
  <c r="G576" i="6"/>
  <c r="F576" i="6"/>
  <c r="D570" i="6"/>
  <c r="D569" i="6"/>
  <c r="D568" i="6"/>
  <c r="D567" i="6"/>
  <c r="C566" i="6"/>
  <c r="AB565" i="6"/>
  <c r="AA565" i="6"/>
  <c r="Z565" i="6"/>
  <c r="Y565" i="6"/>
  <c r="X565" i="6"/>
  <c r="W565" i="6"/>
  <c r="V565" i="6"/>
  <c r="U565" i="6"/>
  <c r="T565" i="6"/>
  <c r="H565" i="6"/>
  <c r="G565" i="6"/>
  <c r="F565" i="6"/>
  <c r="E565" i="6"/>
  <c r="C565" i="6"/>
  <c r="D565" i="6"/>
  <c r="B565" i="6"/>
  <c r="D564" i="6"/>
  <c r="AB563" i="6"/>
  <c r="AA563" i="6"/>
  <c r="Z563" i="6"/>
  <c r="Y563" i="6"/>
  <c r="X563" i="6"/>
  <c r="W563" i="6"/>
  <c r="V563" i="6"/>
  <c r="U563" i="6"/>
  <c r="T563" i="6"/>
  <c r="H563" i="6"/>
  <c r="G563" i="6"/>
  <c r="F563" i="6"/>
  <c r="E563" i="6"/>
  <c r="C563" i="6"/>
  <c r="D563" i="6"/>
  <c r="B563" i="6"/>
  <c r="H562" i="6"/>
  <c r="G562" i="6"/>
  <c r="H561" i="6"/>
  <c r="G561" i="6"/>
  <c r="H560" i="6"/>
  <c r="G560" i="6"/>
  <c r="F560" i="6"/>
  <c r="H559" i="6"/>
  <c r="G559" i="6"/>
  <c r="H558" i="6"/>
  <c r="G558" i="6"/>
  <c r="F558" i="6"/>
  <c r="D552" i="6"/>
  <c r="D551" i="6"/>
  <c r="D550" i="6"/>
  <c r="D549" i="6"/>
  <c r="C548" i="6"/>
  <c r="AB547" i="6"/>
  <c r="AA547" i="6"/>
  <c r="Z547" i="6"/>
  <c r="Y547" i="6"/>
  <c r="X547" i="6"/>
  <c r="W547" i="6"/>
  <c r="V547" i="6"/>
  <c r="U547" i="6"/>
  <c r="T547" i="6"/>
  <c r="H547" i="6"/>
  <c r="G547" i="6"/>
  <c r="F547" i="6"/>
  <c r="E547" i="6"/>
  <c r="C547" i="6"/>
  <c r="D547" i="6"/>
  <c r="B547" i="6"/>
  <c r="H546" i="6"/>
  <c r="G546" i="6"/>
  <c r="H545" i="6"/>
  <c r="G545" i="6"/>
  <c r="H544" i="6"/>
  <c r="G544" i="6"/>
  <c r="F544" i="6"/>
  <c r="H543" i="6"/>
  <c r="G543" i="6"/>
  <c r="H542" i="6"/>
  <c r="G542" i="6"/>
  <c r="F542" i="6"/>
  <c r="D536" i="6"/>
  <c r="D535" i="6"/>
  <c r="D534" i="6"/>
  <c r="D533" i="6"/>
  <c r="C532" i="6"/>
  <c r="AB531" i="6"/>
  <c r="AA531" i="6"/>
  <c r="Z531" i="6"/>
  <c r="Y531" i="6"/>
  <c r="X531" i="6"/>
  <c r="W531" i="6"/>
  <c r="V531" i="6"/>
  <c r="U531" i="6"/>
  <c r="T531" i="6"/>
  <c r="H531" i="6"/>
  <c r="G531" i="6"/>
  <c r="F531" i="6"/>
  <c r="E531" i="6"/>
  <c r="C531" i="6"/>
  <c r="D531" i="6"/>
  <c r="B531" i="6"/>
  <c r="D530" i="6"/>
  <c r="AB529" i="6"/>
  <c r="AA529" i="6"/>
  <c r="Z529" i="6"/>
  <c r="Y529" i="6"/>
  <c r="X529" i="6"/>
  <c r="W529" i="6"/>
  <c r="V529" i="6"/>
  <c r="U529" i="6"/>
  <c r="T529" i="6"/>
  <c r="H529" i="6"/>
  <c r="G529" i="6"/>
  <c r="F529" i="6"/>
  <c r="E529" i="6"/>
  <c r="C529" i="6"/>
  <c r="D529" i="6"/>
  <c r="B529" i="6"/>
  <c r="H528" i="6"/>
  <c r="G528" i="6"/>
  <c r="H527" i="6"/>
  <c r="G527" i="6"/>
  <c r="H526" i="6"/>
  <c r="G526" i="6"/>
  <c r="F526" i="6"/>
  <c r="H525" i="6"/>
  <c r="G525" i="6"/>
  <c r="H524" i="6"/>
  <c r="G524" i="6"/>
  <c r="F524" i="6"/>
  <c r="D518" i="6"/>
  <c r="D517" i="6"/>
  <c r="D516" i="6"/>
  <c r="D515" i="6"/>
  <c r="C514" i="6"/>
  <c r="AB513" i="6"/>
  <c r="AA513" i="6"/>
  <c r="Z513" i="6"/>
  <c r="Y513" i="6"/>
  <c r="X513" i="6"/>
  <c r="W513" i="6"/>
  <c r="V513" i="6"/>
  <c r="U513" i="6"/>
  <c r="T513" i="6"/>
  <c r="H513" i="6"/>
  <c r="G513" i="6"/>
  <c r="F513" i="6"/>
  <c r="E513" i="6"/>
  <c r="C513" i="6"/>
  <c r="D513" i="6"/>
  <c r="B513" i="6"/>
  <c r="D512" i="6"/>
  <c r="AB511" i="6"/>
  <c r="AA511" i="6"/>
  <c r="Z511" i="6"/>
  <c r="Y511" i="6"/>
  <c r="X511" i="6"/>
  <c r="W511" i="6"/>
  <c r="V511" i="6"/>
  <c r="U511" i="6"/>
  <c r="T511" i="6"/>
  <c r="H511" i="6"/>
  <c r="G511" i="6"/>
  <c r="F511" i="6"/>
  <c r="E511" i="6"/>
  <c r="C511" i="6"/>
  <c r="D511" i="6"/>
  <c r="B511" i="6"/>
  <c r="D510" i="6"/>
  <c r="AB509" i="6"/>
  <c r="AA509" i="6"/>
  <c r="Z509" i="6"/>
  <c r="Y509" i="6"/>
  <c r="X509" i="6"/>
  <c r="W509" i="6"/>
  <c r="V509" i="6"/>
  <c r="U509" i="6"/>
  <c r="T509" i="6"/>
  <c r="H509" i="6"/>
  <c r="G509" i="6"/>
  <c r="F509" i="6"/>
  <c r="E509" i="6"/>
  <c r="C509" i="6"/>
  <c r="D509" i="6"/>
  <c r="B509" i="6"/>
  <c r="H508" i="6"/>
  <c r="G508" i="6"/>
  <c r="H507" i="6"/>
  <c r="G507" i="6"/>
  <c r="H506" i="6"/>
  <c r="G506" i="6"/>
  <c r="F506" i="6"/>
  <c r="H505" i="6"/>
  <c r="G505" i="6"/>
  <c r="H504" i="6"/>
  <c r="G504" i="6"/>
  <c r="F504" i="6"/>
  <c r="D498" i="6"/>
  <c r="D497" i="6"/>
  <c r="D496" i="6"/>
  <c r="D495" i="6"/>
  <c r="C494" i="6"/>
  <c r="AB493" i="6"/>
  <c r="AA493" i="6"/>
  <c r="Z493" i="6"/>
  <c r="Y493" i="6"/>
  <c r="X493" i="6"/>
  <c r="W493" i="6"/>
  <c r="V493" i="6"/>
  <c r="U493" i="6"/>
  <c r="T493" i="6"/>
  <c r="H493" i="6"/>
  <c r="G493" i="6"/>
  <c r="F493" i="6"/>
  <c r="E493" i="6"/>
  <c r="C493" i="6"/>
  <c r="D493" i="6"/>
  <c r="B493" i="6"/>
  <c r="D492" i="6"/>
  <c r="AB491" i="6"/>
  <c r="AA491" i="6"/>
  <c r="Z491" i="6"/>
  <c r="Y491" i="6"/>
  <c r="X491" i="6"/>
  <c r="W491" i="6"/>
  <c r="V491" i="6"/>
  <c r="U491" i="6"/>
  <c r="T491" i="6"/>
  <c r="H491" i="6"/>
  <c r="G491" i="6"/>
  <c r="F491" i="6"/>
  <c r="E491" i="6"/>
  <c r="C491" i="6"/>
  <c r="D491" i="6"/>
  <c r="B491" i="6"/>
  <c r="H490" i="6"/>
  <c r="G490" i="6"/>
  <c r="H489" i="6"/>
  <c r="G489" i="6"/>
  <c r="H488" i="6"/>
  <c r="G488" i="6"/>
  <c r="F488" i="6"/>
  <c r="H487" i="6"/>
  <c r="G487" i="6"/>
  <c r="H486" i="6"/>
  <c r="G486" i="6"/>
  <c r="F486" i="6"/>
  <c r="D480" i="6"/>
  <c r="D479" i="6"/>
  <c r="D478" i="6"/>
  <c r="D477" i="6"/>
  <c r="AB476" i="6"/>
  <c r="AA476" i="6"/>
  <c r="Z476" i="6"/>
  <c r="Y476" i="6"/>
  <c r="X476" i="6"/>
  <c r="W476" i="6"/>
  <c r="V476" i="6"/>
  <c r="U476" i="6"/>
  <c r="T476" i="6"/>
  <c r="H476" i="6"/>
  <c r="G476" i="6"/>
  <c r="F476" i="6"/>
  <c r="E476" i="6"/>
  <c r="C476" i="6"/>
  <c r="D476" i="6"/>
  <c r="B476" i="6"/>
  <c r="H475" i="6"/>
  <c r="G475" i="6"/>
  <c r="H474" i="6"/>
  <c r="G474" i="6"/>
  <c r="H473" i="6"/>
  <c r="G473" i="6"/>
  <c r="F473" i="6"/>
  <c r="H472" i="6"/>
  <c r="G472" i="6"/>
  <c r="H471" i="6"/>
  <c r="G471" i="6"/>
  <c r="F471" i="6"/>
  <c r="D465" i="6"/>
  <c r="D464" i="6"/>
  <c r="D463" i="6"/>
  <c r="D462" i="6"/>
  <c r="C461" i="6"/>
  <c r="AB460" i="6"/>
  <c r="AA460" i="6"/>
  <c r="Z460" i="6"/>
  <c r="Y460" i="6"/>
  <c r="X460" i="6"/>
  <c r="W460" i="6"/>
  <c r="V460" i="6"/>
  <c r="U460" i="6"/>
  <c r="T460" i="6"/>
  <c r="H460" i="6"/>
  <c r="G460" i="6"/>
  <c r="F460" i="6"/>
  <c r="E460" i="6"/>
  <c r="C460" i="6"/>
  <c r="D460" i="6"/>
  <c r="B460" i="6"/>
  <c r="H459" i="6"/>
  <c r="G459" i="6"/>
  <c r="H458" i="6"/>
  <c r="G458" i="6"/>
  <c r="H457" i="6"/>
  <c r="G457" i="6"/>
  <c r="F457" i="6"/>
  <c r="H456" i="6"/>
  <c r="G456" i="6"/>
  <c r="H455" i="6"/>
  <c r="G455" i="6"/>
  <c r="F455" i="6"/>
  <c r="D449" i="6"/>
  <c r="D448" i="6"/>
  <c r="D447" i="6"/>
  <c r="D446" i="6"/>
  <c r="C445" i="6"/>
  <c r="AB444" i="6"/>
  <c r="AA444" i="6"/>
  <c r="Z444" i="6"/>
  <c r="Y444" i="6"/>
  <c r="X444" i="6"/>
  <c r="W444" i="6"/>
  <c r="V444" i="6"/>
  <c r="U444" i="6"/>
  <c r="T444" i="6"/>
  <c r="H444" i="6"/>
  <c r="G444" i="6"/>
  <c r="F444" i="6"/>
  <c r="E444" i="6"/>
  <c r="C444" i="6"/>
  <c r="D444" i="6"/>
  <c r="B444" i="6"/>
  <c r="D443" i="6"/>
  <c r="AB442" i="6"/>
  <c r="AA442" i="6"/>
  <c r="Z442" i="6"/>
  <c r="Y442" i="6"/>
  <c r="X442" i="6"/>
  <c r="W442" i="6"/>
  <c r="V442" i="6"/>
  <c r="U442" i="6"/>
  <c r="T442" i="6"/>
  <c r="H442" i="6"/>
  <c r="G442" i="6"/>
  <c r="F442" i="6"/>
  <c r="E442" i="6"/>
  <c r="C442" i="6"/>
  <c r="D442" i="6"/>
  <c r="B442" i="6"/>
  <c r="D441" i="6"/>
  <c r="AB440" i="6"/>
  <c r="AA440" i="6"/>
  <c r="Z440" i="6"/>
  <c r="Y440" i="6"/>
  <c r="X440" i="6"/>
  <c r="W440" i="6"/>
  <c r="V440" i="6"/>
  <c r="U440" i="6"/>
  <c r="T440" i="6"/>
  <c r="H440" i="6"/>
  <c r="G440" i="6"/>
  <c r="F440" i="6"/>
  <c r="E440" i="6"/>
  <c r="C440" i="6"/>
  <c r="D440" i="6"/>
  <c r="B440" i="6"/>
  <c r="D439" i="6"/>
  <c r="AB438" i="6"/>
  <c r="AA438" i="6"/>
  <c r="Z438" i="6"/>
  <c r="Y438" i="6"/>
  <c r="X438" i="6"/>
  <c r="W438" i="6"/>
  <c r="V438" i="6"/>
  <c r="U438" i="6"/>
  <c r="T438" i="6"/>
  <c r="H438" i="6"/>
  <c r="G438" i="6"/>
  <c r="F438" i="6"/>
  <c r="E438" i="6"/>
  <c r="C438" i="6"/>
  <c r="D438" i="6"/>
  <c r="B438" i="6"/>
  <c r="D437" i="6"/>
  <c r="AB436" i="6"/>
  <c r="AA436" i="6"/>
  <c r="Z436" i="6"/>
  <c r="Y436" i="6"/>
  <c r="X436" i="6"/>
  <c r="W436" i="6"/>
  <c r="V436" i="6"/>
  <c r="U436" i="6"/>
  <c r="T436" i="6"/>
  <c r="H436" i="6"/>
  <c r="G436" i="6"/>
  <c r="F436" i="6"/>
  <c r="E436" i="6"/>
  <c r="C436" i="6"/>
  <c r="D436" i="6"/>
  <c r="B436" i="6"/>
  <c r="D435" i="6"/>
  <c r="AB434" i="6"/>
  <c r="AA434" i="6"/>
  <c r="Z434" i="6"/>
  <c r="Y434" i="6"/>
  <c r="X434" i="6"/>
  <c r="W434" i="6"/>
  <c r="V434" i="6"/>
  <c r="U434" i="6"/>
  <c r="T434" i="6"/>
  <c r="H434" i="6"/>
  <c r="G434" i="6"/>
  <c r="F434" i="6"/>
  <c r="E434" i="6"/>
  <c r="C434" i="6"/>
  <c r="D434" i="6"/>
  <c r="B434" i="6"/>
  <c r="D433" i="6"/>
  <c r="AB432" i="6"/>
  <c r="AA432" i="6"/>
  <c r="Z432" i="6"/>
  <c r="Y432" i="6"/>
  <c r="X432" i="6"/>
  <c r="W432" i="6"/>
  <c r="V432" i="6"/>
  <c r="U432" i="6"/>
  <c r="T432" i="6"/>
  <c r="H432" i="6"/>
  <c r="G432" i="6"/>
  <c r="F432" i="6"/>
  <c r="E432" i="6"/>
  <c r="C432" i="6"/>
  <c r="D432" i="6"/>
  <c r="B432" i="6"/>
  <c r="D431" i="6"/>
  <c r="AB430" i="6"/>
  <c r="AA430" i="6"/>
  <c r="Z430" i="6"/>
  <c r="Y430" i="6"/>
  <c r="X430" i="6"/>
  <c r="W430" i="6"/>
  <c r="V430" i="6"/>
  <c r="U430" i="6"/>
  <c r="T430" i="6"/>
  <c r="H430" i="6"/>
  <c r="G430" i="6"/>
  <c r="F430" i="6"/>
  <c r="E430" i="6"/>
  <c r="C430" i="6"/>
  <c r="D430" i="6"/>
  <c r="B430" i="6"/>
  <c r="H429" i="6"/>
  <c r="G429" i="6"/>
  <c r="H428" i="6"/>
  <c r="G428" i="6"/>
  <c r="H427" i="6"/>
  <c r="G427" i="6"/>
  <c r="F427" i="6"/>
  <c r="H426" i="6"/>
  <c r="G426" i="6"/>
  <c r="H425" i="6"/>
  <c r="G425" i="6"/>
  <c r="F425" i="6"/>
  <c r="D419" i="6"/>
  <c r="D418" i="6"/>
  <c r="D417" i="6"/>
  <c r="D416" i="6"/>
  <c r="C415" i="6"/>
  <c r="AB414" i="6"/>
  <c r="AA414" i="6"/>
  <c r="Z414" i="6"/>
  <c r="Y414" i="6"/>
  <c r="X414" i="6"/>
  <c r="W414" i="6"/>
  <c r="V414" i="6"/>
  <c r="U414" i="6"/>
  <c r="T414" i="6"/>
  <c r="H414" i="6"/>
  <c r="G414" i="6"/>
  <c r="F414" i="6"/>
  <c r="E414" i="6"/>
  <c r="C414" i="6"/>
  <c r="D414" i="6"/>
  <c r="B414" i="6"/>
  <c r="H413" i="6"/>
  <c r="G413" i="6"/>
  <c r="H412" i="6"/>
  <c r="G412" i="6"/>
  <c r="H411" i="6"/>
  <c r="G411" i="6"/>
  <c r="F411" i="6"/>
  <c r="H410" i="6"/>
  <c r="G410" i="6"/>
  <c r="H409" i="6"/>
  <c r="G409" i="6"/>
  <c r="F409" i="6"/>
  <c r="D403" i="6"/>
  <c r="D402" i="6"/>
  <c r="D401" i="6"/>
  <c r="D400" i="6"/>
  <c r="C399" i="6"/>
  <c r="AB398" i="6"/>
  <c r="AA398" i="6"/>
  <c r="Z398" i="6"/>
  <c r="Y398" i="6"/>
  <c r="X398" i="6"/>
  <c r="W398" i="6"/>
  <c r="V398" i="6"/>
  <c r="U398" i="6"/>
  <c r="T398" i="6"/>
  <c r="H398" i="6"/>
  <c r="G398" i="6"/>
  <c r="F398" i="6"/>
  <c r="E398" i="6"/>
  <c r="C398" i="6"/>
  <c r="D398" i="6"/>
  <c r="B398" i="6"/>
  <c r="D397" i="6"/>
  <c r="AB396" i="6"/>
  <c r="AA396" i="6"/>
  <c r="Z396" i="6"/>
  <c r="Y396" i="6"/>
  <c r="X396" i="6"/>
  <c r="W396" i="6"/>
  <c r="V396" i="6"/>
  <c r="U396" i="6"/>
  <c r="T396" i="6"/>
  <c r="H396" i="6"/>
  <c r="G396" i="6"/>
  <c r="F396" i="6"/>
  <c r="E396" i="6"/>
  <c r="C396" i="6"/>
  <c r="D396" i="6"/>
  <c r="B396" i="6"/>
  <c r="H395" i="6"/>
  <c r="G395" i="6"/>
  <c r="H394" i="6"/>
  <c r="G394" i="6"/>
  <c r="H393" i="6"/>
  <c r="G393" i="6"/>
  <c r="F393" i="6"/>
  <c r="H392" i="6"/>
  <c r="G392" i="6"/>
  <c r="H391" i="6"/>
  <c r="G391" i="6"/>
  <c r="F391" i="6"/>
  <c r="D384" i="6"/>
  <c r="D383" i="6"/>
  <c r="D382" i="6"/>
  <c r="D381" i="6"/>
  <c r="C380" i="6"/>
  <c r="AB379" i="6"/>
  <c r="AA379" i="6"/>
  <c r="Z379" i="6"/>
  <c r="Y379" i="6"/>
  <c r="X379" i="6"/>
  <c r="W379" i="6"/>
  <c r="V379" i="6"/>
  <c r="U379" i="6"/>
  <c r="T379" i="6"/>
  <c r="H379" i="6"/>
  <c r="G379" i="6"/>
  <c r="F379" i="6"/>
  <c r="E379" i="6"/>
  <c r="C379" i="6"/>
  <c r="D379" i="6"/>
  <c r="B379" i="6"/>
  <c r="D378" i="6"/>
  <c r="AB377" i="6"/>
  <c r="AA377" i="6"/>
  <c r="Z377" i="6"/>
  <c r="Y377" i="6"/>
  <c r="X377" i="6"/>
  <c r="W377" i="6"/>
  <c r="V377" i="6"/>
  <c r="U377" i="6"/>
  <c r="T377" i="6"/>
  <c r="H377" i="6"/>
  <c r="G377" i="6"/>
  <c r="F377" i="6"/>
  <c r="E377" i="6"/>
  <c r="C377" i="6"/>
  <c r="D377" i="6"/>
  <c r="B377" i="6"/>
  <c r="H376" i="6"/>
  <c r="G376" i="6"/>
  <c r="H375" i="6"/>
  <c r="G375" i="6"/>
  <c r="H374" i="6"/>
  <c r="G374" i="6"/>
  <c r="F374" i="6"/>
  <c r="H373" i="6"/>
  <c r="G373" i="6"/>
  <c r="H372" i="6"/>
  <c r="G372" i="6"/>
  <c r="F372" i="6"/>
  <c r="D366" i="6"/>
  <c r="D365" i="6"/>
  <c r="D364" i="6"/>
  <c r="D363" i="6"/>
  <c r="C362" i="6"/>
  <c r="AB361" i="6"/>
  <c r="AA361" i="6"/>
  <c r="Z361" i="6"/>
  <c r="Y361" i="6"/>
  <c r="X361" i="6"/>
  <c r="W361" i="6"/>
  <c r="V361" i="6"/>
  <c r="U361" i="6"/>
  <c r="T361" i="6"/>
  <c r="H361" i="6"/>
  <c r="G361" i="6"/>
  <c r="F361" i="6"/>
  <c r="E361" i="6"/>
  <c r="C361" i="6"/>
  <c r="D361" i="6"/>
  <c r="B361" i="6"/>
  <c r="H360" i="6"/>
  <c r="G360" i="6"/>
  <c r="H359" i="6"/>
  <c r="G359" i="6"/>
  <c r="H358" i="6"/>
  <c r="G358" i="6"/>
  <c r="F358" i="6"/>
  <c r="H357" i="6"/>
  <c r="G357" i="6"/>
  <c r="H356" i="6"/>
  <c r="G356" i="6"/>
  <c r="F356" i="6"/>
  <c r="D350" i="6"/>
  <c r="D349" i="6"/>
  <c r="D348" i="6"/>
  <c r="D347" i="6"/>
  <c r="C346" i="6"/>
  <c r="AB345" i="6"/>
  <c r="AA345" i="6"/>
  <c r="Z345" i="6"/>
  <c r="Y345" i="6"/>
  <c r="X345" i="6"/>
  <c r="W345" i="6"/>
  <c r="V345" i="6"/>
  <c r="U345" i="6"/>
  <c r="T345" i="6"/>
  <c r="H345" i="6"/>
  <c r="G345" i="6"/>
  <c r="F345" i="6"/>
  <c r="E345" i="6"/>
  <c r="C345" i="6"/>
  <c r="D345" i="6"/>
  <c r="B345" i="6"/>
  <c r="D344" i="6"/>
  <c r="AB343" i="6"/>
  <c r="AA343" i="6"/>
  <c r="Z343" i="6"/>
  <c r="Y343" i="6"/>
  <c r="X343" i="6"/>
  <c r="W343" i="6"/>
  <c r="V343" i="6"/>
  <c r="U343" i="6"/>
  <c r="T343" i="6"/>
  <c r="H343" i="6"/>
  <c r="G343" i="6"/>
  <c r="F343" i="6"/>
  <c r="E343" i="6"/>
  <c r="C343" i="6"/>
  <c r="D343" i="6"/>
  <c r="B343" i="6"/>
  <c r="H342" i="6"/>
  <c r="G342" i="6"/>
  <c r="H341" i="6"/>
  <c r="G341" i="6"/>
  <c r="F341" i="6"/>
  <c r="H340" i="6"/>
  <c r="G340" i="6"/>
  <c r="F340" i="6"/>
  <c r="D339" i="6"/>
  <c r="D338" i="6"/>
  <c r="D337" i="6"/>
  <c r="D336" i="6"/>
  <c r="C335" i="6"/>
  <c r="AB334" i="6"/>
  <c r="AA334" i="6"/>
  <c r="Z334" i="6"/>
  <c r="Y334" i="6"/>
  <c r="X334" i="6"/>
  <c r="W334" i="6"/>
  <c r="V334" i="6"/>
  <c r="U334" i="6"/>
  <c r="T334" i="6"/>
  <c r="H334" i="6"/>
  <c r="G334" i="6"/>
  <c r="F334" i="6"/>
  <c r="E334" i="6"/>
  <c r="C334" i="6"/>
  <c r="D334" i="6"/>
  <c r="B334" i="6"/>
  <c r="D333" i="6"/>
  <c r="AB332" i="6"/>
  <c r="AA332" i="6"/>
  <c r="Z332" i="6"/>
  <c r="Y332" i="6"/>
  <c r="X332" i="6"/>
  <c r="W332" i="6"/>
  <c r="V332" i="6"/>
  <c r="U332" i="6"/>
  <c r="T332" i="6"/>
  <c r="H332" i="6"/>
  <c r="G332" i="6"/>
  <c r="F332" i="6"/>
  <c r="E332" i="6"/>
  <c r="C332" i="6"/>
  <c r="D332" i="6"/>
  <c r="B332" i="6"/>
  <c r="H331" i="6"/>
  <c r="G331" i="6"/>
  <c r="H330" i="6"/>
  <c r="G330" i="6"/>
  <c r="H329" i="6"/>
  <c r="G329" i="6"/>
  <c r="F329" i="6"/>
  <c r="H328" i="6"/>
  <c r="G328" i="6"/>
  <c r="H327" i="6"/>
  <c r="G327" i="6"/>
  <c r="F327" i="6"/>
  <c r="D321" i="6"/>
  <c r="D320" i="6"/>
  <c r="D319" i="6"/>
  <c r="D318" i="6"/>
  <c r="AB317" i="6"/>
  <c r="AA317" i="6"/>
  <c r="Z317" i="6"/>
  <c r="Y317" i="6"/>
  <c r="X317" i="6"/>
  <c r="W317" i="6"/>
  <c r="V317" i="6"/>
  <c r="U317" i="6"/>
  <c r="T317" i="6"/>
  <c r="H317" i="6"/>
  <c r="G317" i="6"/>
  <c r="F317" i="6"/>
  <c r="E317" i="6"/>
  <c r="C317" i="6"/>
  <c r="D317" i="6"/>
  <c r="B317" i="6"/>
  <c r="D316" i="6"/>
  <c r="AB315" i="6"/>
  <c r="AA315" i="6"/>
  <c r="Z315" i="6"/>
  <c r="Y315" i="6"/>
  <c r="X315" i="6"/>
  <c r="W315" i="6"/>
  <c r="V315" i="6"/>
  <c r="U315" i="6"/>
  <c r="T315" i="6"/>
  <c r="H315" i="6"/>
  <c r="G315" i="6"/>
  <c r="F315" i="6"/>
  <c r="E315" i="6"/>
  <c r="C315" i="6"/>
  <c r="D315" i="6"/>
  <c r="B315" i="6"/>
  <c r="D314" i="6"/>
  <c r="AB313" i="6"/>
  <c r="AA313" i="6"/>
  <c r="Z313" i="6"/>
  <c r="Y313" i="6"/>
  <c r="X313" i="6"/>
  <c r="W313" i="6"/>
  <c r="V313" i="6"/>
  <c r="U313" i="6"/>
  <c r="T313" i="6"/>
  <c r="H313" i="6"/>
  <c r="G313" i="6"/>
  <c r="F313" i="6"/>
  <c r="E313" i="6"/>
  <c r="C313" i="6"/>
  <c r="D313" i="6"/>
  <c r="B313" i="6"/>
  <c r="D312" i="6"/>
  <c r="AB311" i="6"/>
  <c r="AA311" i="6"/>
  <c r="Z311" i="6"/>
  <c r="Y311" i="6"/>
  <c r="X311" i="6"/>
  <c r="W311" i="6"/>
  <c r="V311" i="6"/>
  <c r="U311" i="6"/>
  <c r="T311" i="6"/>
  <c r="H311" i="6"/>
  <c r="G311" i="6"/>
  <c r="F311" i="6"/>
  <c r="E311" i="6"/>
  <c r="C311" i="6"/>
  <c r="D311" i="6"/>
  <c r="B311" i="6"/>
  <c r="H310" i="6"/>
  <c r="G310" i="6"/>
  <c r="H309" i="6"/>
  <c r="G309" i="6"/>
  <c r="H308" i="6"/>
  <c r="G308" i="6"/>
  <c r="F308" i="6"/>
  <c r="H307" i="6"/>
  <c r="G307" i="6"/>
  <c r="H306" i="6"/>
  <c r="G306" i="6"/>
  <c r="F306" i="6"/>
  <c r="D300" i="6"/>
  <c r="D299" i="6"/>
  <c r="D298" i="6"/>
  <c r="D297" i="6"/>
  <c r="C296" i="6"/>
  <c r="AB295" i="6"/>
  <c r="AA295" i="6"/>
  <c r="Z295" i="6"/>
  <c r="Y295" i="6"/>
  <c r="X295" i="6"/>
  <c r="W295" i="6"/>
  <c r="V295" i="6"/>
  <c r="U295" i="6"/>
  <c r="T295" i="6"/>
  <c r="H295" i="6"/>
  <c r="G295" i="6"/>
  <c r="F295" i="6"/>
  <c r="E295" i="6"/>
  <c r="C295" i="6"/>
  <c r="D295" i="6"/>
  <c r="B295" i="6"/>
  <c r="D294" i="6"/>
  <c r="AB293" i="6"/>
  <c r="AA293" i="6"/>
  <c r="Z293" i="6"/>
  <c r="Y293" i="6"/>
  <c r="X293" i="6"/>
  <c r="W293" i="6"/>
  <c r="V293" i="6"/>
  <c r="U293" i="6"/>
  <c r="T293" i="6"/>
  <c r="H293" i="6"/>
  <c r="G293" i="6"/>
  <c r="F293" i="6"/>
  <c r="E293" i="6"/>
  <c r="C293" i="6"/>
  <c r="D293" i="6"/>
  <c r="B293" i="6"/>
  <c r="D292" i="6"/>
  <c r="AB291" i="6"/>
  <c r="AA291" i="6"/>
  <c r="Z291" i="6"/>
  <c r="Y291" i="6"/>
  <c r="X291" i="6"/>
  <c r="W291" i="6"/>
  <c r="V291" i="6"/>
  <c r="U291" i="6"/>
  <c r="T291" i="6"/>
  <c r="H291" i="6"/>
  <c r="G291" i="6"/>
  <c r="F291" i="6"/>
  <c r="E291" i="6"/>
  <c r="C291" i="6"/>
  <c r="D291" i="6"/>
  <c r="B291" i="6"/>
  <c r="D290" i="6"/>
  <c r="AB289" i="6"/>
  <c r="AA289" i="6"/>
  <c r="Z289" i="6"/>
  <c r="Y289" i="6"/>
  <c r="X289" i="6"/>
  <c r="W289" i="6"/>
  <c r="V289" i="6"/>
  <c r="U289" i="6"/>
  <c r="T289" i="6"/>
  <c r="H289" i="6"/>
  <c r="G289" i="6"/>
  <c r="F289" i="6"/>
  <c r="E289" i="6"/>
  <c r="C289" i="6"/>
  <c r="D289" i="6"/>
  <c r="B289" i="6"/>
  <c r="H288" i="6"/>
  <c r="G288" i="6"/>
  <c r="H287" i="6"/>
  <c r="G287" i="6"/>
  <c r="H286" i="6"/>
  <c r="G286" i="6"/>
  <c r="F286" i="6"/>
  <c r="H285" i="6"/>
  <c r="G285" i="6"/>
  <c r="H284" i="6"/>
  <c r="G284" i="6"/>
  <c r="F284" i="6"/>
  <c r="D278" i="6"/>
  <c r="D277" i="6"/>
  <c r="D276" i="6"/>
  <c r="D275" i="6"/>
  <c r="C274" i="6"/>
  <c r="AB273" i="6"/>
  <c r="AA273" i="6"/>
  <c r="Z273" i="6"/>
  <c r="Y273" i="6"/>
  <c r="X273" i="6"/>
  <c r="W273" i="6"/>
  <c r="V273" i="6"/>
  <c r="U273" i="6"/>
  <c r="T273" i="6"/>
  <c r="H273" i="6"/>
  <c r="G273" i="6"/>
  <c r="F273" i="6"/>
  <c r="E273" i="6"/>
  <c r="C273" i="6"/>
  <c r="D273" i="6"/>
  <c r="B273" i="6"/>
  <c r="D272" i="6"/>
  <c r="AB271" i="6"/>
  <c r="AA271" i="6"/>
  <c r="Z271" i="6"/>
  <c r="Y271" i="6"/>
  <c r="X271" i="6"/>
  <c r="W271" i="6"/>
  <c r="V271" i="6"/>
  <c r="U271" i="6"/>
  <c r="T271" i="6"/>
  <c r="H271" i="6"/>
  <c r="G271" i="6"/>
  <c r="F271" i="6"/>
  <c r="E271" i="6"/>
  <c r="C271" i="6"/>
  <c r="D271" i="6"/>
  <c r="B271" i="6"/>
  <c r="D270" i="6"/>
  <c r="AB269" i="6"/>
  <c r="AA269" i="6"/>
  <c r="Z269" i="6"/>
  <c r="Y269" i="6"/>
  <c r="X269" i="6"/>
  <c r="W269" i="6"/>
  <c r="V269" i="6"/>
  <c r="U269" i="6"/>
  <c r="T269" i="6"/>
  <c r="H269" i="6"/>
  <c r="G269" i="6"/>
  <c r="F269" i="6"/>
  <c r="E269" i="6"/>
  <c r="C269" i="6"/>
  <c r="D269" i="6"/>
  <c r="B269" i="6"/>
  <c r="H268" i="6"/>
  <c r="G268" i="6"/>
  <c r="H267" i="6"/>
  <c r="G267" i="6"/>
  <c r="H266" i="6"/>
  <c r="G266" i="6"/>
  <c r="F266" i="6"/>
  <c r="H265" i="6"/>
  <c r="G265" i="6"/>
  <c r="H264" i="6"/>
  <c r="G264" i="6"/>
  <c r="F264" i="6"/>
  <c r="D258" i="6"/>
  <c r="D257" i="6"/>
  <c r="D256" i="6"/>
  <c r="D255" i="6"/>
  <c r="C254" i="6"/>
  <c r="AB253" i="6"/>
  <c r="AA253" i="6"/>
  <c r="Z253" i="6"/>
  <c r="Y253" i="6"/>
  <c r="X253" i="6"/>
  <c r="W253" i="6"/>
  <c r="V253" i="6"/>
  <c r="U253" i="6"/>
  <c r="T253" i="6"/>
  <c r="H253" i="6"/>
  <c r="G253" i="6"/>
  <c r="F253" i="6"/>
  <c r="E253" i="6"/>
  <c r="C253" i="6"/>
  <c r="D253" i="6"/>
  <c r="B253" i="6"/>
  <c r="D252" i="6"/>
  <c r="AB251" i="6"/>
  <c r="AA251" i="6"/>
  <c r="Z251" i="6"/>
  <c r="Y251" i="6"/>
  <c r="X251" i="6"/>
  <c r="W251" i="6"/>
  <c r="V251" i="6"/>
  <c r="U251" i="6"/>
  <c r="T251" i="6"/>
  <c r="H251" i="6"/>
  <c r="G251" i="6"/>
  <c r="F251" i="6"/>
  <c r="E251" i="6"/>
  <c r="C251" i="6"/>
  <c r="D251" i="6"/>
  <c r="B251" i="6"/>
  <c r="H250" i="6"/>
  <c r="G250" i="6"/>
  <c r="H249" i="6"/>
  <c r="G249" i="6"/>
  <c r="H248" i="6"/>
  <c r="G248" i="6"/>
  <c r="F248" i="6"/>
  <c r="H247" i="6"/>
  <c r="G247" i="6"/>
  <c r="H246" i="6"/>
  <c r="G246" i="6"/>
  <c r="F246" i="6"/>
  <c r="D240" i="6"/>
  <c r="D239" i="6"/>
  <c r="D238" i="6"/>
  <c r="D237" i="6"/>
  <c r="C236" i="6"/>
  <c r="AB235" i="6"/>
  <c r="AA235" i="6"/>
  <c r="Z235" i="6"/>
  <c r="Y235" i="6"/>
  <c r="X235" i="6"/>
  <c r="W235" i="6"/>
  <c r="V235" i="6"/>
  <c r="U235" i="6"/>
  <c r="T235" i="6"/>
  <c r="H235" i="6"/>
  <c r="G235" i="6"/>
  <c r="F235" i="6"/>
  <c r="E235" i="6"/>
  <c r="C235" i="6"/>
  <c r="D235" i="6"/>
  <c r="B235" i="6"/>
  <c r="D234" i="6"/>
  <c r="AB233" i="6"/>
  <c r="AA233" i="6"/>
  <c r="Z233" i="6"/>
  <c r="Y233" i="6"/>
  <c r="X233" i="6"/>
  <c r="W233" i="6"/>
  <c r="V233" i="6"/>
  <c r="U233" i="6"/>
  <c r="T233" i="6"/>
  <c r="H233" i="6"/>
  <c r="G233" i="6"/>
  <c r="F233" i="6"/>
  <c r="E233" i="6"/>
  <c r="C233" i="6"/>
  <c r="D233" i="6"/>
  <c r="B233" i="6"/>
  <c r="H232" i="6"/>
  <c r="G232" i="6"/>
  <c r="H231" i="6"/>
  <c r="G231" i="6"/>
  <c r="H230" i="6"/>
  <c r="G230" i="6"/>
  <c r="F230" i="6"/>
  <c r="H229" i="6"/>
  <c r="G229" i="6"/>
  <c r="H228" i="6"/>
  <c r="G228" i="6"/>
  <c r="F228" i="6"/>
  <c r="D222" i="6"/>
  <c r="D221" i="6"/>
  <c r="D220" i="6"/>
  <c r="D219" i="6"/>
  <c r="AB218" i="6"/>
  <c r="AA218" i="6"/>
  <c r="Z218" i="6"/>
  <c r="Y218" i="6"/>
  <c r="X218" i="6"/>
  <c r="W218" i="6"/>
  <c r="V218" i="6"/>
  <c r="U218" i="6"/>
  <c r="T218" i="6"/>
  <c r="H218" i="6"/>
  <c r="G218" i="6"/>
  <c r="F218" i="6"/>
  <c r="E218" i="6"/>
  <c r="C218" i="6"/>
  <c r="D218" i="6"/>
  <c r="B218" i="6"/>
  <c r="D217" i="6"/>
  <c r="AB216" i="6"/>
  <c r="AA216" i="6"/>
  <c r="Z216" i="6"/>
  <c r="Y216" i="6"/>
  <c r="X216" i="6"/>
  <c r="W216" i="6"/>
  <c r="V216" i="6"/>
  <c r="U216" i="6"/>
  <c r="T216" i="6"/>
  <c r="H216" i="6"/>
  <c r="G216" i="6"/>
  <c r="F216" i="6"/>
  <c r="E216" i="6"/>
  <c r="C216" i="6"/>
  <c r="D216" i="6"/>
  <c r="B216" i="6"/>
  <c r="H215" i="6"/>
  <c r="G215" i="6"/>
  <c r="H214" i="6"/>
  <c r="G214" i="6"/>
  <c r="H213" i="6"/>
  <c r="G213" i="6"/>
  <c r="F213" i="6"/>
  <c r="H212" i="6"/>
  <c r="G212" i="6"/>
  <c r="H211" i="6"/>
  <c r="G211" i="6"/>
  <c r="F211" i="6"/>
  <c r="D205" i="6"/>
  <c r="D204" i="6"/>
  <c r="D203" i="6"/>
  <c r="D202" i="6"/>
  <c r="C201" i="6"/>
  <c r="AB200" i="6"/>
  <c r="AA200" i="6"/>
  <c r="Z200" i="6"/>
  <c r="Y200" i="6"/>
  <c r="X200" i="6"/>
  <c r="W200" i="6"/>
  <c r="V200" i="6"/>
  <c r="U200" i="6"/>
  <c r="T200" i="6"/>
  <c r="H200" i="6"/>
  <c r="G200" i="6"/>
  <c r="F200" i="6"/>
  <c r="E200" i="6"/>
  <c r="C200" i="6"/>
  <c r="D200" i="6"/>
  <c r="B200" i="6"/>
  <c r="D199" i="6"/>
  <c r="AB198" i="6"/>
  <c r="AA198" i="6"/>
  <c r="Z198" i="6"/>
  <c r="Y198" i="6"/>
  <c r="X198" i="6"/>
  <c r="W198" i="6"/>
  <c r="V198" i="6"/>
  <c r="U198" i="6"/>
  <c r="T198" i="6"/>
  <c r="H198" i="6"/>
  <c r="G198" i="6"/>
  <c r="F198" i="6"/>
  <c r="E198" i="6"/>
  <c r="C198" i="6"/>
  <c r="D198" i="6"/>
  <c r="B198" i="6"/>
  <c r="H197" i="6"/>
  <c r="G197" i="6"/>
  <c r="H196" i="6"/>
  <c r="G196" i="6"/>
  <c r="H195" i="6"/>
  <c r="G195" i="6"/>
  <c r="F195" i="6"/>
  <c r="H194" i="6"/>
  <c r="G194" i="6"/>
  <c r="H193" i="6"/>
  <c r="G193" i="6"/>
  <c r="F193" i="6"/>
  <c r="D187" i="6"/>
  <c r="D186" i="6"/>
  <c r="D185" i="6"/>
  <c r="D184" i="6"/>
  <c r="C183" i="6"/>
  <c r="AB182" i="6"/>
  <c r="AA182" i="6"/>
  <c r="Z182" i="6"/>
  <c r="Y182" i="6"/>
  <c r="X182" i="6"/>
  <c r="W182" i="6"/>
  <c r="V182" i="6"/>
  <c r="U182" i="6"/>
  <c r="T182" i="6"/>
  <c r="H182" i="6"/>
  <c r="G182" i="6"/>
  <c r="F182" i="6"/>
  <c r="E182" i="6"/>
  <c r="C182" i="6"/>
  <c r="D182" i="6"/>
  <c r="B182" i="6"/>
  <c r="D181" i="6"/>
  <c r="AB180" i="6"/>
  <c r="AA180" i="6"/>
  <c r="Z180" i="6"/>
  <c r="Y180" i="6"/>
  <c r="X180" i="6"/>
  <c r="W180" i="6"/>
  <c r="V180" i="6"/>
  <c r="U180" i="6"/>
  <c r="T180" i="6"/>
  <c r="H180" i="6"/>
  <c r="G180" i="6"/>
  <c r="F180" i="6"/>
  <c r="E180" i="6"/>
  <c r="C180" i="6"/>
  <c r="D180" i="6"/>
  <c r="B180" i="6"/>
  <c r="D179" i="6"/>
  <c r="AB178" i="6"/>
  <c r="AA178" i="6"/>
  <c r="Z178" i="6"/>
  <c r="Y178" i="6"/>
  <c r="X178" i="6"/>
  <c r="W178" i="6"/>
  <c r="V178" i="6"/>
  <c r="U178" i="6"/>
  <c r="T178" i="6"/>
  <c r="H178" i="6"/>
  <c r="G178" i="6"/>
  <c r="F178" i="6"/>
  <c r="E178" i="6"/>
  <c r="C178" i="6"/>
  <c r="D178" i="6"/>
  <c r="B178" i="6"/>
  <c r="H177" i="6"/>
  <c r="G177" i="6"/>
  <c r="H176" i="6"/>
  <c r="G176" i="6"/>
  <c r="F176" i="6"/>
  <c r="H175" i="6"/>
  <c r="G175" i="6"/>
  <c r="F175" i="6"/>
  <c r="D174" i="6"/>
  <c r="D173" i="6"/>
  <c r="D172" i="6"/>
  <c r="D171" i="6"/>
  <c r="C170" i="6"/>
  <c r="AB169" i="6"/>
  <c r="AA169" i="6"/>
  <c r="Z169" i="6"/>
  <c r="Y169" i="6"/>
  <c r="X169" i="6"/>
  <c r="W169" i="6"/>
  <c r="V169" i="6"/>
  <c r="U169" i="6"/>
  <c r="T169" i="6"/>
  <c r="H169" i="6"/>
  <c r="G169" i="6"/>
  <c r="F169" i="6"/>
  <c r="E169" i="6"/>
  <c r="C169" i="6"/>
  <c r="D169" i="6"/>
  <c r="B169" i="6"/>
  <c r="D168" i="6"/>
  <c r="AB167" i="6"/>
  <c r="AA167" i="6"/>
  <c r="Z167" i="6"/>
  <c r="Y167" i="6"/>
  <c r="X167" i="6"/>
  <c r="W167" i="6"/>
  <c r="V167" i="6"/>
  <c r="U167" i="6"/>
  <c r="T167" i="6"/>
  <c r="H167" i="6"/>
  <c r="G167" i="6"/>
  <c r="F167" i="6"/>
  <c r="E167" i="6"/>
  <c r="C167" i="6"/>
  <c r="D167" i="6"/>
  <c r="B167" i="6"/>
  <c r="H166" i="6"/>
  <c r="G166" i="6"/>
  <c r="H165" i="6"/>
  <c r="G165" i="6"/>
  <c r="H164" i="6"/>
  <c r="G164" i="6"/>
  <c r="F164" i="6"/>
  <c r="H163" i="6"/>
  <c r="G163" i="6"/>
  <c r="H162" i="6"/>
  <c r="G162" i="6"/>
  <c r="F162" i="6"/>
  <c r="D156" i="6"/>
  <c r="D155" i="6"/>
  <c r="D154" i="6"/>
  <c r="D153" i="6"/>
  <c r="C152" i="6"/>
  <c r="AB151" i="6"/>
  <c r="AA151" i="6"/>
  <c r="Z151" i="6"/>
  <c r="Y151" i="6"/>
  <c r="X151" i="6"/>
  <c r="W151" i="6"/>
  <c r="V151" i="6"/>
  <c r="U151" i="6"/>
  <c r="T151" i="6"/>
  <c r="H151" i="6"/>
  <c r="G151" i="6"/>
  <c r="F151" i="6"/>
  <c r="E151" i="6"/>
  <c r="C151" i="6"/>
  <c r="D151" i="6"/>
  <c r="B151" i="6"/>
  <c r="H150" i="6"/>
  <c r="G150" i="6"/>
  <c r="H149" i="6"/>
  <c r="G149" i="6"/>
  <c r="H148" i="6"/>
  <c r="G148" i="6"/>
  <c r="F148" i="6"/>
  <c r="H147" i="6"/>
  <c r="G147" i="6"/>
  <c r="H146" i="6"/>
  <c r="G146" i="6"/>
  <c r="F146" i="6"/>
  <c r="D145" i="6"/>
  <c r="D144" i="6"/>
  <c r="D143" i="6"/>
  <c r="D142" i="6"/>
  <c r="C141" i="6"/>
  <c r="AB140" i="6"/>
  <c r="AA140" i="6"/>
  <c r="Z140" i="6"/>
  <c r="Y140" i="6"/>
  <c r="X140" i="6"/>
  <c r="W140" i="6"/>
  <c r="V140" i="6"/>
  <c r="U140" i="6"/>
  <c r="T140" i="6"/>
  <c r="H140" i="6"/>
  <c r="G140" i="6"/>
  <c r="F140" i="6"/>
  <c r="E140" i="6"/>
  <c r="C140" i="6"/>
  <c r="D140" i="6"/>
  <c r="B140" i="6"/>
  <c r="H139" i="6"/>
  <c r="G139" i="6"/>
  <c r="H138" i="6"/>
  <c r="G138" i="6"/>
  <c r="F138" i="6"/>
  <c r="H137" i="6"/>
  <c r="G137" i="6"/>
  <c r="F137" i="6"/>
  <c r="D136" i="6"/>
  <c r="D135" i="6"/>
  <c r="D134" i="6"/>
  <c r="D133" i="6"/>
  <c r="C132" i="6"/>
  <c r="AB131" i="6"/>
  <c r="AA131" i="6"/>
  <c r="Z131" i="6"/>
  <c r="Y131" i="6"/>
  <c r="X131" i="6"/>
  <c r="W131" i="6"/>
  <c r="V131" i="6"/>
  <c r="U131" i="6"/>
  <c r="T131" i="6"/>
  <c r="H131" i="6"/>
  <c r="G131" i="6"/>
  <c r="F131" i="6"/>
  <c r="E131" i="6"/>
  <c r="C131" i="6"/>
  <c r="D131" i="6"/>
  <c r="B131" i="6"/>
  <c r="H130" i="6"/>
  <c r="G130" i="6"/>
  <c r="H129" i="6"/>
  <c r="G129" i="6"/>
  <c r="F129" i="6"/>
  <c r="H128" i="6"/>
  <c r="G128" i="6"/>
  <c r="F128" i="6"/>
  <c r="D127" i="6"/>
  <c r="D126" i="6"/>
  <c r="D125" i="6"/>
  <c r="D124" i="6"/>
  <c r="C123" i="6"/>
  <c r="AB122" i="6"/>
  <c r="AA122" i="6"/>
  <c r="Z122" i="6"/>
  <c r="Y122" i="6"/>
  <c r="X122" i="6"/>
  <c r="W122" i="6"/>
  <c r="V122" i="6"/>
  <c r="U122" i="6"/>
  <c r="T122" i="6"/>
  <c r="H122" i="6"/>
  <c r="G122" i="6"/>
  <c r="F122" i="6"/>
  <c r="E122" i="6"/>
  <c r="C122" i="6"/>
  <c r="D122" i="6"/>
  <c r="B122" i="6"/>
  <c r="H121" i="6"/>
  <c r="G121" i="6"/>
  <c r="H120" i="6"/>
  <c r="G120" i="6"/>
  <c r="F120" i="6"/>
  <c r="H119" i="6"/>
  <c r="G119" i="6"/>
  <c r="F119" i="6"/>
  <c r="D118" i="6"/>
  <c r="D117" i="6"/>
  <c r="D116" i="6"/>
  <c r="D115" i="6"/>
  <c r="C114" i="6"/>
  <c r="AB113" i="6"/>
  <c r="AA113" i="6"/>
  <c r="Z113" i="6"/>
  <c r="Y113" i="6"/>
  <c r="X113" i="6"/>
  <c r="W113" i="6"/>
  <c r="V113" i="6"/>
  <c r="U113" i="6"/>
  <c r="T113" i="6"/>
  <c r="H113" i="6"/>
  <c r="G113" i="6"/>
  <c r="F113" i="6"/>
  <c r="E113" i="6"/>
  <c r="C113" i="6"/>
  <c r="D113" i="6"/>
  <c r="B113" i="6"/>
  <c r="H112" i="6"/>
  <c r="G112" i="6"/>
  <c r="H111" i="6"/>
  <c r="G111" i="6"/>
  <c r="F111" i="6"/>
  <c r="H110" i="6"/>
  <c r="G110" i="6"/>
  <c r="F110" i="6"/>
  <c r="D109" i="6"/>
  <c r="D108" i="6"/>
  <c r="D107" i="6"/>
  <c r="D106" i="6"/>
  <c r="C105" i="6"/>
  <c r="AB104" i="6"/>
  <c r="AA104" i="6"/>
  <c r="Z104" i="6"/>
  <c r="Y104" i="6"/>
  <c r="X104" i="6"/>
  <c r="W104" i="6"/>
  <c r="V104" i="6"/>
  <c r="U104" i="6"/>
  <c r="T104" i="6"/>
  <c r="H104" i="6"/>
  <c r="G104" i="6"/>
  <c r="F104" i="6"/>
  <c r="E104" i="6"/>
  <c r="C104" i="6"/>
  <c r="D104" i="6"/>
  <c r="B104" i="6"/>
  <c r="H103" i="6"/>
  <c r="G103" i="6"/>
  <c r="H102" i="6"/>
  <c r="G102" i="6"/>
  <c r="F102" i="6"/>
  <c r="H101" i="6"/>
  <c r="G101" i="6"/>
  <c r="F101" i="6"/>
  <c r="D100" i="6"/>
  <c r="D99" i="6"/>
  <c r="D98" i="6"/>
  <c r="D97" i="6"/>
  <c r="C96" i="6"/>
  <c r="AB95" i="6"/>
  <c r="AA95" i="6"/>
  <c r="Z95" i="6"/>
  <c r="Y95" i="6"/>
  <c r="X95" i="6"/>
  <c r="W95" i="6"/>
  <c r="V95" i="6"/>
  <c r="U95" i="6"/>
  <c r="T95" i="6"/>
  <c r="H95" i="6"/>
  <c r="G95" i="6"/>
  <c r="F95" i="6"/>
  <c r="E95" i="6"/>
  <c r="C95" i="6"/>
  <c r="D95" i="6"/>
  <c r="B95" i="6"/>
  <c r="H94" i="6"/>
  <c r="G94" i="6"/>
  <c r="H93" i="6"/>
  <c r="G93" i="6"/>
  <c r="F93" i="6"/>
  <c r="H92" i="6"/>
  <c r="G92" i="6"/>
  <c r="F92" i="6"/>
  <c r="D91" i="6"/>
  <c r="D90" i="6"/>
  <c r="D89" i="6"/>
  <c r="D88" i="6"/>
  <c r="C87" i="6"/>
  <c r="AB86" i="6"/>
  <c r="AA86" i="6"/>
  <c r="Z86" i="6"/>
  <c r="Y86" i="6"/>
  <c r="X86" i="6"/>
  <c r="W86" i="6"/>
  <c r="V86" i="6"/>
  <c r="U86" i="6"/>
  <c r="T86" i="6"/>
  <c r="H86" i="6"/>
  <c r="G86" i="6"/>
  <c r="F86" i="6"/>
  <c r="E86" i="6"/>
  <c r="C86" i="6"/>
  <c r="D86" i="6"/>
  <c r="B86" i="6"/>
  <c r="H85" i="6"/>
  <c r="G85" i="6"/>
  <c r="H84" i="6"/>
  <c r="G84" i="6"/>
  <c r="F84" i="6"/>
  <c r="H83" i="6"/>
  <c r="G83" i="6"/>
  <c r="F83" i="6"/>
  <c r="D82" i="6"/>
  <c r="D81" i="6"/>
  <c r="D80" i="6"/>
  <c r="D79" i="6"/>
  <c r="C78" i="6"/>
  <c r="AB77" i="6"/>
  <c r="AA77" i="6"/>
  <c r="Z77" i="6"/>
  <c r="Y77" i="6"/>
  <c r="X77" i="6"/>
  <c r="W77" i="6"/>
  <c r="V77" i="6"/>
  <c r="U77" i="6"/>
  <c r="T77" i="6"/>
  <c r="H77" i="6"/>
  <c r="G77" i="6"/>
  <c r="F77" i="6"/>
  <c r="E77" i="6"/>
  <c r="C77" i="6"/>
  <c r="D77" i="6"/>
  <c r="B77" i="6"/>
  <c r="H76" i="6"/>
  <c r="G76" i="6"/>
  <c r="H75" i="6"/>
  <c r="G75" i="6"/>
  <c r="F75" i="6"/>
  <c r="H74" i="6"/>
  <c r="G74" i="6"/>
  <c r="F74" i="6"/>
  <c r="D73" i="6"/>
  <c r="D72" i="6"/>
  <c r="D71" i="6"/>
  <c r="D70" i="6"/>
  <c r="C69" i="6"/>
  <c r="AB68" i="6"/>
  <c r="AA68" i="6"/>
  <c r="Z68" i="6"/>
  <c r="Y68" i="6"/>
  <c r="X68" i="6"/>
  <c r="W68" i="6"/>
  <c r="V68" i="6"/>
  <c r="U68" i="6"/>
  <c r="T68" i="6"/>
  <c r="H68" i="6"/>
  <c r="G68" i="6"/>
  <c r="F68" i="6"/>
  <c r="E68" i="6"/>
  <c r="C68" i="6"/>
  <c r="D68" i="6"/>
  <c r="B68" i="6"/>
  <c r="H67" i="6"/>
  <c r="G67" i="6"/>
  <c r="H66" i="6"/>
  <c r="G66" i="6"/>
  <c r="H65" i="6"/>
  <c r="G65" i="6"/>
  <c r="F65" i="6"/>
  <c r="H64" i="6"/>
  <c r="G64" i="6"/>
  <c r="H63" i="6"/>
  <c r="G63" i="6"/>
  <c r="F63" i="6"/>
  <c r="D56" i="6"/>
  <c r="D55" i="6"/>
  <c r="D54" i="6"/>
  <c r="D53" i="6"/>
  <c r="C52" i="6"/>
  <c r="AB51" i="6"/>
  <c r="AA51" i="6"/>
  <c r="Z51" i="6"/>
  <c r="Y51" i="6"/>
  <c r="X51" i="6"/>
  <c r="W51" i="6"/>
  <c r="V51" i="6"/>
  <c r="U51" i="6"/>
  <c r="T51" i="6"/>
  <c r="H51" i="6"/>
  <c r="G51" i="6"/>
  <c r="F51" i="6"/>
  <c r="E51" i="6"/>
  <c r="C51" i="6"/>
  <c r="D51" i="6"/>
  <c r="B51" i="6"/>
  <c r="H50" i="6"/>
  <c r="G50" i="6"/>
  <c r="H49" i="6"/>
  <c r="G49" i="6"/>
  <c r="H48" i="6"/>
  <c r="G48" i="6"/>
  <c r="F48" i="6"/>
  <c r="H47" i="6"/>
  <c r="G47" i="6"/>
  <c r="H46" i="6"/>
  <c r="G46" i="6"/>
  <c r="F46" i="6"/>
  <c r="D45" i="6"/>
  <c r="D44" i="6"/>
  <c r="D43" i="6"/>
  <c r="D42" i="6"/>
  <c r="C41" i="6"/>
  <c r="AB40" i="6"/>
  <c r="AA40" i="6"/>
  <c r="Z40" i="6"/>
  <c r="Y40" i="6"/>
  <c r="X40" i="6"/>
  <c r="W40" i="6"/>
  <c r="V40" i="6"/>
  <c r="U40" i="6"/>
  <c r="T40" i="6"/>
  <c r="H40" i="6"/>
  <c r="G40" i="6"/>
  <c r="F40" i="6"/>
  <c r="E40" i="6"/>
  <c r="C40" i="6"/>
  <c r="D40" i="6"/>
  <c r="B40" i="6"/>
  <c r="A39" i="6"/>
  <c r="A37" i="6"/>
  <c r="F31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F1229" i="5"/>
  <c r="AF1121" i="5"/>
  <c r="J1233" i="5"/>
  <c r="C1233" i="5"/>
  <c r="J1232" i="5"/>
  <c r="C1232" i="5"/>
  <c r="J1231" i="5"/>
  <c r="C1231" i="5"/>
  <c r="I27" i="5"/>
  <c r="I26" i="5"/>
  <c r="G26" i="5" s="1"/>
  <c r="I25" i="5"/>
  <c r="I24" i="5"/>
  <c r="I23" i="5"/>
  <c r="I22" i="5"/>
  <c r="I21" i="5"/>
  <c r="A1229" i="5"/>
  <c r="L1227" i="5"/>
  <c r="Q1227" i="5" s="1"/>
  <c r="Z1227" i="5"/>
  <c r="Y1227" i="5"/>
  <c r="X1227" i="5"/>
  <c r="L1226" i="5"/>
  <c r="G1226" i="5"/>
  <c r="E1226" i="5"/>
  <c r="J1225" i="5"/>
  <c r="F1225" i="5"/>
  <c r="E1225" i="5"/>
  <c r="J1224" i="5"/>
  <c r="F1224" i="5"/>
  <c r="E1224" i="5"/>
  <c r="K1223" i="5"/>
  <c r="J1223" i="5"/>
  <c r="H1223" i="5"/>
  <c r="G1223" i="5"/>
  <c r="F1223" i="5"/>
  <c r="K1222" i="5"/>
  <c r="J1222" i="5"/>
  <c r="H1222" i="5"/>
  <c r="R1222" i="5" s="1"/>
  <c r="G1222" i="5"/>
  <c r="F1222" i="5"/>
  <c r="K1221" i="5"/>
  <c r="J1221" i="5"/>
  <c r="H1221" i="5"/>
  <c r="G1221" i="5"/>
  <c r="F1221" i="5"/>
  <c r="K1220" i="5"/>
  <c r="J1220" i="5"/>
  <c r="H1220" i="5"/>
  <c r="G1220" i="5"/>
  <c r="F1220" i="5"/>
  <c r="V1219" i="5"/>
  <c r="K1225" i="5" s="1"/>
  <c r="T1219" i="5"/>
  <c r="K1224" i="5" s="1"/>
  <c r="U1219" i="5"/>
  <c r="H1225" i="5" s="1"/>
  <c r="S1219" i="5"/>
  <c r="H1224" i="5" s="1"/>
  <c r="F1219" i="5"/>
  <c r="E1219" i="5"/>
  <c r="D1219" i="5"/>
  <c r="I1219" i="5"/>
  <c r="C1219" i="5"/>
  <c r="B1219" i="5"/>
  <c r="A1219" i="5"/>
  <c r="L1218" i="5"/>
  <c r="Q1218" i="5" s="1"/>
  <c r="Z1218" i="5"/>
  <c r="Y1218" i="5"/>
  <c r="X1218" i="5"/>
  <c r="L1217" i="5"/>
  <c r="G1217" i="5"/>
  <c r="E1217" i="5"/>
  <c r="J1216" i="5"/>
  <c r="F1216" i="5"/>
  <c r="E1216" i="5"/>
  <c r="J1215" i="5"/>
  <c r="F1215" i="5"/>
  <c r="E1215" i="5"/>
  <c r="K1214" i="5"/>
  <c r="J1214" i="5"/>
  <c r="H1214" i="5"/>
  <c r="G1214" i="5"/>
  <c r="F1214" i="5"/>
  <c r="K1213" i="5"/>
  <c r="J1213" i="5"/>
  <c r="H1213" i="5"/>
  <c r="G1213" i="5"/>
  <c r="F1213" i="5"/>
  <c r="K1212" i="5"/>
  <c r="J1212" i="5"/>
  <c r="H1212" i="5"/>
  <c r="R1212" i="5" s="1"/>
  <c r="G1212" i="5"/>
  <c r="F1212" i="5"/>
  <c r="C1211" i="5"/>
  <c r="V1210" i="5"/>
  <c r="K1216" i="5" s="1"/>
  <c r="T1210" i="5"/>
  <c r="K1215" i="5" s="1"/>
  <c r="U1210" i="5"/>
  <c r="H1216" i="5" s="1"/>
  <c r="S1210" i="5"/>
  <c r="H1215" i="5" s="1"/>
  <c r="F1210" i="5"/>
  <c r="E1210" i="5"/>
  <c r="D1210" i="5"/>
  <c r="I1210" i="5"/>
  <c r="C1210" i="5"/>
  <c r="B1210" i="5"/>
  <c r="A1210" i="5"/>
  <c r="L1209" i="5"/>
  <c r="Q1209" i="5" s="1"/>
  <c r="Z1209" i="5"/>
  <c r="Y1209" i="5"/>
  <c r="X1209" i="5"/>
  <c r="K1208" i="5"/>
  <c r="J1208" i="5"/>
  <c r="Z1208" i="5"/>
  <c r="Y1208" i="5"/>
  <c r="X1208" i="5"/>
  <c r="H1208" i="5"/>
  <c r="W1208" i="5" s="1"/>
  <c r="F1208" i="5"/>
  <c r="V1208" i="5"/>
  <c r="T1208" i="5"/>
  <c r="U1208" i="5"/>
  <c r="S1208" i="5"/>
  <c r="E1208" i="5"/>
  <c r="D1208" i="5"/>
  <c r="C1208" i="5"/>
  <c r="B1208" i="5"/>
  <c r="A1208" i="5"/>
  <c r="K1207" i="5"/>
  <c r="J1207" i="5"/>
  <c r="Z1207" i="5"/>
  <c r="Y1207" i="5"/>
  <c r="X1207" i="5"/>
  <c r="H1207" i="5"/>
  <c r="W1207" i="5" s="1"/>
  <c r="F1207" i="5"/>
  <c r="V1207" i="5"/>
  <c r="T1207" i="5"/>
  <c r="U1207" i="5"/>
  <c r="S1207" i="5"/>
  <c r="E1207" i="5"/>
  <c r="D1207" i="5"/>
  <c r="C1207" i="5"/>
  <c r="B1207" i="5"/>
  <c r="A1207" i="5"/>
  <c r="K1206" i="5"/>
  <c r="J1206" i="5"/>
  <c r="Z1206" i="5"/>
  <c r="Y1206" i="5"/>
  <c r="X1206" i="5"/>
  <c r="H1206" i="5"/>
  <c r="W1206" i="5" s="1"/>
  <c r="F1206" i="5"/>
  <c r="V1206" i="5"/>
  <c r="T1206" i="5"/>
  <c r="U1206" i="5"/>
  <c r="S1206" i="5"/>
  <c r="E1206" i="5"/>
  <c r="D1206" i="5"/>
  <c r="C1206" i="5"/>
  <c r="B1206" i="5"/>
  <c r="A1206" i="5"/>
  <c r="K1205" i="5"/>
  <c r="J1205" i="5"/>
  <c r="Z1205" i="5"/>
  <c r="Y1205" i="5"/>
  <c r="X1205" i="5"/>
  <c r="H1205" i="5"/>
  <c r="W1205" i="5" s="1"/>
  <c r="F1205" i="5"/>
  <c r="V1205" i="5"/>
  <c r="T1205" i="5"/>
  <c r="U1205" i="5"/>
  <c r="S1205" i="5"/>
  <c r="E1205" i="5"/>
  <c r="D1205" i="5"/>
  <c r="C1205" i="5"/>
  <c r="B1205" i="5"/>
  <c r="A1205" i="5"/>
  <c r="L1204" i="5"/>
  <c r="G1204" i="5"/>
  <c r="E1204" i="5"/>
  <c r="J1203" i="5"/>
  <c r="F1203" i="5"/>
  <c r="E1203" i="5"/>
  <c r="J1202" i="5"/>
  <c r="F1202" i="5"/>
  <c r="E1202" i="5"/>
  <c r="K1201" i="5"/>
  <c r="J1201" i="5"/>
  <c r="H1201" i="5"/>
  <c r="G1201" i="5"/>
  <c r="F1201" i="5"/>
  <c r="K1200" i="5"/>
  <c r="J1200" i="5"/>
  <c r="H1200" i="5"/>
  <c r="G1200" i="5"/>
  <c r="F1200" i="5"/>
  <c r="C1199" i="5"/>
  <c r="V1198" i="5"/>
  <c r="T1198" i="5"/>
  <c r="K1202" i="5" s="1"/>
  <c r="U1198" i="5"/>
  <c r="S1198" i="5"/>
  <c r="F1198" i="5"/>
  <c r="E1198" i="5"/>
  <c r="D1198" i="5"/>
  <c r="I1198" i="5"/>
  <c r="C1198" i="5"/>
  <c r="B1198" i="5"/>
  <c r="A1198" i="5"/>
  <c r="Q1197" i="5"/>
  <c r="L1197" i="5"/>
  <c r="Z1197" i="5"/>
  <c r="Y1197" i="5"/>
  <c r="X1197" i="5"/>
  <c r="L1196" i="5"/>
  <c r="G1196" i="5"/>
  <c r="E1196" i="5"/>
  <c r="J1195" i="5"/>
  <c r="E1195" i="5"/>
  <c r="J1194" i="5"/>
  <c r="E1194" i="5"/>
  <c r="K1193" i="5"/>
  <c r="J1193" i="5"/>
  <c r="H1193" i="5"/>
  <c r="R1193" i="5" s="1"/>
  <c r="G1193" i="5"/>
  <c r="F1193" i="5"/>
  <c r="K1192" i="5"/>
  <c r="J1192" i="5"/>
  <c r="H1192" i="5"/>
  <c r="G1192" i="5"/>
  <c r="F1192" i="5"/>
  <c r="K1191" i="5"/>
  <c r="J1191" i="5"/>
  <c r="H1191" i="5"/>
  <c r="G1191" i="5"/>
  <c r="F1191" i="5"/>
  <c r="C1190" i="5"/>
  <c r="V1189" i="5"/>
  <c r="K1195" i="5" s="1"/>
  <c r="T1189" i="5"/>
  <c r="K1194" i="5" s="1"/>
  <c r="U1189" i="5"/>
  <c r="H1195" i="5" s="1"/>
  <c r="S1189" i="5"/>
  <c r="H1194" i="5" s="1"/>
  <c r="F1189" i="5"/>
  <c r="E1189" i="5"/>
  <c r="D1189" i="5"/>
  <c r="I1189" i="5"/>
  <c r="C1189" i="5"/>
  <c r="B1189" i="5"/>
  <c r="A1189" i="5"/>
  <c r="L1188" i="5"/>
  <c r="Q1188" i="5" s="1"/>
  <c r="Z1188" i="5"/>
  <c r="Y1188" i="5"/>
  <c r="X1188" i="5"/>
  <c r="L1187" i="5"/>
  <c r="G1187" i="5"/>
  <c r="E1187" i="5"/>
  <c r="J1186" i="5"/>
  <c r="E1186" i="5"/>
  <c r="J1185" i="5"/>
  <c r="E1185" i="5"/>
  <c r="K1184" i="5"/>
  <c r="J1184" i="5"/>
  <c r="H1184" i="5"/>
  <c r="R1184" i="5" s="1"/>
  <c r="G1184" i="5"/>
  <c r="F1184" i="5"/>
  <c r="K1183" i="5"/>
  <c r="J1183" i="5"/>
  <c r="H1183" i="5"/>
  <c r="G1183" i="5"/>
  <c r="F1183" i="5"/>
  <c r="K1182" i="5"/>
  <c r="J1182" i="5"/>
  <c r="H1182" i="5"/>
  <c r="G1182" i="5"/>
  <c r="F1182" i="5"/>
  <c r="C1181" i="5"/>
  <c r="V1180" i="5"/>
  <c r="K1186" i="5" s="1"/>
  <c r="T1180" i="5"/>
  <c r="K1185" i="5" s="1"/>
  <c r="U1180" i="5"/>
  <c r="H1186" i="5" s="1"/>
  <c r="S1180" i="5"/>
  <c r="H1185" i="5" s="1"/>
  <c r="F1180" i="5"/>
  <c r="E1180" i="5"/>
  <c r="D1180" i="5"/>
  <c r="I1180" i="5"/>
  <c r="C1180" i="5"/>
  <c r="B1180" i="5"/>
  <c r="A1180" i="5"/>
  <c r="L1179" i="5"/>
  <c r="Q1179" i="5" s="1"/>
  <c r="Z1179" i="5"/>
  <c r="Y1179" i="5"/>
  <c r="X1179" i="5"/>
  <c r="K1178" i="5"/>
  <c r="J1178" i="5"/>
  <c r="Z1178" i="5"/>
  <c r="Y1178" i="5"/>
  <c r="X1178" i="5"/>
  <c r="H1178" i="5"/>
  <c r="W1178" i="5" s="1"/>
  <c r="F1178" i="5"/>
  <c r="V1178" i="5"/>
  <c r="T1178" i="5"/>
  <c r="U1178" i="5"/>
  <c r="S1178" i="5"/>
  <c r="E1178" i="5"/>
  <c r="D1178" i="5"/>
  <c r="C1178" i="5"/>
  <c r="B1178" i="5"/>
  <c r="A1178" i="5"/>
  <c r="K1177" i="5"/>
  <c r="J1177" i="5"/>
  <c r="Z1177" i="5"/>
  <c r="Y1177" i="5"/>
  <c r="X1177" i="5"/>
  <c r="H1177" i="5"/>
  <c r="W1177" i="5" s="1"/>
  <c r="F1177" i="5"/>
  <c r="V1177" i="5"/>
  <c r="T1177" i="5"/>
  <c r="U1177" i="5"/>
  <c r="S1177" i="5"/>
  <c r="E1177" i="5"/>
  <c r="D1177" i="5"/>
  <c r="C1177" i="5"/>
  <c r="B1177" i="5"/>
  <c r="A1177" i="5"/>
  <c r="L1176" i="5"/>
  <c r="G1176" i="5"/>
  <c r="E1176" i="5"/>
  <c r="J1175" i="5"/>
  <c r="F1175" i="5"/>
  <c r="E1175" i="5"/>
  <c r="J1174" i="5"/>
  <c r="F1174" i="5"/>
  <c r="E1174" i="5"/>
  <c r="K1173" i="5"/>
  <c r="J1173" i="5"/>
  <c r="H1173" i="5"/>
  <c r="G1173" i="5"/>
  <c r="F1173" i="5"/>
  <c r="K1172" i="5"/>
  <c r="J1172" i="5"/>
  <c r="H1172" i="5"/>
  <c r="R1172" i="5" s="1"/>
  <c r="G1172" i="5"/>
  <c r="F1172" i="5"/>
  <c r="K1171" i="5"/>
  <c r="J1171" i="5"/>
  <c r="H1171" i="5"/>
  <c r="G1171" i="5"/>
  <c r="F1171" i="5"/>
  <c r="K1170" i="5"/>
  <c r="J1170" i="5"/>
  <c r="H1170" i="5"/>
  <c r="R1170" i="5" s="1"/>
  <c r="G1170" i="5"/>
  <c r="F1170" i="5"/>
  <c r="V1169" i="5"/>
  <c r="T1169" i="5"/>
  <c r="U1169" i="5"/>
  <c r="S1169" i="5"/>
  <c r="F1169" i="5"/>
  <c r="E1169" i="5"/>
  <c r="D1169" i="5"/>
  <c r="I1169" i="5"/>
  <c r="C1169" i="5"/>
  <c r="B1169" i="5"/>
  <c r="A1169" i="5"/>
  <c r="L1168" i="5"/>
  <c r="Q1168" i="5" s="1"/>
  <c r="Z1168" i="5"/>
  <c r="Y1168" i="5"/>
  <c r="X1168" i="5"/>
  <c r="K1167" i="5"/>
  <c r="J1167" i="5"/>
  <c r="Z1167" i="5"/>
  <c r="Y1167" i="5"/>
  <c r="X1167" i="5"/>
  <c r="H1167" i="5"/>
  <c r="W1167" i="5" s="1"/>
  <c r="F1167" i="5"/>
  <c r="V1167" i="5"/>
  <c r="T1167" i="5"/>
  <c r="U1167" i="5"/>
  <c r="S1167" i="5"/>
  <c r="E1167" i="5"/>
  <c r="D1167" i="5"/>
  <c r="C1167" i="5"/>
  <c r="B1167" i="5"/>
  <c r="A1167" i="5"/>
  <c r="K1166" i="5"/>
  <c r="J1166" i="5"/>
  <c r="Z1166" i="5"/>
  <c r="Y1166" i="5"/>
  <c r="X1166" i="5"/>
  <c r="W1166" i="5"/>
  <c r="H1166" i="5"/>
  <c r="F1166" i="5"/>
  <c r="V1166" i="5"/>
  <c r="T1166" i="5"/>
  <c r="U1166" i="5"/>
  <c r="S1166" i="5"/>
  <c r="E1166" i="5"/>
  <c r="D1166" i="5"/>
  <c r="C1166" i="5"/>
  <c r="B1166" i="5"/>
  <c r="A1166" i="5"/>
  <c r="L1165" i="5"/>
  <c r="G1165" i="5"/>
  <c r="E1165" i="5"/>
  <c r="J1164" i="5"/>
  <c r="F1164" i="5"/>
  <c r="E1164" i="5"/>
  <c r="J1163" i="5"/>
  <c r="F1163" i="5"/>
  <c r="E1163" i="5"/>
  <c r="K1162" i="5"/>
  <c r="J1162" i="5"/>
  <c r="H1162" i="5"/>
  <c r="G1162" i="5"/>
  <c r="F1162" i="5"/>
  <c r="K1161" i="5"/>
  <c r="J1161" i="5"/>
  <c r="R1161" i="5"/>
  <c r="H1161" i="5"/>
  <c r="G1161" i="5"/>
  <c r="F1161" i="5"/>
  <c r="K1160" i="5"/>
  <c r="J1160" i="5"/>
  <c r="H1160" i="5"/>
  <c r="G1160" i="5"/>
  <c r="F1160" i="5"/>
  <c r="K1159" i="5"/>
  <c r="J1159" i="5"/>
  <c r="H1159" i="5"/>
  <c r="G1159" i="5"/>
  <c r="F1159" i="5"/>
  <c r="C1158" i="5"/>
  <c r="V1157" i="5"/>
  <c r="T1157" i="5"/>
  <c r="K1163" i="5" s="1"/>
  <c r="U1157" i="5"/>
  <c r="S1157" i="5"/>
  <c r="F1157" i="5"/>
  <c r="E1157" i="5"/>
  <c r="D1157" i="5"/>
  <c r="I1157" i="5"/>
  <c r="C1157" i="5"/>
  <c r="B1157" i="5"/>
  <c r="A1157" i="5"/>
  <c r="L1156" i="5"/>
  <c r="Q1156" i="5" s="1"/>
  <c r="Z1156" i="5"/>
  <c r="Y1156" i="5"/>
  <c r="X1156" i="5"/>
  <c r="K1155" i="5"/>
  <c r="J1155" i="5"/>
  <c r="Z1155" i="5"/>
  <c r="Y1155" i="5"/>
  <c r="X1155" i="5"/>
  <c r="H1155" i="5"/>
  <c r="W1155" i="5" s="1"/>
  <c r="F1155" i="5"/>
  <c r="V1155" i="5"/>
  <c r="T1155" i="5"/>
  <c r="U1155" i="5"/>
  <c r="S1155" i="5"/>
  <c r="E1155" i="5"/>
  <c r="D1155" i="5"/>
  <c r="C1155" i="5"/>
  <c r="B1155" i="5"/>
  <c r="A1155" i="5"/>
  <c r="K1154" i="5"/>
  <c r="J1154" i="5"/>
  <c r="Z1154" i="5"/>
  <c r="Y1154" i="5"/>
  <c r="X1154" i="5"/>
  <c r="H1154" i="5"/>
  <c r="W1154" i="5" s="1"/>
  <c r="F1154" i="5"/>
  <c r="V1154" i="5"/>
  <c r="T1154" i="5"/>
  <c r="U1154" i="5"/>
  <c r="S1154" i="5"/>
  <c r="E1154" i="5"/>
  <c r="D1154" i="5"/>
  <c r="C1154" i="5"/>
  <c r="B1154" i="5"/>
  <c r="A1154" i="5"/>
  <c r="L1153" i="5"/>
  <c r="G1153" i="5"/>
  <c r="E1153" i="5"/>
  <c r="J1152" i="5"/>
  <c r="F1152" i="5"/>
  <c r="E1152" i="5"/>
  <c r="J1151" i="5"/>
  <c r="F1151" i="5"/>
  <c r="E1151" i="5"/>
  <c r="K1150" i="5"/>
  <c r="J1150" i="5"/>
  <c r="H1150" i="5"/>
  <c r="G1150" i="5"/>
  <c r="F1150" i="5"/>
  <c r="K1149" i="5"/>
  <c r="J1149" i="5"/>
  <c r="H1149" i="5"/>
  <c r="R1149" i="5" s="1"/>
  <c r="G1149" i="5"/>
  <c r="F1149" i="5"/>
  <c r="K1148" i="5"/>
  <c r="J1148" i="5"/>
  <c r="H1148" i="5"/>
  <c r="G1148" i="5"/>
  <c r="F1148" i="5"/>
  <c r="K1147" i="5"/>
  <c r="J1147" i="5"/>
  <c r="H1147" i="5"/>
  <c r="R1147" i="5" s="1"/>
  <c r="G1147" i="5"/>
  <c r="F1147" i="5"/>
  <c r="C1146" i="5"/>
  <c r="V1145" i="5"/>
  <c r="K1152" i="5" s="1"/>
  <c r="T1145" i="5"/>
  <c r="U1145" i="5"/>
  <c r="S1145" i="5"/>
  <c r="F1145" i="5"/>
  <c r="E1145" i="5"/>
  <c r="D1145" i="5"/>
  <c r="I1145" i="5"/>
  <c r="C1145" i="5"/>
  <c r="B1145" i="5"/>
  <c r="A1145" i="5"/>
  <c r="L1144" i="5"/>
  <c r="Q1144" i="5" s="1"/>
  <c r="Z1144" i="5"/>
  <c r="Y1144" i="5"/>
  <c r="X1144" i="5"/>
  <c r="K1143" i="5"/>
  <c r="J1143" i="5"/>
  <c r="Z1143" i="5"/>
  <c r="Y1143" i="5"/>
  <c r="X1143" i="5"/>
  <c r="H1143" i="5"/>
  <c r="W1143" i="5" s="1"/>
  <c r="F1143" i="5"/>
  <c r="V1143" i="5"/>
  <c r="T1143" i="5"/>
  <c r="U1143" i="5"/>
  <c r="S1143" i="5"/>
  <c r="E1143" i="5"/>
  <c r="D1143" i="5"/>
  <c r="C1143" i="5"/>
  <c r="B1143" i="5"/>
  <c r="A1143" i="5"/>
  <c r="K1142" i="5"/>
  <c r="J1142" i="5"/>
  <c r="Z1142" i="5"/>
  <c r="Y1142" i="5"/>
  <c r="X1142" i="5"/>
  <c r="H1142" i="5"/>
  <c r="W1142" i="5" s="1"/>
  <c r="F1142" i="5"/>
  <c r="V1142" i="5"/>
  <c r="T1142" i="5"/>
  <c r="U1142" i="5"/>
  <c r="S1142" i="5"/>
  <c r="E1142" i="5"/>
  <c r="D1142" i="5"/>
  <c r="C1142" i="5"/>
  <c r="B1142" i="5"/>
  <c r="A1142" i="5"/>
  <c r="L1141" i="5"/>
  <c r="G1141" i="5"/>
  <c r="E1141" i="5"/>
  <c r="J1140" i="5"/>
  <c r="F1140" i="5"/>
  <c r="E1140" i="5"/>
  <c r="J1139" i="5"/>
  <c r="F1139" i="5"/>
  <c r="E1139" i="5"/>
  <c r="K1138" i="5"/>
  <c r="J1138" i="5"/>
  <c r="H1138" i="5"/>
  <c r="G1138" i="5"/>
  <c r="F1138" i="5"/>
  <c r="K1137" i="5"/>
  <c r="J1137" i="5"/>
  <c r="H1137" i="5"/>
  <c r="R1137" i="5" s="1"/>
  <c r="G1137" i="5"/>
  <c r="F1137" i="5"/>
  <c r="K1136" i="5"/>
  <c r="J1136" i="5"/>
  <c r="H1136" i="5"/>
  <c r="G1136" i="5"/>
  <c r="F1136" i="5"/>
  <c r="K1135" i="5"/>
  <c r="J1135" i="5"/>
  <c r="H1135" i="5"/>
  <c r="R1135" i="5" s="1"/>
  <c r="G1135" i="5"/>
  <c r="F1135" i="5"/>
  <c r="C1134" i="5"/>
  <c r="V1133" i="5"/>
  <c r="T1133" i="5"/>
  <c r="U1133" i="5"/>
  <c r="S1133" i="5"/>
  <c r="F1133" i="5"/>
  <c r="E1133" i="5"/>
  <c r="D1133" i="5"/>
  <c r="I1133" i="5"/>
  <c r="C1133" i="5"/>
  <c r="B1133" i="5"/>
  <c r="A1133" i="5"/>
  <c r="L1132" i="5"/>
  <c r="Q1132" i="5" s="1"/>
  <c r="Z1132" i="5"/>
  <c r="Y1132" i="5"/>
  <c r="X1132" i="5"/>
  <c r="L1131" i="5"/>
  <c r="G1131" i="5"/>
  <c r="E1131" i="5"/>
  <c r="J1130" i="5"/>
  <c r="E1130" i="5"/>
  <c r="J1129" i="5"/>
  <c r="E1129" i="5"/>
  <c r="K1128" i="5"/>
  <c r="J1128" i="5"/>
  <c r="H1128" i="5"/>
  <c r="R1128" i="5" s="1"/>
  <c r="G1128" i="5"/>
  <c r="F1128" i="5"/>
  <c r="K1127" i="5"/>
  <c r="J1127" i="5"/>
  <c r="H1127" i="5"/>
  <c r="G1127" i="5"/>
  <c r="F1127" i="5"/>
  <c r="K1126" i="5"/>
  <c r="J1126" i="5"/>
  <c r="H1126" i="5"/>
  <c r="G1126" i="5"/>
  <c r="F1126" i="5"/>
  <c r="C1125" i="5"/>
  <c r="V1124" i="5"/>
  <c r="K1130" i="5" s="1"/>
  <c r="T1124" i="5"/>
  <c r="K1129" i="5" s="1"/>
  <c r="U1124" i="5"/>
  <c r="H1130" i="5" s="1"/>
  <c r="S1124" i="5"/>
  <c r="H1129" i="5" s="1"/>
  <c r="F1124" i="5"/>
  <c r="E1124" i="5"/>
  <c r="D1124" i="5"/>
  <c r="I1124" i="5"/>
  <c r="C1124" i="5"/>
  <c r="B1124" i="5"/>
  <c r="A1124" i="5"/>
  <c r="A1123" i="5"/>
  <c r="A1121" i="5"/>
  <c r="L1119" i="5"/>
  <c r="Q1119" i="5" s="1"/>
  <c r="Z1119" i="5"/>
  <c r="Y1119" i="5"/>
  <c r="X1119" i="5"/>
  <c r="L1118" i="5"/>
  <c r="G1118" i="5"/>
  <c r="E1118" i="5"/>
  <c r="J1117" i="5"/>
  <c r="F1117" i="5"/>
  <c r="E1117" i="5"/>
  <c r="J1116" i="5"/>
  <c r="F1116" i="5"/>
  <c r="E1116" i="5"/>
  <c r="K1115" i="5"/>
  <c r="J1115" i="5"/>
  <c r="H1115" i="5"/>
  <c r="G1115" i="5"/>
  <c r="F1115" i="5"/>
  <c r="K1114" i="5"/>
  <c r="J1114" i="5"/>
  <c r="H1114" i="5"/>
  <c r="R1114" i="5" s="1"/>
  <c r="G1114" i="5"/>
  <c r="F1114" i="5"/>
  <c r="K1113" i="5"/>
  <c r="J1113" i="5"/>
  <c r="H1113" i="5"/>
  <c r="G1113" i="5"/>
  <c r="F1113" i="5"/>
  <c r="K1112" i="5"/>
  <c r="J1112" i="5"/>
  <c r="H1112" i="5"/>
  <c r="R1112" i="5" s="1"/>
  <c r="G1112" i="5"/>
  <c r="F1112" i="5"/>
  <c r="V1111" i="5"/>
  <c r="K1117" i="5" s="1"/>
  <c r="T1111" i="5"/>
  <c r="K1116" i="5" s="1"/>
  <c r="U1111" i="5"/>
  <c r="H1117" i="5" s="1"/>
  <c r="S1111" i="5"/>
  <c r="H1116" i="5" s="1"/>
  <c r="F1111" i="5"/>
  <c r="E1111" i="5"/>
  <c r="D1111" i="5"/>
  <c r="I1111" i="5"/>
  <c r="C1111" i="5"/>
  <c r="B1111" i="5"/>
  <c r="A1111" i="5"/>
  <c r="L1110" i="5"/>
  <c r="Q1110" i="5" s="1"/>
  <c r="Z1110" i="5"/>
  <c r="Y1110" i="5"/>
  <c r="X1110" i="5"/>
  <c r="L1109" i="5"/>
  <c r="G1109" i="5"/>
  <c r="E1109" i="5"/>
  <c r="J1108" i="5"/>
  <c r="F1108" i="5"/>
  <c r="E1108" i="5"/>
  <c r="J1107" i="5"/>
  <c r="F1107" i="5"/>
  <c r="E1107" i="5"/>
  <c r="K1106" i="5"/>
  <c r="J1106" i="5"/>
  <c r="H1106" i="5"/>
  <c r="G1106" i="5"/>
  <c r="F1106" i="5"/>
  <c r="K1105" i="5"/>
  <c r="J1105" i="5"/>
  <c r="H1105" i="5"/>
  <c r="R1105" i="5" s="1"/>
  <c r="G1105" i="5"/>
  <c r="F1105" i="5"/>
  <c r="K1104" i="5"/>
  <c r="J1104" i="5"/>
  <c r="H1104" i="5"/>
  <c r="G1104" i="5"/>
  <c r="F1104" i="5"/>
  <c r="K1103" i="5"/>
  <c r="J1103" i="5"/>
  <c r="H1103" i="5"/>
  <c r="R1103" i="5" s="1"/>
  <c r="G1103" i="5"/>
  <c r="F1103" i="5"/>
  <c r="V1102" i="5"/>
  <c r="K1108" i="5" s="1"/>
  <c r="T1102" i="5"/>
  <c r="K1107" i="5" s="1"/>
  <c r="U1102" i="5"/>
  <c r="H1108" i="5" s="1"/>
  <c r="S1102" i="5"/>
  <c r="H1107" i="5" s="1"/>
  <c r="F1102" i="5"/>
  <c r="E1102" i="5"/>
  <c r="D1102" i="5"/>
  <c r="I1102" i="5"/>
  <c r="C1102" i="5"/>
  <c r="B1102" i="5"/>
  <c r="A1102" i="5"/>
  <c r="L1101" i="5"/>
  <c r="Q1101" i="5" s="1"/>
  <c r="Z1101" i="5"/>
  <c r="Y1101" i="5"/>
  <c r="X1101" i="5"/>
  <c r="K1100" i="5"/>
  <c r="J1100" i="5"/>
  <c r="Z1100" i="5"/>
  <c r="Y1100" i="5"/>
  <c r="X1100" i="5"/>
  <c r="H1100" i="5"/>
  <c r="W1100" i="5" s="1"/>
  <c r="F1100" i="5"/>
  <c r="V1100" i="5"/>
  <c r="T1100" i="5"/>
  <c r="U1100" i="5"/>
  <c r="S1100" i="5"/>
  <c r="E1100" i="5"/>
  <c r="D1100" i="5"/>
  <c r="C1100" i="5"/>
  <c r="B1100" i="5"/>
  <c r="A1100" i="5"/>
  <c r="K1099" i="5"/>
  <c r="J1099" i="5"/>
  <c r="Z1099" i="5"/>
  <c r="Y1099" i="5"/>
  <c r="X1099" i="5"/>
  <c r="H1099" i="5"/>
  <c r="W1099" i="5" s="1"/>
  <c r="F1099" i="5"/>
  <c r="V1099" i="5"/>
  <c r="T1099" i="5"/>
  <c r="U1099" i="5"/>
  <c r="S1099" i="5"/>
  <c r="E1099" i="5"/>
  <c r="D1099" i="5"/>
  <c r="C1099" i="5"/>
  <c r="B1099" i="5"/>
  <c r="A1099" i="5"/>
  <c r="L1098" i="5"/>
  <c r="G1098" i="5"/>
  <c r="E1098" i="5"/>
  <c r="J1097" i="5"/>
  <c r="F1097" i="5"/>
  <c r="E1097" i="5"/>
  <c r="J1096" i="5"/>
  <c r="F1096" i="5"/>
  <c r="E1096" i="5"/>
  <c r="K1095" i="5"/>
  <c r="J1095" i="5"/>
  <c r="H1095" i="5"/>
  <c r="G1095" i="5"/>
  <c r="F1095" i="5"/>
  <c r="K1094" i="5"/>
  <c r="J1094" i="5"/>
  <c r="H1094" i="5"/>
  <c r="R1094" i="5" s="1"/>
  <c r="G1094" i="5"/>
  <c r="F1094" i="5"/>
  <c r="C1093" i="5"/>
  <c r="V1092" i="5"/>
  <c r="K1097" i="5" s="1"/>
  <c r="T1092" i="5"/>
  <c r="U1092" i="5"/>
  <c r="S1092" i="5"/>
  <c r="F1092" i="5"/>
  <c r="E1092" i="5"/>
  <c r="D1092" i="5"/>
  <c r="I1092" i="5"/>
  <c r="C1092" i="5"/>
  <c r="B1092" i="5"/>
  <c r="A1092" i="5"/>
  <c r="L1091" i="5"/>
  <c r="Q1091" i="5" s="1"/>
  <c r="Z1091" i="5"/>
  <c r="Y1091" i="5"/>
  <c r="X1091" i="5"/>
  <c r="K1090" i="5"/>
  <c r="J1090" i="5"/>
  <c r="Z1090" i="5"/>
  <c r="Y1090" i="5"/>
  <c r="X1090" i="5"/>
  <c r="H1090" i="5"/>
  <c r="W1090" i="5" s="1"/>
  <c r="F1090" i="5"/>
  <c r="V1090" i="5"/>
  <c r="T1090" i="5"/>
  <c r="U1090" i="5"/>
  <c r="S1090" i="5"/>
  <c r="E1090" i="5"/>
  <c r="D1090" i="5"/>
  <c r="C1090" i="5"/>
  <c r="B1090" i="5"/>
  <c r="A1090" i="5"/>
  <c r="K1089" i="5"/>
  <c r="J1089" i="5"/>
  <c r="Z1089" i="5"/>
  <c r="Y1089" i="5"/>
  <c r="X1089" i="5"/>
  <c r="W1089" i="5"/>
  <c r="H1089" i="5"/>
  <c r="F1089" i="5"/>
  <c r="V1089" i="5"/>
  <c r="T1089" i="5"/>
  <c r="U1089" i="5"/>
  <c r="S1089" i="5"/>
  <c r="E1089" i="5"/>
  <c r="D1089" i="5"/>
  <c r="C1089" i="5"/>
  <c r="B1089" i="5"/>
  <c r="A1089" i="5"/>
  <c r="L1088" i="5"/>
  <c r="G1088" i="5"/>
  <c r="E1088" i="5"/>
  <c r="J1087" i="5"/>
  <c r="F1087" i="5"/>
  <c r="E1087" i="5"/>
  <c r="J1086" i="5"/>
  <c r="F1086" i="5"/>
  <c r="E1086" i="5"/>
  <c r="K1085" i="5"/>
  <c r="J1085" i="5"/>
  <c r="H1085" i="5"/>
  <c r="G1085" i="5"/>
  <c r="F1085" i="5"/>
  <c r="K1084" i="5"/>
  <c r="J1084" i="5"/>
  <c r="R1084" i="5"/>
  <c r="H1084" i="5"/>
  <c r="G1084" i="5"/>
  <c r="F1084" i="5"/>
  <c r="K1083" i="5"/>
  <c r="J1083" i="5"/>
  <c r="H1083" i="5"/>
  <c r="G1083" i="5"/>
  <c r="F1083" i="5"/>
  <c r="K1082" i="5"/>
  <c r="J1082" i="5"/>
  <c r="H1082" i="5"/>
  <c r="R1082" i="5" s="1"/>
  <c r="G1082" i="5"/>
  <c r="F1082" i="5"/>
  <c r="C1081" i="5"/>
  <c r="V1080" i="5"/>
  <c r="T1080" i="5"/>
  <c r="K1086" i="5" s="1"/>
  <c r="U1080" i="5"/>
  <c r="S1080" i="5"/>
  <c r="F1080" i="5"/>
  <c r="E1080" i="5"/>
  <c r="D1080" i="5"/>
  <c r="I1080" i="5"/>
  <c r="C1080" i="5"/>
  <c r="B1080" i="5"/>
  <c r="A1080" i="5"/>
  <c r="L1079" i="5"/>
  <c r="Q1079" i="5" s="1"/>
  <c r="Z1079" i="5"/>
  <c r="Y1079" i="5"/>
  <c r="X1079" i="5"/>
  <c r="K1078" i="5"/>
  <c r="J1078" i="5"/>
  <c r="Z1078" i="5"/>
  <c r="Y1078" i="5"/>
  <c r="X1078" i="5"/>
  <c r="H1078" i="5"/>
  <c r="W1078" i="5" s="1"/>
  <c r="F1078" i="5"/>
  <c r="V1078" i="5"/>
  <c r="T1078" i="5"/>
  <c r="U1078" i="5"/>
  <c r="S1078" i="5"/>
  <c r="E1078" i="5"/>
  <c r="D1078" i="5"/>
  <c r="C1078" i="5"/>
  <c r="B1078" i="5"/>
  <c r="A1078" i="5"/>
  <c r="L1077" i="5"/>
  <c r="G1077" i="5"/>
  <c r="E1077" i="5"/>
  <c r="J1076" i="5"/>
  <c r="F1076" i="5"/>
  <c r="E1076" i="5"/>
  <c r="J1075" i="5"/>
  <c r="F1075" i="5"/>
  <c r="E1075" i="5"/>
  <c r="K1074" i="5"/>
  <c r="J1074" i="5"/>
  <c r="H1074" i="5"/>
  <c r="G1074" i="5"/>
  <c r="F1074" i="5"/>
  <c r="K1073" i="5"/>
  <c r="J1073" i="5"/>
  <c r="H1073" i="5"/>
  <c r="R1073" i="5" s="1"/>
  <c r="G1073" i="5"/>
  <c r="F1073" i="5"/>
  <c r="K1072" i="5"/>
  <c r="J1072" i="5"/>
  <c r="H1072" i="5"/>
  <c r="G1072" i="5"/>
  <c r="F1072" i="5"/>
  <c r="K1071" i="5"/>
  <c r="J1071" i="5"/>
  <c r="H1071" i="5"/>
  <c r="R1071" i="5" s="1"/>
  <c r="G1071" i="5"/>
  <c r="F1071" i="5"/>
  <c r="C1070" i="5"/>
  <c r="V1069" i="5"/>
  <c r="K1076" i="5" s="1"/>
  <c r="T1069" i="5"/>
  <c r="U1069" i="5"/>
  <c r="S1069" i="5"/>
  <c r="F1069" i="5"/>
  <c r="E1069" i="5"/>
  <c r="D1069" i="5"/>
  <c r="I1069" i="5"/>
  <c r="C1069" i="5"/>
  <c r="B1069" i="5"/>
  <c r="A1069" i="5"/>
  <c r="L1068" i="5"/>
  <c r="Q1068" i="5" s="1"/>
  <c r="Z1068" i="5"/>
  <c r="Y1068" i="5"/>
  <c r="X1068" i="5"/>
  <c r="K1067" i="5"/>
  <c r="J1067" i="5"/>
  <c r="Z1067" i="5"/>
  <c r="Y1067" i="5"/>
  <c r="X1067" i="5"/>
  <c r="H1067" i="5"/>
  <c r="W1067" i="5" s="1"/>
  <c r="F1067" i="5"/>
  <c r="V1067" i="5"/>
  <c r="T1067" i="5"/>
  <c r="U1067" i="5"/>
  <c r="S1067" i="5"/>
  <c r="E1067" i="5"/>
  <c r="D1067" i="5"/>
  <c r="C1067" i="5"/>
  <c r="B1067" i="5"/>
  <c r="A1067" i="5"/>
  <c r="K1066" i="5"/>
  <c r="J1066" i="5"/>
  <c r="Z1066" i="5"/>
  <c r="Y1066" i="5"/>
  <c r="X1066" i="5"/>
  <c r="W1066" i="5"/>
  <c r="H1066" i="5"/>
  <c r="F1066" i="5"/>
  <c r="V1066" i="5"/>
  <c r="T1066" i="5"/>
  <c r="U1066" i="5"/>
  <c r="S1066" i="5"/>
  <c r="E1066" i="5"/>
  <c r="D1066" i="5"/>
  <c r="C1066" i="5"/>
  <c r="B1066" i="5"/>
  <c r="A1066" i="5"/>
  <c r="K1065" i="5"/>
  <c r="J1065" i="5"/>
  <c r="Z1065" i="5"/>
  <c r="Y1065" i="5"/>
  <c r="X1065" i="5"/>
  <c r="H1065" i="5"/>
  <c r="W1065" i="5" s="1"/>
  <c r="F1065" i="5"/>
  <c r="V1065" i="5"/>
  <c r="T1065" i="5"/>
  <c r="U1065" i="5"/>
  <c r="S1065" i="5"/>
  <c r="E1065" i="5"/>
  <c r="D1065" i="5"/>
  <c r="C1065" i="5"/>
  <c r="B1065" i="5"/>
  <c r="A1065" i="5"/>
  <c r="L1064" i="5"/>
  <c r="G1064" i="5"/>
  <c r="E1064" i="5"/>
  <c r="J1063" i="5"/>
  <c r="F1063" i="5"/>
  <c r="E1063" i="5"/>
  <c r="J1062" i="5"/>
  <c r="F1062" i="5"/>
  <c r="E1062" i="5"/>
  <c r="K1061" i="5"/>
  <c r="J1061" i="5"/>
  <c r="H1061" i="5"/>
  <c r="G1061" i="5"/>
  <c r="F1061" i="5"/>
  <c r="K1060" i="5"/>
  <c r="J1060" i="5"/>
  <c r="H1060" i="5"/>
  <c r="R1060" i="5" s="1"/>
  <c r="G1060" i="5"/>
  <c r="F1060" i="5"/>
  <c r="K1059" i="5"/>
  <c r="J1059" i="5"/>
  <c r="H1059" i="5"/>
  <c r="G1059" i="5"/>
  <c r="F1059" i="5"/>
  <c r="K1058" i="5"/>
  <c r="J1058" i="5"/>
  <c r="H1058" i="5"/>
  <c r="R1058" i="5" s="1"/>
  <c r="G1058" i="5"/>
  <c r="F1058" i="5"/>
  <c r="C1057" i="5"/>
  <c r="V1056" i="5"/>
  <c r="T1056" i="5"/>
  <c r="U1056" i="5"/>
  <c r="H1063" i="5" s="1"/>
  <c r="S1056" i="5"/>
  <c r="F1056" i="5"/>
  <c r="E1056" i="5"/>
  <c r="D1056" i="5"/>
  <c r="I1056" i="5"/>
  <c r="C1056" i="5"/>
  <c r="B1056" i="5"/>
  <c r="A1056" i="5"/>
  <c r="L1055" i="5"/>
  <c r="Q1055" i="5" s="1"/>
  <c r="Z1055" i="5"/>
  <c r="Y1055" i="5"/>
  <c r="X1055" i="5"/>
  <c r="K1054" i="5"/>
  <c r="J1054" i="5"/>
  <c r="Z1054" i="5"/>
  <c r="Y1054" i="5"/>
  <c r="X1054" i="5"/>
  <c r="H1054" i="5"/>
  <c r="W1054" i="5" s="1"/>
  <c r="F1054" i="5"/>
  <c r="V1054" i="5"/>
  <c r="T1054" i="5"/>
  <c r="U1054" i="5"/>
  <c r="S1054" i="5"/>
  <c r="E1054" i="5"/>
  <c r="D1054" i="5"/>
  <c r="C1054" i="5"/>
  <c r="B1054" i="5"/>
  <c r="A1054" i="5"/>
  <c r="L1053" i="5"/>
  <c r="G1053" i="5"/>
  <c r="E1053" i="5"/>
  <c r="J1052" i="5"/>
  <c r="F1052" i="5"/>
  <c r="E1052" i="5"/>
  <c r="J1051" i="5"/>
  <c r="F1051" i="5"/>
  <c r="E1051" i="5"/>
  <c r="K1050" i="5"/>
  <c r="J1050" i="5"/>
  <c r="H1050" i="5"/>
  <c r="G1050" i="5"/>
  <c r="F1050" i="5"/>
  <c r="K1049" i="5"/>
  <c r="J1049" i="5"/>
  <c r="H1049" i="5"/>
  <c r="R1049" i="5" s="1"/>
  <c r="G1049" i="5"/>
  <c r="F1049" i="5"/>
  <c r="K1048" i="5"/>
  <c r="J1048" i="5"/>
  <c r="H1048" i="5"/>
  <c r="G1048" i="5"/>
  <c r="F1048" i="5"/>
  <c r="K1047" i="5"/>
  <c r="J1047" i="5"/>
  <c r="H1047" i="5"/>
  <c r="R1047" i="5" s="1"/>
  <c r="G1047" i="5"/>
  <c r="F1047" i="5"/>
  <c r="C1046" i="5"/>
  <c r="V1045" i="5"/>
  <c r="T1045" i="5"/>
  <c r="U1045" i="5"/>
  <c r="H1052" i="5" s="1"/>
  <c r="S1045" i="5"/>
  <c r="F1045" i="5"/>
  <c r="E1045" i="5"/>
  <c r="D1045" i="5"/>
  <c r="I1045" i="5"/>
  <c r="C1045" i="5"/>
  <c r="B1045" i="5"/>
  <c r="A1045" i="5"/>
  <c r="L1044" i="5"/>
  <c r="Q1044" i="5" s="1"/>
  <c r="Z1044" i="5"/>
  <c r="Y1044" i="5"/>
  <c r="X1044" i="5"/>
  <c r="K1043" i="5"/>
  <c r="J1043" i="5"/>
  <c r="Z1043" i="5"/>
  <c r="Y1043" i="5"/>
  <c r="X1043" i="5"/>
  <c r="H1043" i="5"/>
  <c r="W1043" i="5" s="1"/>
  <c r="F1043" i="5"/>
  <c r="V1043" i="5"/>
  <c r="T1043" i="5"/>
  <c r="U1043" i="5"/>
  <c r="S1043" i="5"/>
  <c r="E1043" i="5"/>
  <c r="D1043" i="5"/>
  <c r="C1043" i="5"/>
  <c r="B1043" i="5"/>
  <c r="A1043" i="5"/>
  <c r="K1042" i="5"/>
  <c r="J1042" i="5"/>
  <c r="Z1042" i="5"/>
  <c r="Y1042" i="5"/>
  <c r="X1042" i="5"/>
  <c r="H1042" i="5"/>
  <c r="W1042" i="5" s="1"/>
  <c r="F1042" i="5"/>
  <c r="V1042" i="5"/>
  <c r="T1042" i="5"/>
  <c r="U1042" i="5"/>
  <c r="S1042" i="5"/>
  <c r="E1042" i="5"/>
  <c r="D1042" i="5"/>
  <c r="C1042" i="5"/>
  <c r="B1042" i="5"/>
  <c r="A1042" i="5"/>
  <c r="K1041" i="5"/>
  <c r="J1041" i="5"/>
  <c r="Z1041" i="5"/>
  <c r="Y1041" i="5"/>
  <c r="X1041" i="5"/>
  <c r="H1041" i="5"/>
  <c r="W1041" i="5" s="1"/>
  <c r="F1041" i="5"/>
  <c r="V1041" i="5"/>
  <c r="T1041" i="5"/>
  <c r="U1041" i="5"/>
  <c r="S1041" i="5"/>
  <c r="E1041" i="5"/>
  <c r="D1041" i="5"/>
  <c r="C1041" i="5"/>
  <c r="B1041" i="5"/>
  <c r="A1041" i="5"/>
  <c r="K1040" i="5"/>
  <c r="J1040" i="5"/>
  <c r="Z1040" i="5"/>
  <c r="Y1040" i="5"/>
  <c r="X1040" i="5"/>
  <c r="H1040" i="5"/>
  <c r="W1040" i="5" s="1"/>
  <c r="F1040" i="5"/>
  <c r="V1040" i="5"/>
  <c r="T1040" i="5"/>
  <c r="U1040" i="5"/>
  <c r="S1040" i="5"/>
  <c r="E1040" i="5"/>
  <c r="D1040" i="5"/>
  <c r="C1040" i="5"/>
  <c r="B1040" i="5"/>
  <c r="A1040" i="5"/>
  <c r="L1039" i="5"/>
  <c r="G1039" i="5"/>
  <c r="E1039" i="5"/>
  <c r="J1038" i="5"/>
  <c r="F1038" i="5"/>
  <c r="E1038" i="5"/>
  <c r="J1037" i="5"/>
  <c r="F1037" i="5"/>
  <c r="E1037" i="5"/>
  <c r="K1036" i="5"/>
  <c r="J1036" i="5"/>
  <c r="H1036" i="5"/>
  <c r="G1036" i="5"/>
  <c r="F1036" i="5"/>
  <c r="K1035" i="5"/>
  <c r="J1035" i="5"/>
  <c r="H1035" i="5"/>
  <c r="R1035" i="5" s="1"/>
  <c r="G1035" i="5"/>
  <c r="F1035" i="5"/>
  <c r="K1034" i="5"/>
  <c r="J1034" i="5"/>
  <c r="H1034" i="5"/>
  <c r="G1034" i="5"/>
  <c r="F1034" i="5"/>
  <c r="K1033" i="5"/>
  <c r="J1033" i="5"/>
  <c r="H1033" i="5"/>
  <c r="G1033" i="5"/>
  <c r="F1033" i="5"/>
  <c r="C1032" i="5"/>
  <c r="V1031" i="5"/>
  <c r="K1038" i="5" s="1"/>
  <c r="T1031" i="5"/>
  <c r="K1037" i="5" s="1"/>
  <c r="U1031" i="5"/>
  <c r="S1031" i="5"/>
  <c r="F1031" i="5"/>
  <c r="E1031" i="5"/>
  <c r="D1031" i="5"/>
  <c r="I1031" i="5"/>
  <c r="C1031" i="5"/>
  <c r="B1031" i="5"/>
  <c r="A1031" i="5"/>
  <c r="L1030" i="5"/>
  <c r="Q1030" i="5" s="1"/>
  <c r="Z1030" i="5"/>
  <c r="Y1030" i="5"/>
  <c r="X1030" i="5"/>
  <c r="K1029" i="5"/>
  <c r="J1029" i="5"/>
  <c r="Z1029" i="5"/>
  <c r="Y1029" i="5"/>
  <c r="X1029" i="5"/>
  <c r="H1029" i="5"/>
  <c r="W1029" i="5" s="1"/>
  <c r="F1029" i="5"/>
  <c r="V1029" i="5"/>
  <c r="T1029" i="5"/>
  <c r="U1029" i="5"/>
  <c r="S1029" i="5"/>
  <c r="E1029" i="5"/>
  <c r="D1029" i="5"/>
  <c r="C1029" i="5"/>
  <c r="B1029" i="5"/>
  <c r="A1029" i="5"/>
  <c r="K1028" i="5"/>
  <c r="J1028" i="5"/>
  <c r="Z1028" i="5"/>
  <c r="Y1028" i="5"/>
  <c r="X1028" i="5"/>
  <c r="H1028" i="5"/>
  <c r="W1028" i="5" s="1"/>
  <c r="F1028" i="5"/>
  <c r="V1028" i="5"/>
  <c r="T1028" i="5"/>
  <c r="U1028" i="5"/>
  <c r="S1028" i="5"/>
  <c r="E1028" i="5"/>
  <c r="D1028" i="5"/>
  <c r="C1028" i="5"/>
  <c r="B1028" i="5"/>
  <c r="A1028" i="5"/>
  <c r="K1027" i="5"/>
  <c r="J1027" i="5"/>
  <c r="Z1027" i="5"/>
  <c r="Y1027" i="5"/>
  <c r="X1027" i="5"/>
  <c r="W1027" i="5"/>
  <c r="H1027" i="5"/>
  <c r="F1027" i="5"/>
  <c r="V1027" i="5"/>
  <c r="T1027" i="5"/>
  <c r="U1027" i="5"/>
  <c r="S1027" i="5"/>
  <c r="E1027" i="5"/>
  <c r="D1027" i="5"/>
  <c r="C1027" i="5"/>
  <c r="B1027" i="5"/>
  <c r="A1027" i="5"/>
  <c r="K1026" i="5"/>
  <c r="J1026" i="5"/>
  <c r="Z1026" i="5"/>
  <c r="Y1026" i="5"/>
  <c r="X1026" i="5"/>
  <c r="H1026" i="5"/>
  <c r="W1026" i="5" s="1"/>
  <c r="F1026" i="5"/>
  <c r="V1026" i="5"/>
  <c r="T1026" i="5"/>
  <c r="U1026" i="5"/>
  <c r="S1026" i="5"/>
  <c r="E1026" i="5"/>
  <c r="D1026" i="5"/>
  <c r="C1026" i="5"/>
  <c r="B1026" i="5"/>
  <c r="A1026" i="5"/>
  <c r="L1025" i="5"/>
  <c r="G1025" i="5"/>
  <c r="E1025" i="5"/>
  <c r="J1024" i="5"/>
  <c r="F1024" i="5"/>
  <c r="E1024" i="5"/>
  <c r="J1023" i="5"/>
  <c r="F1023" i="5"/>
  <c r="E1023" i="5"/>
  <c r="K1022" i="5"/>
  <c r="J1022" i="5"/>
  <c r="H1022" i="5"/>
  <c r="G1022" i="5"/>
  <c r="F1022" i="5"/>
  <c r="K1021" i="5"/>
  <c r="J1021" i="5"/>
  <c r="H1021" i="5"/>
  <c r="R1021" i="5" s="1"/>
  <c r="G1021" i="5"/>
  <c r="F1021" i="5"/>
  <c r="K1020" i="5"/>
  <c r="J1020" i="5"/>
  <c r="H1020" i="5"/>
  <c r="G1020" i="5"/>
  <c r="F1020" i="5"/>
  <c r="K1019" i="5"/>
  <c r="J1019" i="5"/>
  <c r="H1019" i="5"/>
  <c r="G1019" i="5"/>
  <c r="F1019" i="5"/>
  <c r="C1018" i="5"/>
  <c r="V1017" i="5"/>
  <c r="T1017" i="5"/>
  <c r="U1017" i="5"/>
  <c r="H1024" i="5" s="1"/>
  <c r="S1017" i="5"/>
  <c r="F1017" i="5"/>
  <c r="E1017" i="5"/>
  <c r="D1017" i="5"/>
  <c r="I1017" i="5"/>
  <c r="C1017" i="5"/>
  <c r="B1017" i="5"/>
  <c r="A1017" i="5"/>
  <c r="Q1016" i="5"/>
  <c r="L1016" i="5"/>
  <c r="Z1016" i="5"/>
  <c r="Y1016" i="5"/>
  <c r="X1016" i="5"/>
  <c r="L1015" i="5"/>
  <c r="G1015" i="5"/>
  <c r="E1015" i="5"/>
  <c r="J1014" i="5"/>
  <c r="E1014" i="5"/>
  <c r="J1013" i="5"/>
  <c r="E1013" i="5"/>
  <c r="K1012" i="5"/>
  <c r="J1012" i="5"/>
  <c r="H1012" i="5"/>
  <c r="R1012" i="5" s="1"/>
  <c r="G1012" i="5"/>
  <c r="F1012" i="5"/>
  <c r="K1011" i="5"/>
  <c r="J1011" i="5"/>
  <c r="H1011" i="5"/>
  <c r="G1011" i="5"/>
  <c r="F1011" i="5"/>
  <c r="K1010" i="5"/>
  <c r="J1010" i="5"/>
  <c r="H1010" i="5"/>
  <c r="R1010" i="5" s="1"/>
  <c r="G1010" i="5"/>
  <c r="F1010" i="5"/>
  <c r="C1009" i="5"/>
  <c r="V1008" i="5"/>
  <c r="K1014" i="5" s="1"/>
  <c r="T1008" i="5"/>
  <c r="K1013" i="5" s="1"/>
  <c r="U1008" i="5"/>
  <c r="H1014" i="5" s="1"/>
  <c r="S1008" i="5"/>
  <c r="H1013" i="5" s="1"/>
  <c r="F1008" i="5"/>
  <c r="E1008" i="5"/>
  <c r="D1008" i="5"/>
  <c r="I1008" i="5"/>
  <c r="C1008" i="5"/>
  <c r="B1008" i="5"/>
  <c r="A1008" i="5"/>
  <c r="Q1007" i="5"/>
  <c r="L1007" i="5"/>
  <c r="Z1007" i="5"/>
  <c r="Y1007" i="5"/>
  <c r="X1007" i="5"/>
  <c r="L1006" i="5"/>
  <c r="G1006" i="5"/>
  <c r="E1006" i="5"/>
  <c r="J1005" i="5"/>
  <c r="E1005" i="5"/>
  <c r="J1004" i="5"/>
  <c r="E1004" i="5"/>
  <c r="K1003" i="5"/>
  <c r="J1003" i="5"/>
  <c r="H1003" i="5"/>
  <c r="R1003" i="5" s="1"/>
  <c r="G1003" i="5"/>
  <c r="F1003" i="5"/>
  <c r="K1002" i="5"/>
  <c r="J1002" i="5"/>
  <c r="H1002" i="5"/>
  <c r="G1002" i="5"/>
  <c r="F1002" i="5"/>
  <c r="K1001" i="5"/>
  <c r="J1001" i="5"/>
  <c r="H1001" i="5"/>
  <c r="G1001" i="5"/>
  <c r="F1001" i="5"/>
  <c r="C1000" i="5"/>
  <c r="V999" i="5"/>
  <c r="K1005" i="5" s="1"/>
  <c r="T999" i="5"/>
  <c r="K1004" i="5" s="1"/>
  <c r="U999" i="5"/>
  <c r="H1005" i="5" s="1"/>
  <c r="S999" i="5"/>
  <c r="H1004" i="5" s="1"/>
  <c r="F999" i="5"/>
  <c r="E999" i="5"/>
  <c r="D999" i="5"/>
  <c r="I999" i="5"/>
  <c r="C999" i="5"/>
  <c r="B999" i="5"/>
  <c r="A999" i="5"/>
  <c r="L998" i="5"/>
  <c r="Q998" i="5" s="1"/>
  <c r="Z998" i="5"/>
  <c r="Y998" i="5"/>
  <c r="X998" i="5"/>
  <c r="L997" i="5"/>
  <c r="G997" i="5"/>
  <c r="E997" i="5"/>
  <c r="J996" i="5"/>
  <c r="E996" i="5"/>
  <c r="J995" i="5"/>
  <c r="E995" i="5"/>
  <c r="K994" i="5"/>
  <c r="J994" i="5"/>
  <c r="H994" i="5"/>
  <c r="R994" i="5" s="1"/>
  <c r="G994" i="5"/>
  <c r="F994" i="5"/>
  <c r="K993" i="5"/>
  <c r="J993" i="5"/>
  <c r="H993" i="5"/>
  <c r="G993" i="5"/>
  <c r="F993" i="5"/>
  <c r="K992" i="5"/>
  <c r="J992" i="5"/>
  <c r="H992" i="5"/>
  <c r="R992" i="5" s="1"/>
  <c r="G992" i="5"/>
  <c r="F992" i="5"/>
  <c r="C991" i="5"/>
  <c r="V990" i="5"/>
  <c r="K996" i="5" s="1"/>
  <c r="T990" i="5"/>
  <c r="K995" i="5" s="1"/>
  <c r="U990" i="5"/>
  <c r="H996" i="5" s="1"/>
  <c r="S990" i="5"/>
  <c r="H995" i="5" s="1"/>
  <c r="F990" i="5"/>
  <c r="E990" i="5"/>
  <c r="D990" i="5"/>
  <c r="I990" i="5"/>
  <c r="C990" i="5"/>
  <c r="B990" i="5"/>
  <c r="A990" i="5"/>
  <c r="L989" i="5"/>
  <c r="Q989" i="5" s="1"/>
  <c r="Z989" i="5"/>
  <c r="Y989" i="5"/>
  <c r="X989" i="5"/>
  <c r="L988" i="5"/>
  <c r="G988" i="5"/>
  <c r="E988" i="5"/>
  <c r="J987" i="5"/>
  <c r="E987" i="5"/>
  <c r="J986" i="5"/>
  <c r="E986" i="5"/>
  <c r="K985" i="5"/>
  <c r="J985" i="5"/>
  <c r="H985" i="5"/>
  <c r="R985" i="5" s="1"/>
  <c r="G985" i="5"/>
  <c r="F985" i="5"/>
  <c r="K984" i="5"/>
  <c r="J984" i="5"/>
  <c r="H984" i="5"/>
  <c r="G984" i="5"/>
  <c r="F984" i="5"/>
  <c r="K983" i="5"/>
  <c r="J983" i="5"/>
  <c r="H983" i="5"/>
  <c r="R983" i="5" s="1"/>
  <c r="G983" i="5"/>
  <c r="F983" i="5"/>
  <c r="C982" i="5"/>
  <c r="V981" i="5"/>
  <c r="K987" i="5" s="1"/>
  <c r="T981" i="5"/>
  <c r="K986" i="5" s="1"/>
  <c r="U981" i="5"/>
  <c r="H987" i="5" s="1"/>
  <c r="S981" i="5"/>
  <c r="H986" i="5" s="1"/>
  <c r="F981" i="5"/>
  <c r="E981" i="5"/>
  <c r="D981" i="5"/>
  <c r="I981" i="5"/>
  <c r="C981" i="5"/>
  <c r="B981" i="5"/>
  <c r="A981" i="5"/>
  <c r="L980" i="5"/>
  <c r="Q980" i="5" s="1"/>
  <c r="Z980" i="5"/>
  <c r="Y980" i="5"/>
  <c r="X980" i="5"/>
  <c r="L979" i="5"/>
  <c r="G979" i="5"/>
  <c r="E979" i="5"/>
  <c r="J978" i="5"/>
  <c r="E978" i="5"/>
  <c r="J977" i="5"/>
  <c r="E977" i="5"/>
  <c r="K976" i="5"/>
  <c r="J976" i="5"/>
  <c r="H976" i="5"/>
  <c r="R976" i="5" s="1"/>
  <c r="G976" i="5"/>
  <c r="F976" i="5"/>
  <c r="K975" i="5"/>
  <c r="J975" i="5"/>
  <c r="H975" i="5"/>
  <c r="G975" i="5"/>
  <c r="F975" i="5"/>
  <c r="K974" i="5"/>
  <c r="J974" i="5"/>
  <c r="H974" i="5"/>
  <c r="R974" i="5" s="1"/>
  <c r="G974" i="5"/>
  <c r="F974" i="5"/>
  <c r="V973" i="5"/>
  <c r="K978" i="5" s="1"/>
  <c r="T973" i="5"/>
  <c r="K977" i="5" s="1"/>
  <c r="U973" i="5"/>
  <c r="H978" i="5" s="1"/>
  <c r="S973" i="5"/>
  <c r="H977" i="5" s="1"/>
  <c r="F973" i="5"/>
  <c r="E973" i="5"/>
  <c r="D973" i="5"/>
  <c r="I973" i="5"/>
  <c r="C973" i="5"/>
  <c r="B973" i="5"/>
  <c r="A973" i="5"/>
  <c r="L972" i="5"/>
  <c r="Q972" i="5" s="1"/>
  <c r="Z972" i="5"/>
  <c r="Y972" i="5"/>
  <c r="X972" i="5"/>
  <c r="K971" i="5"/>
  <c r="J971" i="5"/>
  <c r="Z971" i="5"/>
  <c r="Y971" i="5"/>
  <c r="X971" i="5"/>
  <c r="H971" i="5"/>
  <c r="W971" i="5" s="1"/>
  <c r="F971" i="5"/>
  <c r="V971" i="5"/>
  <c r="T971" i="5"/>
  <c r="U971" i="5"/>
  <c r="S971" i="5"/>
  <c r="E971" i="5"/>
  <c r="D971" i="5"/>
  <c r="C971" i="5"/>
  <c r="B971" i="5"/>
  <c r="A971" i="5"/>
  <c r="L970" i="5"/>
  <c r="G970" i="5"/>
  <c r="E970" i="5"/>
  <c r="J969" i="5"/>
  <c r="E969" i="5"/>
  <c r="J968" i="5"/>
  <c r="E968" i="5"/>
  <c r="K967" i="5"/>
  <c r="J967" i="5"/>
  <c r="H967" i="5"/>
  <c r="G967" i="5"/>
  <c r="F967" i="5"/>
  <c r="K966" i="5"/>
  <c r="J966" i="5"/>
  <c r="H966" i="5"/>
  <c r="R966" i="5" s="1"/>
  <c r="G966" i="5"/>
  <c r="F966" i="5"/>
  <c r="K965" i="5"/>
  <c r="J965" i="5"/>
  <c r="H965" i="5"/>
  <c r="G965" i="5"/>
  <c r="F965" i="5"/>
  <c r="K964" i="5"/>
  <c r="J964" i="5"/>
  <c r="H964" i="5"/>
  <c r="R964" i="5" s="1"/>
  <c r="G964" i="5"/>
  <c r="F964" i="5"/>
  <c r="V963" i="5"/>
  <c r="K969" i="5" s="1"/>
  <c r="T963" i="5"/>
  <c r="K968" i="5" s="1"/>
  <c r="U963" i="5"/>
  <c r="H969" i="5" s="1"/>
  <c r="S963" i="5"/>
  <c r="H968" i="5" s="1"/>
  <c r="F963" i="5"/>
  <c r="E963" i="5"/>
  <c r="D963" i="5"/>
  <c r="I963" i="5"/>
  <c r="C963" i="5"/>
  <c r="B963" i="5"/>
  <c r="A963" i="5"/>
  <c r="L962" i="5"/>
  <c r="Q962" i="5" s="1"/>
  <c r="Z962" i="5"/>
  <c r="Y962" i="5"/>
  <c r="X962" i="5"/>
  <c r="L961" i="5"/>
  <c r="G961" i="5"/>
  <c r="E961" i="5"/>
  <c r="J960" i="5"/>
  <c r="E960" i="5"/>
  <c r="J959" i="5"/>
  <c r="E959" i="5"/>
  <c r="K958" i="5"/>
  <c r="J958" i="5"/>
  <c r="H958" i="5"/>
  <c r="R958" i="5" s="1"/>
  <c r="G958" i="5"/>
  <c r="F958" i="5"/>
  <c r="K957" i="5"/>
  <c r="J957" i="5"/>
  <c r="H957" i="5"/>
  <c r="G957" i="5"/>
  <c r="F957" i="5"/>
  <c r="K956" i="5"/>
  <c r="J956" i="5"/>
  <c r="H956" i="5"/>
  <c r="R956" i="5" s="1"/>
  <c r="G956" i="5"/>
  <c r="F956" i="5"/>
  <c r="C955" i="5"/>
  <c r="V954" i="5"/>
  <c r="K960" i="5" s="1"/>
  <c r="T954" i="5"/>
  <c r="K959" i="5" s="1"/>
  <c r="U954" i="5"/>
  <c r="H960" i="5" s="1"/>
  <c r="S954" i="5"/>
  <c r="H959" i="5" s="1"/>
  <c r="F954" i="5"/>
  <c r="E954" i="5"/>
  <c r="D954" i="5"/>
  <c r="I954" i="5"/>
  <c r="C954" i="5"/>
  <c r="B954" i="5"/>
  <c r="A954" i="5"/>
  <c r="L953" i="5"/>
  <c r="Q953" i="5" s="1"/>
  <c r="Z953" i="5"/>
  <c r="Y953" i="5"/>
  <c r="X953" i="5"/>
  <c r="L952" i="5"/>
  <c r="G952" i="5"/>
  <c r="E952" i="5"/>
  <c r="J951" i="5"/>
  <c r="E951" i="5"/>
  <c r="J950" i="5"/>
  <c r="E950" i="5"/>
  <c r="K949" i="5"/>
  <c r="J949" i="5"/>
  <c r="H949" i="5"/>
  <c r="R949" i="5" s="1"/>
  <c r="G949" i="5"/>
  <c r="F949" i="5"/>
  <c r="K948" i="5"/>
  <c r="J948" i="5"/>
  <c r="H948" i="5"/>
  <c r="G948" i="5"/>
  <c r="F948" i="5"/>
  <c r="K947" i="5"/>
  <c r="J947" i="5"/>
  <c r="H947" i="5"/>
  <c r="G947" i="5"/>
  <c r="F947" i="5"/>
  <c r="C946" i="5"/>
  <c r="V945" i="5"/>
  <c r="K951" i="5" s="1"/>
  <c r="T945" i="5"/>
  <c r="K950" i="5" s="1"/>
  <c r="U945" i="5"/>
  <c r="H951" i="5" s="1"/>
  <c r="S945" i="5"/>
  <c r="H950" i="5" s="1"/>
  <c r="F945" i="5"/>
  <c r="E945" i="5"/>
  <c r="D945" i="5"/>
  <c r="I945" i="5"/>
  <c r="C945" i="5"/>
  <c r="B945" i="5"/>
  <c r="A945" i="5"/>
  <c r="A944" i="5"/>
  <c r="A942" i="5"/>
  <c r="L940" i="5"/>
  <c r="Q940" i="5" s="1"/>
  <c r="Z940" i="5"/>
  <c r="Y940" i="5"/>
  <c r="W940" i="5"/>
  <c r="K939" i="5"/>
  <c r="J939" i="5"/>
  <c r="Z939" i="5"/>
  <c r="Y939" i="5"/>
  <c r="W939" i="5"/>
  <c r="H939" i="5"/>
  <c r="X939" i="5" s="1"/>
  <c r="F939" i="5"/>
  <c r="V939" i="5"/>
  <c r="T939" i="5"/>
  <c r="U939" i="5"/>
  <c r="S939" i="5"/>
  <c r="E939" i="5"/>
  <c r="D939" i="5"/>
  <c r="C939" i="5"/>
  <c r="B939" i="5"/>
  <c r="A939" i="5"/>
  <c r="L938" i="5"/>
  <c r="G938" i="5"/>
  <c r="E938" i="5"/>
  <c r="J937" i="5"/>
  <c r="E937" i="5"/>
  <c r="J936" i="5"/>
  <c r="E936" i="5"/>
  <c r="K935" i="5"/>
  <c r="J935" i="5"/>
  <c r="H935" i="5"/>
  <c r="G935" i="5"/>
  <c r="F935" i="5"/>
  <c r="K934" i="5"/>
  <c r="J934" i="5"/>
  <c r="H934" i="5"/>
  <c r="G934" i="5"/>
  <c r="F934" i="5"/>
  <c r="V933" i="5"/>
  <c r="T933" i="5"/>
  <c r="U933" i="5"/>
  <c r="S933" i="5"/>
  <c r="F933" i="5"/>
  <c r="E933" i="5"/>
  <c r="D933" i="5"/>
  <c r="I933" i="5"/>
  <c r="C933" i="5"/>
  <c r="B933" i="5"/>
  <c r="A933" i="5"/>
  <c r="L932" i="5"/>
  <c r="Q932" i="5" s="1"/>
  <c r="Z932" i="5"/>
  <c r="Y932" i="5"/>
  <c r="X932" i="5"/>
  <c r="K931" i="5"/>
  <c r="J931" i="5"/>
  <c r="Z931" i="5"/>
  <c r="Y931" i="5"/>
  <c r="X931" i="5"/>
  <c r="H931" i="5"/>
  <c r="W931" i="5" s="1"/>
  <c r="F931" i="5"/>
  <c r="V931" i="5"/>
  <c r="T931" i="5"/>
  <c r="U931" i="5"/>
  <c r="S931" i="5"/>
  <c r="E931" i="5"/>
  <c r="D931" i="5"/>
  <c r="C931" i="5"/>
  <c r="B931" i="5"/>
  <c r="A931" i="5"/>
  <c r="L930" i="5"/>
  <c r="G930" i="5"/>
  <c r="E930" i="5"/>
  <c r="J929" i="5"/>
  <c r="F929" i="5"/>
  <c r="E929" i="5"/>
  <c r="J928" i="5"/>
  <c r="F928" i="5"/>
  <c r="E928" i="5"/>
  <c r="K927" i="5"/>
  <c r="J927" i="5"/>
  <c r="H927" i="5"/>
  <c r="G927" i="5"/>
  <c r="F927" i="5"/>
  <c r="K926" i="5"/>
  <c r="J926" i="5"/>
  <c r="H926" i="5"/>
  <c r="R926" i="5" s="1"/>
  <c r="G926" i="5"/>
  <c r="F926" i="5"/>
  <c r="K925" i="5"/>
  <c r="J925" i="5"/>
  <c r="H925" i="5"/>
  <c r="G925" i="5"/>
  <c r="F925" i="5"/>
  <c r="K924" i="5"/>
  <c r="J924" i="5"/>
  <c r="H924" i="5"/>
  <c r="R924" i="5" s="1"/>
  <c r="G924" i="5"/>
  <c r="F924" i="5"/>
  <c r="V923" i="5"/>
  <c r="T923" i="5"/>
  <c r="U923" i="5"/>
  <c r="H929" i="5" s="1"/>
  <c r="S923" i="5"/>
  <c r="F923" i="5"/>
  <c r="E923" i="5"/>
  <c r="D923" i="5"/>
  <c r="I923" i="5"/>
  <c r="C923" i="5"/>
  <c r="B923" i="5"/>
  <c r="A923" i="5"/>
  <c r="L922" i="5"/>
  <c r="Q922" i="5" s="1"/>
  <c r="Z922" i="5"/>
  <c r="Y922" i="5"/>
  <c r="X922" i="5"/>
  <c r="K921" i="5"/>
  <c r="J921" i="5"/>
  <c r="Z921" i="5"/>
  <c r="Y921" i="5"/>
  <c r="X921" i="5"/>
  <c r="H921" i="5"/>
  <c r="W921" i="5" s="1"/>
  <c r="F921" i="5"/>
  <c r="V921" i="5"/>
  <c r="T921" i="5"/>
  <c r="U921" i="5"/>
  <c r="S921" i="5"/>
  <c r="E921" i="5"/>
  <c r="D921" i="5"/>
  <c r="C921" i="5"/>
  <c r="B921" i="5"/>
  <c r="A921" i="5"/>
  <c r="L920" i="5"/>
  <c r="G920" i="5"/>
  <c r="E920" i="5"/>
  <c r="J919" i="5"/>
  <c r="F919" i="5"/>
  <c r="E919" i="5"/>
  <c r="J918" i="5"/>
  <c r="F918" i="5"/>
  <c r="E918" i="5"/>
  <c r="K917" i="5"/>
  <c r="J917" i="5"/>
  <c r="H917" i="5"/>
  <c r="G917" i="5"/>
  <c r="F917" i="5"/>
  <c r="K916" i="5"/>
  <c r="J916" i="5"/>
  <c r="H916" i="5"/>
  <c r="R916" i="5" s="1"/>
  <c r="G916" i="5"/>
  <c r="F916" i="5"/>
  <c r="K915" i="5"/>
  <c r="J915" i="5"/>
  <c r="H915" i="5"/>
  <c r="G915" i="5"/>
  <c r="F915" i="5"/>
  <c r="K914" i="5"/>
  <c r="J914" i="5"/>
  <c r="H914" i="5"/>
  <c r="R914" i="5" s="1"/>
  <c r="G914" i="5"/>
  <c r="F914" i="5"/>
  <c r="V913" i="5"/>
  <c r="T913" i="5"/>
  <c r="U913" i="5"/>
  <c r="H919" i="5" s="1"/>
  <c r="S913" i="5"/>
  <c r="F913" i="5"/>
  <c r="E913" i="5"/>
  <c r="D913" i="5"/>
  <c r="I913" i="5"/>
  <c r="C913" i="5"/>
  <c r="B913" i="5"/>
  <c r="A913" i="5"/>
  <c r="L912" i="5"/>
  <c r="Q912" i="5" s="1"/>
  <c r="Z912" i="5"/>
  <c r="Y912" i="5"/>
  <c r="X912" i="5"/>
  <c r="K911" i="5"/>
  <c r="J911" i="5"/>
  <c r="Z911" i="5"/>
  <c r="Y911" i="5"/>
  <c r="X911" i="5"/>
  <c r="H911" i="5"/>
  <c r="W911" i="5" s="1"/>
  <c r="F911" i="5"/>
  <c r="V911" i="5"/>
  <c r="T911" i="5"/>
  <c r="U911" i="5"/>
  <c r="S911" i="5"/>
  <c r="E911" i="5"/>
  <c r="D911" i="5"/>
  <c r="C911" i="5"/>
  <c r="B911" i="5"/>
  <c r="A911" i="5"/>
  <c r="L910" i="5"/>
  <c r="G910" i="5"/>
  <c r="E910" i="5"/>
  <c r="J909" i="5"/>
  <c r="F909" i="5"/>
  <c r="E909" i="5"/>
  <c r="J908" i="5"/>
  <c r="F908" i="5"/>
  <c r="E908" i="5"/>
  <c r="K907" i="5"/>
  <c r="J907" i="5"/>
  <c r="H907" i="5"/>
  <c r="G907" i="5"/>
  <c r="F907" i="5"/>
  <c r="K906" i="5"/>
  <c r="J906" i="5"/>
  <c r="H906" i="5"/>
  <c r="R906" i="5" s="1"/>
  <c r="G906" i="5"/>
  <c r="F906" i="5"/>
  <c r="K905" i="5"/>
  <c r="J905" i="5"/>
  <c r="H905" i="5"/>
  <c r="G905" i="5"/>
  <c r="F905" i="5"/>
  <c r="K904" i="5"/>
  <c r="J904" i="5"/>
  <c r="H904" i="5"/>
  <c r="G904" i="5"/>
  <c r="F904" i="5"/>
  <c r="C903" i="5"/>
  <c r="V902" i="5"/>
  <c r="T902" i="5"/>
  <c r="K908" i="5" s="1"/>
  <c r="U902" i="5"/>
  <c r="S902" i="5"/>
  <c r="F902" i="5"/>
  <c r="E902" i="5"/>
  <c r="D902" i="5"/>
  <c r="I902" i="5"/>
  <c r="C902" i="5"/>
  <c r="B902" i="5"/>
  <c r="A902" i="5"/>
  <c r="L901" i="5"/>
  <c r="Q901" i="5" s="1"/>
  <c r="Z901" i="5"/>
  <c r="Y901" i="5"/>
  <c r="X901" i="5"/>
  <c r="L900" i="5"/>
  <c r="G900" i="5"/>
  <c r="E900" i="5"/>
  <c r="J899" i="5"/>
  <c r="F899" i="5"/>
  <c r="E899" i="5"/>
  <c r="J898" i="5"/>
  <c r="F898" i="5"/>
  <c r="E898" i="5"/>
  <c r="K897" i="5"/>
  <c r="J897" i="5"/>
  <c r="H897" i="5"/>
  <c r="G897" i="5"/>
  <c r="F897" i="5"/>
  <c r="K896" i="5"/>
  <c r="J896" i="5"/>
  <c r="H896" i="5"/>
  <c r="G896" i="5"/>
  <c r="F896" i="5"/>
  <c r="K895" i="5"/>
  <c r="J895" i="5"/>
  <c r="H895" i="5"/>
  <c r="R895" i="5" s="1"/>
  <c r="G895" i="5"/>
  <c r="F895" i="5"/>
  <c r="C894" i="5"/>
  <c r="V893" i="5"/>
  <c r="K899" i="5" s="1"/>
  <c r="T893" i="5"/>
  <c r="K898" i="5" s="1"/>
  <c r="U893" i="5"/>
  <c r="H899" i="5" s="1"/>
  <c r="S893" i="5"/>
  <c r="H898" i="5" s="1"/>
  <c r="F893" i="5"/>
  <c r="E893" i="5"/>
  <c r="D893" i="5"/>
  <c r="I893" i="5"/>
  <c r="C893" i="5"/>
  <c r="B893" i="5"/>
  <c r="A893" i="5"/>
  <c r="L892" i="5"/>
  <c r="Q892" i="5" s="1"/>
  <c r="Z892" i="5"/>
  <c r="Y892" i="5"/>
  <c r="X892" i="5"/>
  <c r="L891" i="5"/>
  <c r="G891" i="5"/>
  <c r="E891" i="5"/>
  <c r="J890" i="5"/>
  <c r="F890" i="5"/>
  <c r="E890" i="5"/>
  <c r="J889" i="5"/>
  <c r="F889" i="5"/>
  <c r="E889" i="5"/>
  <c r="K888" i="5"/>
  <c r="J888" i="5"/>
  <c r="H888" i="5"/>
  <c r="G888" i="5"/>
  <c r="F888" i="5"/>
  <c r="K887" i="5"/>
  <c r="J887" i="5"/>
  <c r="H887" i="5"/>
  <c r="R887" i="5" s="1"/>
  <c r="G887" i="5"/>
  <c r="F887" i="5"/>
  <c r="K886" i="5"/>
  <c r="J886" i="5"/>
  <c r="H886" i="5"/>
  <c r="G886" i="5"/>
  <c r="F886" i="5"/>
  <c r="K885" i="5"/>
  <c r="J885" i="5"/>
  <c r="H885" i="5"/>
  <c r="R885" i="5" s="1"/>
  <c r="G885" i="5"/>
  <c r="F885" i="5"/>
  <c r="V884" i="5"/>
  <c r="K890" i="5" s="1"/>
  <c r="T884" i="5"/>
  <c r="K889" i="5" s="1"/>
  <c r="U884" i="5"/>
  <c r="H890" i="5" s="1"/>
  <c r="S884" i="5"/>
  <c r="H889" i="5" s="1"/>
  <c r="F884" i="5"/>
  <c r="E884" i="5"/>
  <c r="D884" i="5"/>
  <c r="I884" i="5"/>
  <c r="C884" i="5"/>
  <c r="B884" i="5"/>
  <c r="A884" i="5"/>
  <c r="L883" i="5"/>
  <c r="Q883" i="5" s="1"/>
  <c r="Z883" i="5"/>
  <c r="Y883" i="5"/>
  <c r="X883" i="5"/>
  <c r="K882" i="5"/>
  <c r="J882" i="5"/>
  <c r="Z882" i="5"/>
  <c r="Y882" i="5"/>
  <c r="X882" i="5"/>
  <c r="H882" i="5"/>
  <c r="W882" i="5" s="1"/>
  <c r="F882" i="5"/>
  <c r="V882" i="5"/>
  <c r="T882" i="5"/>
  <c r="U882" i="5"/>
  <c r="S882" i="5"/>
  <c r="E882" i="5"/>
  <c r="D882" i="5"/>
  <c r="C882" i="5"/>
  <c r="B882" i="5"/>
  <c r="A882" i="5"/>
  <c r="L881" i="5"/>
  <c r="G881" i="5"/>
  <c r="E881" i="5"/>
  <c r="J880" i="5"/>
  <c r="F880" i="5"/>
  <c r="E880" i="5"/>
  <c r="J879" i="5"/>
  <c r="F879" i="5"/>
  <c r="E879" i="5"/>
  <c r="K878" i="5"/>
  <c r="J878" i="5"/>
  <c r="H878" i="5"/>
  <c r="G878" i="5"/>
  <c r="F878" i="5"/>
  <c r="K877" i="5"/>
  <c r="J877" i="5"/>
  <c r="H877" i="5"/>
  <c r="R877" i="5" s="1"/>
  <c r="G877" i="5"/>
  <c r="F877" i="5"/>
  <c r="K876" i="5"/>
  <c r="J876" i="5"/>
  <c r="H876" i="5"/>
  <c r="G876" i="5"/>
  <c r="F876" i="5"/>
  <c r="K875" i="5"/>
  <c r="J875" i="5"/>
  <c r="H875" i="5"/>
  <c r="G875" i="5"/>
  <c r="F875" i="5"/>
  <c r="V874" i="5"/>
  <c r="T874" i="5"/>
  <c r="U874" i="5"/>
  <c r="S874" i="5"/>
  <c r="H879" i="5" s="1"/>
  <c r="F874" i="5"/>
  <c r="E874" i="5"/>
  <c r="D874" i="5"/>
  <c r="I874" i="5"/>
  <c r="C874" i="5"/>
  <c r="B874" i="5"/>
  <c r="A874" i="5"/>
  <c r="L873" i="5"/>
  <c r="Q873" i="5" s="1"/>
  <c r="Z873" i="5"/>
  <c r="Y873" i="5"/>
  <c r="X873" i="5"/>
  <c r="K872" i="5"/>
  <c r="J872" i="5"/>
  <c r="Z872" i="5"/>
  <c r="Y872" i="5"/>
  <c r="X872" i="5"/>
  <c r="H872" i="5"/>
  <c r="W872" i="5" s="1"/>
  <c r="F872" i="5"/>
  <c r="V872" i="5"/>
  <c r="T872" i="5"/>
  <c r="U872" i="5"/>
  <c r="S872" i="5"/>
  <c r="E872" i="5"/>
  <c r="D872" i="5"/>
  <c r="C872" i="5"/>
  <c r="B872" i="5"/>
  <c r="A872" i="5"/>
  <c r="K871" i="5"/>
  <c r="J871" i="5"/>
  <c r="Z871" i="5"/>
  <c r="Y871" i="5"/>
  <c r="X871" i="5"/>
  <c r="W871" i="5"/>
  <c r="H871" i="5"/>
  <c r="F871" i="5"/>
  <c r="V871" i="5"/>
  <c r="T871" i="5"/>
  <c r="U871" i="5"/>
  <c r="S871" i="5"/>
  <c r="E871" i="5"/>
  <c r="D871" i="5"/>
  <c r="C871" i="5"/>
  <c r="B871" i="5"/>
  <c r="A871" i="5"/>
  <c r="K870" i="5"/>
  <c r="J870" i="5"/>
  <c r="Z870" i="5"/>
  <c r="Y870" i="5"/>
  <c r="X870" i="5"/>
  <c r="H870" i="5"/>
  <c r="W870" i="5" s="1"/>
  <c r="F870" i="5"/>
  <c r="V870" i="5"/>
  <c r="T870" i="5"/>
  <c r="U870" i="5"/>
  <c r="S870" i="5"/>
  <c r="E870" i="5"/>
  <c r="D870" i="5"/>
  <c r="C870" i="5"/>
  <c r="B870" i="5"/>
  <c r="A870" i="5"/>
  <c r="L869" i="5"/>
  <c r="G869" i="5"/>
  <c r="E869" i="5"/>
  <c r="J868" i="5"/>
  <c r="F868" i="5"/>
  <c r="E868" i="5"/>
  <c r="J867" i="5"/>
  <c r="F867" i="5"/>
  <c r="E867" i="5"/>
  <c r="K866" i="5"/>
  <c r="J866" i="5"/>
  <c r="H866" i="5"/>
  <c r="G866" i="5"/>
  <c r="F866" i="5"/>
  <c r="K865" i="5"/>
  <c r="J865" i="5"/>
  <c r="H865" i="5"/>
  <c r="R865" i="5" s="1"/>
  <c r="G865" i="5"/>
  <c r="F865" i="5"/>
  <c r="K864" i="5"/>
  <c r="J864" i="5"/>
  <c r="H864" i="5"/>
  <c r="G864" i="5"/>
  <c r="F864" i="5"/>
  <c r="K863" i="5"/>
  <c r="J863" i="5"/>
  <c r="H863" i="5"/>
  <c r="R863" i="5" s="1"/>
  <c r="G863" i="5"/>
  <c r="F863" i="5"/>
  <c r="V862" i="5"/>
  <c r="T862" i="5"/>
  <c r="U862" i="5"/>
  <c r="S862" i="5"/>
  <c r="F862" i="5"/>
  <c r="E862" i="5"/>
  <c r="D862" i="5"/>
  <c r="I862" i="5"/>
  <c r="C862" i="5"/>
  <c r="B862" i="5"/>
  <c r="A862" i="5"/>
  <c r="L861" i="5"/>
  <c r="Q861" i="5" s="1"/>
  <c r="Z861" i="5"/>
  <c r="Y861" i="5"/>
  <c r="X861" i="5"/>
  <c r="K860" i="5"/>
  <c r="J860" i="5"/>
  <c r="Z860" i="5"/>
  <c r="Y860" i="5"/>
  <c r="X860" i="5"/>
  <c r="H860" i="5"/>
  <c r="W860" i="5" s="1"/>
  <c r="F860" i="5"/>
  <c r="V860" i="5"/>
  <c r="T860" i="5"/>
  <c r="U860" i="5"/>
  <c r="S860" i="5"/>
  <c r="E860" i="5"/>
  <c r="D860" i="5"/>
  <c r="C860" i="5"/>
  <c r="B860" i="5"/>
  <c r="A860" i="5"/>
  <c r="K859" i="5"/>
  <c r="J859" i="5"/>
  <c r="Z859" i="5"/>
  <c r="Y859" i="5"/>
  <c r="X859" i="5"/>
  <c r="H859" i="5"/>
  <c r="W859" i="5" s="1"/>
  <c r="F859" i="5"/>
  <c r="V859" i="5"/>
  <c r="T859" i="5"/>
  <c r="U859" i="5"/>
  <c r="S859" i="5"/>
  <c r="E859" i="5"/>
  <c r="D859" i="5"/>
  <c r="C859" i="5"/>
  <c r="B859" i="5"/>
  <c r="A859" i="5"/>
  <c r="K858" i="5"/>
  <c r="J858" i="5"/>
  <c r="Z858" i="5"/>
  <c r="Y858" i="5"/>
  <c r="X858" i="5"/>
  <c r="H858" i="5"/>
  <c r="W858" i="5" s="1"/>
  <c r="F858" i="5"/>
  <c r="V858" i="5"/>
  <c r="T858" i="5"/>
  <c r="U858" i="5"/>
  <c r="S858" i="5"/>
  <c r="E858" i="5"/>
  <c r="D858" i="5"/>
  <c r="C858" i="5"/>
  <c r="B858" i="5"/>
  <c r="A858" i="5"/>
  <c r="K857" i="5"/>
  <c r="J857" i="5"/>
  <c r="Z857" i="5"/>
  <c r="Y857" i="5"/>
  <c r="X857" i="5"/>
  <c r="H857" i="5"/>
  <c r="W857" i="5" s="1"/>
  <c r="F857" i="5"/>
  <c r="V857" i="5"/>
  <c r="T857" i="5"/>
  <c r="U857" i="5"/>
  <c r="S857" i="5"/>
  <c r="E857" i="5"/>
  <c r="D857" i="5"/>
  <c r="C857" i="5"/>
  <c r="B857" i="5"/>
  <c r="A857" i="5"/>
  <c r="K856" i="5"/>
  <c r="J856" i="5"/>
  <c r="Z856" i="5"/>
  <c r="Y856" i="5"/>
  <c r="X856" i="5"/>
  <c r="H856" i="5"/>
  <c r="W856" i="5" s="1"/>
  <c r="F856" i="5"/>
  <c r="V856" i="5"/>
  <c r="T856" i="5"/>
  <c r="U856" i="5"/>
  <c r="S856" i="5"/>
  <c r="E856" i="5"/>
  <c r="D856" i="5"/>
  <c r="C856" i="5"/>
  <c r="B856" i="5"/>
  <c r="A856" i="5"/>
  <c r="K855" i="5"/>
  <c r="J855" i="5"/>
  <c r="Z855" i="5"/>
  <c r="Y855" i="5"/>
  <c r="X855" i="5"/>
  <c r="W855" i="5"/>
  <c r="H855" i="5"/>
  <c r="F855" i="5"/>
  <c r="V855" i="5"/>
  <c r="T855" i="5"/>
  <c r="U855" i="5"/>
  <c r="S855" i="5"/>
  <c r="E855" i="5"/>
  <c r="D855" i="5"/>
  <c r="C855" i="5"/>
  <c r="B855" i="5"/>
  <c r="A855" i="5"/>
  <c r="L854" i="5"/>
  <c r="G854" i="5"/>
  <c r="E854" i="5"/>
  <c r="J853" i="5"/>
  <c r="F853" i="5"/>
  <c r="E853" i="5"/>
  <c r="J852" i="5"/>
  <c r="F852" i="5"/>
  <c r="E852" i="5"/>
  <c r="K851" i="5"/>
  <c r="J851" i="5"/>
  <c r="H851" i="5"/>
  <c r="G851" i="5"/>
  <c r="F851" i="5"/>
  <c r="K850" i="5"/>
  <c r="J850" i="5"/>
  <c r="R850" i="5"/>
  <c r="H850" i="5"/>
  <c r="G850" i="5"/>
  <c r="F850" i="5"/>
  <c r="K849" i="5"/>
  <c r="J849" i="5"/>
  <c r="H849" i="5"/>
  <c r="G849" i="5"/>
  <c r="F849" i="5"/>
  <c r="K848" i="5"/>
  <c r="J848" i="5"/>
  <c r="H848" i="5"/>
  <c r="R848" i="5" s="1"/>
  <c r="G848" i="5"/>
  <c r="F848" i="5"/>
  <c r="C847" i="5"/>
  <c r="V846" i="5"/>
  <c r="T846" i="5"/>
  <c r="U846" i="5"/>
  <c r="S846" i="5"/>
  <c r="F846" i="5"/>
  <c r="E846" i="5"/>
  <c r="D846" i="5"/>
  <c r="I846" i="5"/>
  <c r="C846" i="5"/>
  <c r="B846" i="5"/>
  <c r="A846" i="5"/>
  <c r="L845" i="5"/>
  <c r="Q845" i="5" s="1"/>
  <c r="Z845" i="5"/>
  <c r="Y845" i="5"/>
  <c r="X845" i="5"/>
  <c r="K844" i="5"/>
  <c r="J844" i="5"/>
  <c r="Z844" i="5"/>
  <c r="Y844" i="5"/>
  <c r="X844" i="5"/>
  <c r="H844" i="5"/>
  <c r="W844" i="5" s="1"/>
  <c r="F844" i="5"/>
  <c r="V844" i="5"/>
  <c r="T844" i="5"/>
  <c r="U844" i="5"/>
  <c r="S844" i="5"/>
  <c r="E844" i="5"/>
  <c r="D844" i="5"/>
  <c r="C844" i="5"/>
  <c r="B844" i="5"/>
  <c r="A844" i="5"/>
  <c r="L843" i="5"/>
  <c r="G843" i="5"/>
  <c r="E843" i="5"/>
  <c r="J842" i="5"/>
  <c r="E842" i="5"/>
  <c r="J841" i="5"/>
  <c r="E841" i="5"/>
  <c r="K840" i="5"/>
  <c r="J840" i="5"/>
  <c r="H840" i="5"/>
  <c r="G840" i="5"/>
  <c r="F840" i="5"/>
  <c r="K839" i="5"/>
  <c r="J839" i="5"/>
  <c r="H839" i="5"/>
  <c r="R839" i="5" s="1"/>
  <c r="G839" i="5"/>
  <c r="F839" i="5"/>
  <c r="K838" i="5"/>
  <c r="J838" i="5"/>
  <c r="H838" i="5"/>
  <c r="G838" i="5"/>
  <c r="F838" i="5"/>
  <c r="K837" i="5"/>
  <c r="J837" i="5"/>
  <c r="H837" i="5"/>
  <c r="R837" i="5" s="1"/>
  <c r="G837" i="5"/>
  <c r="F837" i="5"/>
  <c r="C836" i="5"/>
  <c r="V835" i="5"/>
  <c r="K842" i="5" s="1"/>
  <c r="T835" i="5"/>
  <c r="U835" i="5"/>
  <c r="H842" i="5" s="1"/>
  <c r="S835" i="5"/>
  <c r="F835" i="5"/>
  <c r="E835" i="5"/>
  <c r="D835" i="5"/>
  <c r="I835" i="5"/>
  <c r="C835" i="5"/>
  <c r="B835" i="5"/>
  <c r="A835" i="5"/>
  <c r="L834" i="5"/>
  <c r="Q834" i="5" s="1"/>
  <c r="Z834" i="5"/>
  <c r="Y834" i="5"/>
  <c r="X834" i="5"/>
  <c r="K833" i="5"/>
  <c r="J833" i="5"/>
  <c r="Z833" i="5"/>
  <c r="Y833" i="5"/>
  <c r="X833" i="5"/>
  <c r="H833" i="5"/>
  <c r="W833" i="5" s="1"/>
  <c r="F833" i="5"/>
  <c r="V833" i="5"/>
  <c r="T833" i="5"/>
  <c r="U833" i="5"/>
  <c r="S833" i="5"/>
  <c r="E833" i="5"/>
  <c r="D833" i="5"/>
  <c r="C833" i="5"/>
  <c r="B833" i="5"/>
  <c r="A833" i="5"/>
  <c r="K832" i="5"/>
  <c r="J832" i="5"/>
  <c r="Z832" i="5"/>
  <c r="Y832" i="5"/>
  <c r="X832" i="5"/>
  <c r="H832" i="5"/>
  <c r="W832" i="5" s="1"/>
  <c r="F832" i="5"/>
  <c r="V832" i="5"/>
  <c r="T832" i="5"/>
  <c r="U832" i="5"/>
  <c r="S832" i="5"/>
  <c r="E832" i="5"/>
  <c r="D832" i="5"/>
  <c r="C832" i="5"/>
  <c r="B832" i="5"/>
  <c r="A832" i="5"/>
  <c r="K831" i="5"/>
  <c r="J831" i="5"/>
  <c r="Z831" i="5"/>
  <c r="Y831" i="5"/>
  <c r="X831" i="5"/>
  <c r="H831" i="5"/>
  <c r="W831" i="5" s="1"/>
  <c r="F831" i="5"/>
  <c r="V831" i="5"/>
  <c r="T831" i="5"/>
  <c r="U831" i="5"/>
  <c r="S831" i="5"/>
  <c r="E831" i="5"/>
  <c r="D831" i="5"/>
  <c r="C831" i="5"/>
  <c r="B831" i="5"/>
  <c r="A831" i="5"/>
  <c r="L830" i="5"/>
  <c r="G830" i="5"/>
  <c r="E830" i="5"/>
  <c r="J829" i="5"/>
  <c r="F829" i="5"/>
  <c r="E829" i="5"/>
  <c r="J828" i="5"/>
  <c r="F828" i="5"/>
  <c r="E828" i="5"/>
  <c r="K827" i="5"/>
  <c r="J827" i="5"/>
  <c r="H827" i="5"/>
  <c r="G827" i="5"/>
  <c r="F827" i="5"/>
  <c r="K826" i="5"/>
  <c r="J826" i="5"/>
  <c r="H826" i="5"/>
  <c r="R826" i="5" s="1"/>
  <c r="G826" i="5"/>
  <c r="F826" i="5"/>
  <c r="K825" i="5"/>
  <c r="J825" i="5"/>
  <c r="H825" i="5"/>
  <c r="G825" i="5"/>
  <c r="F825" i="5"/>
  <c r="K824" i="5"/>
  <c r="J824" i="5"/>
  <c r="H824" i="5"/>
  <c r="R824" i="5" s="1"/>
  <c r="G824" i="5"/>
  <c r="F824" i="5"/>
  <c r="C823" i="5"/>
  <c r="V822" i="5"/>
  <c r="K829" i="5" s="1"/>
  <c r="T822" i="5"/>
  <c r="U822" i="5"/>
  <c r="H829" i="5" s="1"/>
  <c r="S822" i="5"/>
  <c r="F822" i="5"/>
  <c r="E822" i="5"/>
  <c r="D822" i="5"/>
  <c r="I822" i="5"/>
  <c r="C822" i="5"/>
  <c r="B822" i="5"/>
  <c r="A822" i="5"/>
  <c r="L821" i="5"/>
  <c r="Q821" i="5" s="1"/>
  <c r="Z821" i="5"/>
  <c r="Y821" i="5"/>
  <c r="X821" i="5"/>
  <c r="K820" i="5"/>
  <c r="J820" i="5"/>
  <c r="Z820" i="5"/>
  <c r="Y820" i="5"/>
  <c r="X820" i="5"/>
  <c r="H820" i="5"/>
  <c r="W820" i="5" s="1"/>
  <c r="F820" i="5"/>
  <c r="V820" i="5"/>
  <c r="T820" i="5"/>
  <c r="U820" i="5"/>
  <c r="S820" i="5"/>
  <c r="E820" i="5"/>
  <c r="D820" i="5"/>
  <c r="C820" i="5"/>
  <c r="B820" i="5"/>
  <c r="A820" i="5"/>
  <c r="K819" i="5"/>
  <c r="J819" i="5"/>
  <c r="Z819" i="5"/>
  <c r="Y819" i="5"/>
  <c r="X819" i="5"/>
  <c r="H819" i="5"/>
  <c r="W819" i="5" s="1"/>
  <c r="F819" i="5"/>
  <c r="V819" i="5"/>
  <c r="T819" i="5"/>
  <c r="U819" i="5"/>
  <c r="S819" i="5"/>
  <c r="E819" i="5"/>
  <c r="D819" i="5"/>
  <c r="C819" i="5"/>
  <c r="B819" i="5"/>
  <c r="A819" i="5"/>
  <c r="K818" i="5"/>
  <c r="J818" i="5"/>
  <c r="Z818" i="5"/>
  <c r="Y818" i="5"/>
  <c r="X818" i="5"/>
  <c r="H818" i="5"/>
  <c r="W818" i="5" s="1"/>
  <c r="F818" i="5"/>
  <c r="V818" i="5"/>
  <c r="T818" i="5"/>
  <c r="U818" i="5"/>
  <c r="S818" i="5"/>
  <c r="E818" i="5"/>
  <c r="D818" i="5"/>
  <c r="C818" i="5"/>
  <c r="B818" i="5"/>
  <c r="A818" i="5"/>
  <c r="L817" i="5"/>
  <c r="G817" i="5"/>
  <c r="E817" i="5"/>
  <c r="J816" i="5"/>
  <c r="F816" i="5"/>
  <c r="E816" i="5"/>
  <c r="J815" i="5"/>
  <c r="F815" i="5"/>
  <c r="E815" i="5"/>
  <c r="K814" i="5"/>
  <c r="J814" i="5"/>
  <c r="H814" i="5"/>
  <c r="G814" i="5"/>
  <c r="F814" i="5"/>
  <c r="K813" i="5"/>
  <c r="J813" i="5"/>
  <c r="H813" i="5"/>
  <c r="R813" i="5" s="1"/>
  <c r="G813" i="5"/>
  <c r="F813" i="5"/>
  <c r="K812" i="5"/>
  <c r="J812" i="5"/>
  <c r="H812" i="5"/>
  <c r="G812" i="5"/>
  <c r="F812" i="5"/>
  <c r="K811" i="5"/>
  <c r="J811" i="5"/>
  <c r="H811" i="5"/>
  <c r="R811" i="5" s="1"/>
  <c r="G811" i="5"/>
  <c r="F811" i="5"/>
  <c r="C810" i="5"/>
  <c r="V809" i="5"/>
  <c r="T809" i="5"/>
  <c r="U809" i="5"/>
  <c r="H816" i="5" s="1"/>
  <c r="S809" i="5"/>
  <c r="H815" i="5" s="1"/>
  <c r="F809" i="5"/>
  <c r="E809" i="5"/>
  <c r="D809" i="5"/>
  <c r="I809" i="5"/>
  <c r="C809" i="5"/>
  <c r="B809" i="5"/>
  <c r="A809" i="5"/>
  <c r="Q808" i="5"/>
  <c r="L808" i="5"/>
  <c r="Z808" i="5"/>
  <c r="Y808" i="5"/>
  <c r="X808" i="5"/>
  <c r="L807" i="5"/>
  <c r="G807" i="5"/>
  <c r="E807" i="5"/>
  <c r="J806" i="5"/>
  <c r="E806" i="5"/>
  <c r="J805" i="5"/>
  <c r="E805" i="5"/>
  <c r="K804" i="5"/>
  <c r="J804" i="5"/>
  <c r="H804" i="5"/>
  <c r="R804" i="5" s="1"/>
  <c r="G804" i="5"/>
  <c r="F804" i="5"/>
  <c r="K803" i="5"/>
  <c r="J803" i="5"/>
  <c r="H803" i="5"/>
  <c r="G803" i="5"/>
  <c r="F803" i="5"/>
  <c r="K802" i="5"/>
  <c r="J802" i="5"/>
  <c r="H802" i="5"/>
  <c r="G802" i="5"/>
  <c r="F802" i="5"/>
  <c r="C801" i="5"/>
  <c r="V800" i="5"/>
  <c r="K806" i="5" s="1"/>
  <c r="T800" i="5"/>
  <c r="K805" i="5" s="1"/>
  <c r="U800" i="5"/>
  <c r="H806" i="5" s="1"/>
  <c r="S800" i="5"/>
  <c r="H805" i="5" s="1"/>
  <c r="F800" i="5"/>
  <c r="E800" i="5"/>
  <c r="D800" i="5"/>
  <c r="I800" i="5"/>
  <c r="C800" i="5"/>
  <c r="B800" i="5"/>
  <c r="A800" i="5"/>
  <c r="L799" i="5"/>
  <c r="Q799" i="5" s="1"/>
  <c r="Z799" i="5"/>
  <c r="Y799" i="5"/>
  <c r="W799" i="5"/>
  <c r="K798" i="5"/>
  <c r="J798" i="5"/>
  <c r="Z798" i="5"/>
  <c r="Y798" i="5"/>
  <c r="X798" i="5"/>
  <c r="W798" i="5"/>
  <c r="H798" i="5"/>
  <c r="F798" i="5"/>
  <c r="V798" i="5"/>
  <c r="T798" i="5"/>
  <c r="U798" i="5"/>
  <c r="S798" i="5"/>
  <c r="E798" i="5"/>
  <c r="D798" i="5"/>
  <c r="C798" i="5"/>
  <c r="B798" i="5"/>
  <c r="A798" i="5"/>
  <c r="L797" i="5"/>
  <c r="G797" i="5"/>
  <c r="E797" i="5"/>
  <c r="J796" i="5"/>
  <c r="E796" i="5"/>
  <c r="J795" i="5"/>
  <c r="E795" i="5"/>
  <c r="K794" i="5"/>
  <c r="J794" i="5"/>
  <c r="H794" i="5"/>
  <c r="G794" i="5"/>
  <c r="F794" i="5"/>
  <c r="K793" i="5"/>
  <c r="J793" i="5"/>
  <c r="H793" i="5"/>
  <c r="R793" i="5" s="1"/>
  <c r="G793" i="5"/>
  <c r="F793" i="5"/>
  <c r="K792" i="5"/>
  <c r="J792" i="5"/>
  <c r="H792" i="5"/>
  <c r="G792" i="5"/>
  <c r="F792" i="5"/>
  <c r="K791" i="5"/>
  <c r="J791" i="5"/>
  <c r="H791" i="5"/>
  <c r="R791" i="5" s="1"/>
  <c r="G791" i="5"/>
  <c r="F791" i="5"/>
  <c r="C790" i="5"/>
  <c r="V789" i="5"/>
  <c r="T789" i="5"/>
  <c r="U789" i="5"/>
  <c r="H796" i="5" s="1"/>
  <c r="S789" i="5"/>
  <c r="F789" i="5"/>
  <c r="E789" i="5"/>
  <c r="D789" i="5"/>
  <c r="I789" i="5"/>
  <c r="C789" i="5"/>
  <c r="B789" i="5"/>
  <c r="A789" i="5"/>
  <c r="Q788" i="5"/>
  <c r="L788" i="5"/>
  <c r="Z788" i="5"/>
  <c r="Y788" i="5"/>
  <c r="X788" i="5"/>
  <c r="L787" i="5"/>
  <c r="G787" i="5"/>
  <c r="E787" i="5"/>
  <c r="J786" i="5"/>
  <c r="E786" i="5"/>
  <c r="J785" i="5"/>
  <c r="E785" i="5"/>
  <c r="K784" i="5"/>
  <c r="J784" i="5"/>
  <c r="H784" i="5"/>
  <c r="R784" i="5" s="1"/>
  <c r="G784" i="5"/>
  <c r="F784" i="5"/>
  <c r="K783" i="5"/>
  <c r="J783" i="5"/>
  <c r="H783" i="5"/>
  <c r="G783" i="5"/>
  <c r="F783" i="5"/>
  <c r="K782" i="5"/>
  <c r="J782" i="5"/>
  <c r="H782" i="5"/>
  <c r="G782" i="5"/>
  <c r="F782" i="5"/>
  <c r="C781" i="5"/>
  <c r="V780" i="5"/>
  <c r="K786" i="5" s="1"/>
  <c r="T780" i="5"/>
  <c r="K785" i="5" s="1"/>
  <c r="U780" i="5"/>
  <c r="H786" i="5" s="1"/>
  <c r="S780" i="5"/>
  <c r="H785" i="5" s="1"/>
  <c r="F780" i="5"/>
  <c r="E780" i="5"/>
  <c r="D780" i="5"/>
  <c r="I780" i="5"/>
  <c r="C780" i="5"/>
  <c r="B780" i="5"/>
  <c r="A780" i="5"/>
  <c r="A779" i="5"/>
  <c r="A777" i="5"/>
  <c r="L775" i="5"/>
  <c r="Q775" i="5" s="1"/>
  <c r="Y775" i="5"/>
  <c r="X775" i="5"/>
  <c r="W775" i="5"/>
  <c r="L774" i="5"/>
  <c r="G774" i="5"/>
  <c r="E774" i="5"/>
  <c r="J773" i="5"/>
  <c r="E773" i="5"/>
  <c r="J772" i="5"/>
  <c r="E772" i="5"/>
  <c r="K771" i="5"/>
  <c r="J771" i="5"/>
  <c r="H771" i="5"/>
  <c r="G771" i="5"/>
  <c r="F771" i="5"/>
  <c r="V770" i="5"/>
  <c r="K773" i="5" s="1"/>
  <c r="T770" i="5"/>
  <c r="K772" i="5" s="1"/>
  <c r="U770" i="5"/>
  <c r="H773" i="5" s="1"/>
  <c r="S770" i="5"/>
  <c r="H772" i="5" s="1"/>
  <c r="F770" i="5"/>
  <c r="E770" i="5"/>
  <c r="D770" i="5"/>
  <c r="I770" i="5"/>
  <c r="C770" i="5"/>
  <c r="B770" i="5"/>
  <c r="A770" i="5"/>
  <c r="L769" i="5"/>
  <c r="Q769" i="5" s="1"/>
  <c r="Y769" i="5"/>
  <c r="X769" i="5"/>
  <c r="W769" i="5"/>
  <c r="L768" i="5"/>
  <c r="G768" i="5"/>
  <c r="E768" i="5"/>
  <c r="J767" i="5"/>
  <c r="E767" i="5"/>
  <c r="J766" i="5"/>
  <c r="E766" i="5"/>
  <c r="K765" i="5"/>
  <c r="J765" i="5"/>
  <c r="H765" i="5"/>
  <c r="R765" i="5" s="1"/>
  <c r="G765" i="5"/>
  <c r="F765" i="5"/>
  <c r="V764" i="5"/>
  <c r="K767" i="5" s="1"/>
  <c r="T764" i="5"/>
  <c r="K766" i="5" s="1"/>
  <c r="U764" i="5"/>
  <c r="H767" i="5" s="1"/>
  <c r="S764" i="5"/>
  <c r="H766" i="5" s="1"/>
  <c r="G769" i="5" s="1"/>
  <c r="O769" i="5" s="1"/>
  <c r="F764" i="5"/>
  <c r="E764" i="5"/>
  <c r="D764" i="5"/>
  <c r="I764" i="5"/>
  <c r="C764" i="5"/>
  <c r="B764" i="5"/>
  <c r="A764" i="5"/>
  <c r="L763" i="5"/>
  <c r="Q763" i="5" s="1"/>
  <c r="Y763" i="5"/>
  <c r="X763" i="5"/>
  <c r="W763" i="5"/>
  <c r="L762" i="5"/>
  <c r="G762" i="5"/>
  <c r="E762" i="5"/>
  <c r="J761" i="5"/>
  <c r="E761" i="5"/>
  <c r="J760" i="5"/>
  <c r="E760" i="5"/>
  <c r="K759" i="5"/>
  <c r="J759" i="5"/>
  <c r="H759" i="5"/>
  <c r="R759" i="5" s="1"/>
  <c r="G759" i="5"/>
  <c r="F759" i="5"/>
  <c r="C758" i="5"/>
  <c r="V757" i="5"/>
  <c r="K761" i="5" s="1"/>
  <c r="T757" i="5"/>
  <c r="K760" i="5" s="1"/>
  <c r="U757" i="5"/>
  <c r="H761" i="5" s="1"/>
  <c r="S757" i="5"/>
  <c r="H760" i="5" s="1"/>
  <c r="G763" i="5" s="1"/>
  <c r="O763" i="5" s="1"/>
  <c r="F757" i="5"/>
  <c r="E757" i="5"/>
  <c r="D757" i="5"/>
  <c r="I757" i="5"/>
  <c r="C757" i="5"/>
  <c r="B757" i="5"/>
  <c r="A757" i="5"/>
  <c r="Q756" i="5"/>
  <c r="L756" i="5"/>
  <c r="Y756" i="5"/>
  <c r="X756" i="5"/>
  <c r="W756" i="5"/>
  <c r="L755" i="5"/>
  <c r="G755" i="5"/>
  <c r="E755" i="5"/>
  <c r="J754" i="5"/>
  <c r="E754" i="5"/>
  <c r="J753" i="5"/>
  <c r="E753" i="5"/>
  <c r="K752" i="5"/>
  <c r="J752" i="5"/>
  <c r="H752" i="5"/>
  <c r="R752" i="5" s="1"/>
  <c r="G752" i="5"/>
  <c r="F752" i="5"/>
  <c r="V751" i="5"/>
  <c r="K754" i="5" s="1"/>
  <c r="T751" i="5"/>
  <c r="K753" i="5" s="1"/>
  <c r="U751" i="5"/>
  <c r="H754" i="5" s="1"/>
  <c r="S751" i="5"/>
  <c r="H753" i="5" s="1"/>
  <c r="Z756" i="5" s="1"/>
  <c r="F751" i="5"/>
  <c r="E751" i="5"/>
  <c r="D751" i="5"/>
  <c r="I751" i="5"/>
  <c r="C751" i="5"/>
  <c r="B751" i="5"/>
  <c r="A751" i="5"/>
  <c r="Q750" i="5"/>
  <c r="L750" i="5"/>
  <c r="Z750" i="5"/>
  <c r="Y750" i="5"/>
  <c r="W750" i="5"/>
  <c r="K749" i="5"/>
  <c r="J749" i="5"/>
  <c r="Z749" i="5"/>
  <c r="Y749" i="5"/>
  <c r="W749" i="5"/>
  <c r="H749" i="5"/>
  <c r="X749" i="5" s="1"/>
  <c r="F749" i="5"/>
  <c r="V749" i="5"/>
  <c r="T749" i="5"/>
  <c r="U749" i="5"/>
  <c r="S749" i="5"/>
  <c r="E749" i="5"/>
  <c r="D749" i="5"/>
  <c r="C749" i="5"/>
  <c r="B749" i="5"/>
  <c r="A749" i="5"/>
  <c r="L748" i="5"/>
  <c r="G748" i="5"/>
  <c r="E748" i="5"/>
  <c r="J747" i="5"/>
  <c r="E747" i="5"/>
  <c r="J746" i="5"/>
  <c r="E746" i="5"/>
  <c r="K745" i="5"/>
  <c r="J745" i="5"/>
  <c r="H745" i="5"/>
  <c r="G745" i="5"/>
  <c r="F745" i="5"/>
  <c r="K744" i="5"/>
  <c r="J744" i="5"/>
  <c r="H744" i="5"/>
  <c r="R744" i="5" s="1"/>
  <c r="G744" i="5"/>
  <c r="F744" i="5"/>
  <c r="K743" i="5"/>
  <c r="J743" i="5"/>
  <c r="H743" i="5"/>
  <c r="G743" i="5"/>
  <c r="F743" i="5"/>
  <c r="K742" i="5"/>
  <c r="J742" i="5"/>
  <c r="H742" i="5"/>
  <c r="R742" i="5" s="1"/>
  <c r="G742" i="5"/>
  <c r="F742" i="5"/>
  <c r="V741" i="5"/>
  <c r="K747" i="5" s="1"/>
  <c r="T741" i="5"/>
  <c r="K746" i="5" s="1"/>
  <c r="U741" i="5"/>
  <c r="H747" i="5" s="1"/>
  <c r="S741" i="5"/>
  <c r="H746" i="5" s="1"/>
  <c r="F741" i="5"/>
  <c r="E741" i="5"/>
  <c r="D741" i="5"/>
  <c r="I741" i="5"/>
  <c r="C741" i="5"/>
  <c r="B741" i="5"/>
  <c r="A741" i="5"/>
  <c r="L740" i="5"/>
  <c r="Q740" i="5" s="1"/>
  <c r="Z740" i="5"/>
  <c r="Y740" i="5"/>
  <c r="W740" i="5"/>
  <c r="K739" i="5"/>
  <c r="J739" i="5"/>
  <c r="Z739" i="5"/>
  <c r="Y739" i="5"/>
  <c r="W739" i="5"/>
  <c r="H739" i="5"/>
  <c r="X739" i="5" s="1"/>
  <c r="F739" i="5"/>
  <c r="V739" i="5"/>
  <c r="T739" i="5"/>
  <c r="U739" i="5"/>
  <c r="S739" i="5"/>
  <c r="E739" i="5"/>
  <c r="D739" i="5"/>
  <c r="C739" i="5"/>
  <c r="B739" i="5"/>
  <c r="A739" i="5"/>
  <c r="L738" i="5"/>
  <c r="G738" i="5"/>
  <c r="E738" i="5"/>
  <c r="J737" i="5"/>
  <c r="E737" i="5"/>
  <c r="J736" i="5"/>
  <c r="E736" i="5"/>
  <c r="K735" i="5"/>
  <c r="J735" i="5"/>
  <c r="H735" i="5"/>
  <c r="G735" i="5"/>
  <c r="F735" i="5"/>
  <c r="K734" i="5"/>
  <c r="J734" i="5"/>
  <c r="H734" i="5"/>
  <c r="R734" i="5" s="1"/>
  <c r="G734" i="5"/>
  <c r="F734" i="5"/>
  <c r="K733" i="5"/>
  <c r="J733" i="5"/>
  <c r="H733" i="5"/>
  <c r="G733" i="5"/>
  <c r="F733" i="5"/>
  <c r="K732" i="5"/>
  <c r="J732" i="5"/>
  <c r="H732" i="5"/>
  <c r="G732" i="5"/>
  <c r="F732" i="5"/>
  <c r="V731" i="5"/>
  <c r="K737" i="5" s="1"/>
  <c r="T731" i="5"/>
  <c r="K736" i="5" s="1"/>
  <c r="U731" i="5"/>
  <c r="H737" i="5" s="1"/>
  <c r="S731" i="5"/>
  <c r="F731" i="5"/>
  <c r="E731" i="5"/>
  <c r="D731" i="5"/>
  <c r="I731" i="5"/>
  <c r="C731" i="5"/>
  <c r="B731" i="5"/>
  <c r="A731" i="5"/>
  <c r="L730" i="5"/>
  <c r="Q730" i="5" s="1"/>
  <c r="Z730" i="5"/>
  <c r="Y730" i="5"/>
  <c r="W730" i="5"/>
  <c r="K729" i="5"/>
  <c r="J729" i="5"/>
  <c r="Z729" i="5"/>
  <c r="Y729" i="5"/>
  <c r="W729" i="5"/>
  <c r="H729" i="5"/>
  <c r="X729" i="5" s="1"/>
  <c r="F729" i="5"/>
  <c r="V729" i="5"/>
  <c r="T729" i="5"/>
  <c r="U729" i="5"/>
  <c r="S729" i="5"/>
  <c r="E729" i="5"/>
  <c r="D729" i="5"/>
  <c r="C729" i="5"/>
  <c r="B729" i="5"/>
  <c r="A729" i="5"/>
  <c r="K728" i="5"/>
  <c r="J728" i="5"/>
  <c r="Z728" i="5"/>
  <c r="Y728" i="5"/>
  <c r="W728" i="5"/>
  <c r="H728" i="5"/>
  <c r="X728" i="5" s="1"/>
  <c r="F728" i="5"/>
  <c r="V728" i="5"/>
  <c r="T728" i="5"/>
  <c r="U728" i="5"/>
  <c r="S728" i="5"/>
  <c r="E728" i="5"/>
  <c r="D728" i="5"/>
  <c r="C728" i="5"/>
  <c r="B728" i="5"/>
  <c r="A728" i="5"/>
  <c r="K727" i="5"/>
  <c r="J727" i="5"/>
  <c r="Z727" i="5"/>
  <c r="Y727" i="5"/>
  <c r="W727" i="5"/>
  <c r="H727" i="5"/>
  <c r="X727" i="5" s="1"/>
  <c r="F727" i="5"/>
  <c r="V727" i="5"/>
  <c r="T727" i="5"/>
  <c r="U727" i="5"/>
  <c r="S727" i="5"/>
  <c r="E727" i="5"/>
  <c r="D727" i="5"/>
  <c r="C727" i="5"/>
  <c r="B727" i="5"/>
  <c r="A727" i="5"/>
  <c r="L726" i="5"/>
  <c r="G726" i="5"/>
  <c r="E726" i="5"/>
  <c r="J725" i="5"/>
  <c r="E725" i="5"/>
  <c r="J724" i="5"/>
  <c r="E724" i="5"/>
  <c r="K723" i="5"/>
  <c r="J723" i="5"/>
  <c r="H723" i="5"/>
  <c r="G723" i="5"/>
  <c r="F723" i="5"/>
  <c r="K722" i="5"/>
  <c r="J722" i="5"/>
  <c r="H722" i="5"/>
  <c r="G722" i="5"/>
  <c r="F722" i="5"/>
  <c r="K721" i="5"/>
  <c r="J721" i="5"/>
  <c r="H721" i="5"/>
  <c r="R721" i="5" s="1"/>
  <c r="G721" i="5"/>
  <c r="F721" i="5"/>
  <c r="V720" i="5"/>
  <c r="T720" i="5"/>
  <c r="U720" i="5"/>
  <c r="S720" i="5"/>
  <c r="F720" i="5"/>
  <c r="E720" i="5"/>
  <c r="D720" i="5"/>
  <c r="I720" i="5"/>
  <c r="C720" i="5"/>
  <c r="B720" i="5"/>
  <c r="A720" i="5"/>
  <c r="L719" i="5"/>
  <c r="Q719" i="5" s="1"/>
  <c r="Z719" i="5"/>
  <c r="Y719" i="5"/>
  <c r="W719" i="5"/>
  <c r="K718" i="5"/>
  <c r="J718" i="5"/>
  <c r="Z718" i="5"/>
  <c r="Y718" i="5"/>
  <c r="W718" i="5"/>
  <c r="H718" i="5"/>
  <c r="X718" i="5" s="1"/>
  <c r="F718" i="5"/>
  <c r="V718" i="5"/>
  <c r="T718" i="5"/>
  <c r="U718" i="5"/>
  <c r="S718" i="5"/>
  <c r="E718" i="5"/>
  <c r="D718" i="5"/>
  <c r="C718" i="5"/>
  <c r="B718" i="5"/>
  <c r="A718" i="5"/>
  <c r="L717" i="5"/>
  <c r="G717" i="5"/>
  <c r="E717" i="5"/>
  <c r="J716" i="5"/>
  <c r="E716" i="5"/>
  <c r="J715" i="5"/>
  <c r="E715" i="5"/>
  <c r="K714" i="5"/>
  <c r="J714" i="5"/>
  <c r="H714" i="5"/>
  <c r="G714" i="5"/>
  <c r="F714" i="5"/>
  <c r="K713" i="5"/>
  <c r="J713" i="5"/>
  <c r="R713" i="5"/>
  <c r="H713" i="5"/>
  <c r="G713" i="5"/>
  <c r="F713" i="5"/>
  <c r="K712" i="5"/>
  <c r="J712" i="5"/>
  <c r="H712" i="5"/>
  <c r="G712" i="5"/>
  <c r="F712" i="5"/>
  <c r="K711" i="5"/>
  <c r="J711" i="5"/>
  <c r="H711" i="5"/>
  <c r="G711" i="5"/>
  <c r="F711" i="5"/>
  <c r="V710" i="5"/>
  <c r="T710" i="5"/>
  <c r="K715" i="5" s="1"/>
  <c r="U710" i="5"/>
  <c r="H716" i="5" s="1"/>
  <c r="S710" i="5"/>
  <c r="F710" i="5"/>
  <c r="E710" i="5"/>
  <c r="D710" i="5"/>
  <c r="I710" i="5"/>
  <c r="C710" i="5"/>
  <c r="B710" i="5"/>
  <c r="A710" i="5"/>
  <c r="L709" i="5"/>
  <c r="Q709" i="5" s="1"/>
  <c r="Z709" i="5"/>
  <c r="Y709" i="5"/>
  <c r="W709" i="5"/>
  <c r="K708" i="5"/>
  <c r="J708" i="5"/>
  <c r="Z708" i="5"/>
  <c r="Y708" i="5"/>
  <c r="W708" i="5"/>
  <c r="H708" i="5"/>
  <c r="X708" i="5" s="1"/>
  <c r="F708" i="5"/>
  <c r="V708" i="5"/>
  <c r="T708" i="5"/>
  <c r="U708" i="5"/>
  <c r="S708" i="5"/>
  <c r="E708" i="5"/>
  <c r="D708" i="5"/>
  <c r="C708" i="5"/>
  <c r="B708" i="5"/>
  <c r="A708" i="5"/>
  <c r="L707" i="5"/>
  <c r="G707" i="5"/>
  <c r="E707" i="5"/>
  <c r="J706" i="5"/>
  <c r="E706" i="5"/>
  <c r="J705" i="5"/>
  <c r="E705" i="5"/>
  <c r="K704" i="5"/>
  <c r="J704" i="5"/>
  <c r="H704" i="5"/>
  <c r="G704" i="5"/>
  <c r="F704" i="5"/>
  <c r="K703" i="5"/>
  <c r="J703" i="5"/>
  <c r="H703" i="5"/>
  <c r="R703" i="5" s="1"/>
  <c r="G703" i="5"/>
  <c r="F703" i="5"/>
  <c r="K702" i="5"/>
  <c r="J702" i="5"/>
  <c r="H702" i="5"/>
  <c r="G702" i="5"/>
  <c r="F702" i="5"/>
  <c r="K701" i="5"/>
  <c r="J701" i="5"/>
  <c r="H701" i="5"/>
  <c r="R701" i="5" s="1"/>
  <c r="G701" i="5"/>
  <c r="F701" i="5"/>
  <c r="C700" i="5"/>
  <c r="V699" i="5"/>
  <c r="T699" i="5"/>
  <c r="K705" i="5" s="1"/>
  <c r="U699" i="5"/>
  <c r="H706" i="5" s="1"/>
  <c r="S699" i="5"/>
  <c r="F699" i="5"/>
  <c r="E699" i="5"/>
  <c r="D699" i="5"/>
  <c r="I699" i="5"/>
  <c r="C699" i="5"/>
  <c r="B699" i="5"/>
  <c r="A699" i="5"/>
  <c r="L698" i="5"/>
  <c r="Q698" i="5" s="1"/>
  <c r="Z698" i="5"/>
  <c r="Y698" i="5"/>
  <c r="W698" i="5"/>
  <c r="K697" i="5"/>
  <c r="J697" i="5"/>
  <c r="Z697" i="5"/>
  <c r="Y697" i="5"/>
  <c r="W697" i="5"/>
  <c r="H697" i="5"/>
  <c r="X697" i="5" s="1"/>
  <c r="F697" i="5"/>
  <c r="V697" i="5"/>
  <c r="T697" i="5"/>
  <c r="U697" i="5"/>
  <c r="S697" i="5"/>
  <c r="E697" i="5"/>
  <c r="D697" i="5"/>
  <c r="C697" i="5"/>
  <c r="B697" i="5"/>
  <c r="A697" i="5"/>
  <c r="L696" i="5"/>
  <c r="G696" i="5"/>
  <c r="E696" i="5"/>
  <c r="J695" i="5"/>
  <c r="E695" i="5"/>
  <c r="J694" i="5"/>
  <c r="E694" i="5"/>
  <c r="K693" i="5"/>
  <c r="J693" i="5"/>
  <c r="H693" i="5"/>
  <c r="G693" i="5"/>
  <c r="F693" i="5"/>
  <c r="K692" i="5"/>
  <c r="J692" i="5"/>
  <c r="H692" i="5"/>
  <c r="R692" i="5" s="1"/>
  <c r="G692" i="5"/>
  <c r="F692" i="5"/>
  <c r="K691" i="5"/>
  <c r="J691" i="5"/>
  <c r="H691" i="5"/>
  <c r="G691" i="5"/>
  <c r="F691" i="5"/>
  <c r="K690" i="5"/>
  <c r="J690" i="5"/>
  <c r="H690" i="5"/>
  <c r="G690" i="5"/>
  <c r="F690" i="5"/>
  <c r="C689" i="5"/>
  <c r="V688" i="5"/>
  <c r="T688" i="5"/>
  <c r="U688" i="5"/>
  <c r="S688" i="5"/>
  <c r="H694" i="5" s="1"/>
  <c r="F688" i="5"/>
  <c r="E688" i="5"/>
  <c r="D688" i="5"/>
  <c r="I688" i="5"/>
  <c r="C688" i="5"/>
  <c r="B688" i="5"/>
  <c r="A688" i="5"/>
  <c r="L687" i="5"/>
  <c r="Q687" i="5" s="1"/>
  <c r="Z687" i="5"/>
  <c r="Y687" i="5"/>
  <c r="W687" i="5"/>
  <c r="K686" i="5"/>
  <c r="J686" i="5"/>
  <c r="Z686" i="5"/>
  <c r="Y686" i="5"/>
  <c r="X686" i="5"/>
  <c r="W686" i="5"/>
  <c r="H686" i="5"/>
  <c r="F686" i="5"/>
  <c r="V686" i="5"/>
  <c r="T686" i="5"/>
  <c r="U686" i="5"/>
  <c r="S686" i="5"/>
  <c r="E686" i="5"/>
  <c r="D686" i="5"/>
  <c r="C686" i="5"/>
  <c r="B686" i="5"/>
  <c r="A686" i="5"/>
  <c r="K685" i="5"/>
  <c r="J685" i="5"/>
  <c r="Z685" i="5"/>
  <c r="Y685" i="5"/>
  <c r="W685" i="5"/>
  <c r="H685" i="5"/>
  <c r="X685" i="5" s="1"/>
  <c r="F685" i="5"/>
  <c r="V685" i="5"/>
  <c r="T685" i="5"/>
  <c r="U685" i="5"/>
  <c r="S685" i="5"/>
  <c r="E685" i="5"/>
  <c r="D685" i="5"/>
  <c r="C685" i="5"/>
  <c r="B685" i="5"/>
  <c r="A685" i="5"/>
  <c r="K684" i="5"/>
  <c r="J684" i="5"/>
  <c r="Z684" i="5"/>
  <c r="Y684" i="5"/>
  <c r="W684" i="5"/>
  <c r="H684" i="5"/>
  <c r="X684" i="5" s="1"/>
  <c r="F684" i="5"/>
  <c r="V684" i="5"/>
  <c r="T684" i="5"/>
  <c r="U684" i="5"/>
  <c r="S684" i="5"/>
  <c r="E684" i="5"/>
  <c r="D684" i="5"/>
  <c r="C684" i="5"/>
  <c r="B684" i="5"/>
  <c r="A684" i="5"/>
  <c r="L683" i="5"/>
  <c r="G683" i="5"/>
  <c r="E683" i="5"/>
  <c r="J682" i="5"/>
  <c r="E682" i="5"/>
  <c r="J681" i="5"/>
  <c r="E681" i="5"/>
  <c r="K680" i="5"/>
  <c r="J680" i="5"/>
  <c r="H680" i="5"/>
  <c r="G680" i="5"/>
  <c r="F680" i="5"/>
  <c r="K679" i="5"/>
  <c r="J679" i="5"/>
  <c r="H679" i="5"/>
  <c r="R679" i="5" s="1"/>
  <c r="G679" i="5"/>
  <c r="F679" i="5"/>
  <c r="K678" i="5"/>
  <c r="J678" i="5"/>
  <c r="H678" i="5"/>
  <c r="G678" i="5"/>
  <c r="F678" i="5"/>
  <c r="K677" i="5"/>
  <c r="J677" i="5"/>
  <c r="H677" i="5"/>
  <c r="R677" i="5" s="1"/>
  <c r="G677" i="5"/>
  <c r="F677" i="5"/>
  <c r="C676" i="5"/>
  <c r="V675" i="5"/>
  <c r="T675" i="5"/>
  <c r="U675" i="5"/>
  <c r="S675" i="5"/>
  <c r="F675" i="5"/>
  <c r="E675" i="5"/>
  <c r="D675" i="5"/>
  <c r="I675" i="5"/>
  <c r="C675" i="5"/>
  <c r="B675" i="5"/>
  <c r="A675" i="5"/>
  <c r="L674" i="5"/>
  <c r="Q674" i="5" s="1"/>
  <c r="Z674" i="5"/>
  <c r="Y674" i="5"/>
  <c r="W674" i="5"/>
  <c r="K673" i="5"/>
  <c r="J673" i="5"/>
  <c r="Z673" i="5"/>
  <c r="Y673" i="5"/>
  <c r="W673" i="5"/>
  <c r="H673" i="5"/>
  <c r="X673" i="5" s="1"/>
  <c r="F673" i="5"/>
  <c r="V673" i="5"/>
  <c r="T673" i="5"/>
  <c r="U673" i="5"/>
  <c r="S673" i="5"/>
  <c r="E673" i="5"/>
  <c r="D673" i="5"/>
  <c r="C673" i="5"/>
  <c r="B673" i="5"/>
  <c r="A673" i="5"/>
  <c r="L672" i="5"/>
  <c r="G672" i="5"/>
  <c r="E672" i="5"/>
  <c r="J671" i="5"/>
  <c r="E671" i="5"/>
  <c r="J670" i="5"/>
  <c r="E670" i="5"/>
  <c r="K669" i="5"/>
  <c r="J669" i="5"/>
  <c r="H669" i="5"/>
  <c r="G669" i="5"/>
  <c r="F669" i="5"/>
  <c r="K668" i="5"/>
  <c r="J668" i="5"/>
  <c r="H668" i="5"/>
  <c r="R668" i="5" s="1"/>
  <c r="G668" i="5"/>
  <c r="F668" i="5"/>
  <c r="V667" i="5"/>
  <c r="T667" i="5"/>
  <c r="U667" i="5"/>
  <c r="S667" i="5"/>
  <c r="F667" i="5"/>
  <c r="E667" i="5"/>
  <c r="D667" i="5"/>
  <c r="I667" i="5"/>
  <c r="C667" i="5"/>
  <c r="B667" i="5"/>
  <c r="A667" i="5"/>
  <c r="L666" i="5"/>
  <c r="Q666" i="5" s="1"/>
  <c r="Z666" i="5"/>
  <c r="Y666" i="5"/>
  <c r="W666" i="5"/>
  <c r="K665" i="5"/>
  <c r="J665" i="5"/>
  <c r="Z665" i="5"/>
  <c r="Y665" i="5"/>
  <c r="W665" i="5"/>
  <c r="H665" i="5"/>
  <c r="X665" i="5" s="1"/>
  <c r="F665" i="5"/>
  <c r="V665" i="5"/>
  <c r="T665" i="5"/>
  <c r="U665" i="5"/>
  <c r="S665" i="5"/>
  <c r="E665" i="5"/>
  <c r="D665" i="5"/>
  <c r="C665" i="5"/>
  <c r="B665" i="5"/>
  <c r="A665" i="5"/>
  <c r="L664" i="5"/>
  <c r="G664" i="5"/>
  <c r="E664" i="5"/>
  <c r="J663" i="5"/>
  <c r="E663" i="5"/>
  <c r="J662" i="5"/>
  <c r="E662" i="5"/>
  <c r="K661" i="5"/>
  <c r="J661" i="5"/>
  <c r="H661" i="5"/>
  <c r="G661" i="5"/>
  <c r="F661" i="5"/>
  <c r="K660" i="5"/>
  <c r="J660" i="5"/>
  <c r="H660" i="5"/>
  <c r="R660" i="5" s="1"/>
  <c r="G660" i="5"/>
  <c r="F660" i="5"/>
  <c r="K659" i="5"/>
  <c r="J659" i="5"/>
  <c r="H659" i="5"/>
  <c r="G659" i="5"/>
  <c r="F659" i="5"/>
  <c r="K658" i="5"/>
  <c r="J658" i="5"/>
  <c r="H658" i="5"/>
  <c r="R658" i="5" s="1"/>
  <c r="G658" i="5"/>
  <c r="F658" i="5"/>
  <c r="C657" i="5"/>
  <c r="V656" i="5"/>
  <c r="T656" i="5"/>
  <c r="U656" i="5"/>
  <c r="S656" i="5"/>
  <c r="H662" i="5" s="1"/>
  <c r="F656" i="5"/>
  <c r="E656" i="5"/>
  <c r="D656" i="5"/>
  <c r="I656" i="5"/>
  <c r="C656" i="5"/>
  <c r="B656" i="5"/>
  <c r="A656" i="5"/>
  <c r="L655" i="5"/>
  <c r="Q655" i="5" s="1"/>
  <c r="Z655" i="5"/>
  <c r="Y655" i="5"/>
  <c r="W655" i="5"/>
  <c r="K654" i="5"/>
  <c r="J654" i="5"/>
  <c r="Z654" i="5"/>
  <c r="Y654" i="5"/>
  <c r="W654" i="5"/>
  <c r="H654" i="5"/>
  <c r="X654" i="5" s="1"/>
  <c r="F654" i="5"/>
  <c r="V654" i="5"/>
  <c r="T654" i="5"/>
  <c r="U654" i="5"/>
  <c r="S654" i="5"/>
  <c r="E654" i="5"/>
  <c r="D654" i="5"/>
  <c r="C654" i="5"/>
  <c r="B654" i="5"/>
  <c r="A654" i="5"/>
  <c r="L653" i="5"/>
  <c r="G653" i="5"/>
  <c r="E653" i="5"/>
  <c r="J652" i="5"/>
  <c r="E652" i="5"/>
  <c r="J651" i="5"/>
  <c r="E651" i="5"/>
  <c r="K650" i="5"/>
  <c r="J650" i="5"/>
  <c r="H650" i="5"/>
  <c r="G650" i="5"/>
  <c r="F650" i="5"/>
  <c r="K649" i="5"/>
  <c r="J649" i="5"/>
  <c r="H649" i="5"/>
  <c r="R649" i="5" s="1"/>
  <c r="G649" i="5"/>
  <c r="F649" i="5"/>
  <c r="K648" i="5"/>
  <c r="J648" i="5"/>
  <c r="H648" i="5"/>
  <c r="G648" i="5"/>
  <c r="F648" i="5"/>
  <c r="K647" i="5"/>
  <c r="J647" i="5"/>
  <c r="H647" i="5"/>
  <c r="R647" i="5" s="1"/>
  <c r="G647" i="5"/>
  <c r="F647" i="5"/>
  <c r="C646" i="5"/>
  <c r="V645" i="5"/>
  <c r="K652" i="5" s="1"/>
  <c r="T645" i="5"/>
  <c r="U645" i="5"/>
  <c r="S645" i="5"/>
  <c r="H651" i="5" s="1"/>
  <c r="F645" i="5"/>
  <c r="E645" i="5"/>
  <c r="D645" i="5"/>
  <c r="I645" i="5"/>
  <c r="C645" i="5"/>
  <c r="B645" i="5"/>
  <c r="A645" i="5"/>
  <c r="L644" i="5"/>
  <c r="Q644" i="5" s="1"/>
  <c r="Z644" i="5"/>
  <c r="Y644" i="5"/>
  <c r="X644" i="5"/>
  <c r="L643" i="5"/>
  <c r="G643" i="5"/>
  <c r="E643" i="5"/>
  <c r="J642" i="5"/>
  <c r="E642" i="5"/>
  <c r="J641" i="5"/>
  <c r="E641" i="5"/>
  <c r="K640" i="5"/>
  <c r="J640" i="5"/>
  <c r="H640" i="5"/>
  <c r="G640" i="5"/>
  <c r="F640" i="5"/>
  <c r="C639" i="5"/>
  <c r="V638" i="5"/>
  <c r="K642" i="5" s="1"/>
  <c r="T638" i="5"/>
  <c r="K641" i="5" s="1"/>
  <c r="U638" i="5"/>
  <c r="H642" i="5" s="1"/>
  <c r="S638" i="5"/>
  <c r="H641" i="5" s="1"/>
  <c r="F638" i="5"/>
  <c r="E638" i="5"/>
  <c r="D638" i="5"/>
  <c r="I638" i="5"/>
  <c r="C638" i="5"/>
  <c r="B638" i="5"/>
  <c r="A638" i="5"/>
  <c r="L637" i="5"/>
  <c r="Q637" i="5" s="1"/>
  <c r="Z637" i="5"/>
  <c r="Y637" i="5"/>
  <c r="W637" i="5"/>
  <c r="K636" i="5"/>
  <c r="J636" i="5"/>
  <c r="Z636" i="5"/>
  <c r="Y636" i="5"/>
  <c r="W636" i="5"/>
  <c r="H636" i="5"/>
  <c r="X636" i="5" s="1"/>
  <c r="F636" i="5"/>
  <c r="V636" i="5"/>
  <c r="T636" i="5"/>
  <c r="U636" i="5"/>
  <c r="S636" i="5"/>
  <c r="E636" i="5"/>
  <c r="D636" i="5"/>
  <c r="C636" i="5"/>
  <c r="B636" i="5"/>
  <c r="A636" i="5"/>
  <c r="K635" i="5"/>
  <c r="J635" i="5"/>
  <c r="Z635" i="5"/>
  <c r="Y635" i="5"/>
  <c r="W635" i="5"/>
  <c r="H635" i="5"/>
  <c r="X635" i="5" s="1"/>
  <c r="F635" i="5"/>
  <c r="V635" i="5"/>
  <c r="T635" i="5"/>
  <c r="U635" i="5"/>
  <c r="S635" i="5"/>
  <c r="E635" i="5"/>
  <c r="D635" i="5"/>
  <c r="C635" i="5"/>
  <c r="B635" i="5"/>
  <c r="A635" i="5"/>
  <c r="L634" i="5"/>
  <c r="G634" i="5"/>
  <c r="E634" i="5"/>
  <c r="J633" i="5"/>
  <c r="E633" i="5"/>
  <c r="J632" i="5"/>
  <c r="E632" i="5"/>
  <c r="K631" i="5"/>
  <c r="J631" i="5"/>
  <c r="H631" i="5"/>
  <c r="G631" i="5"/>
  <c r="F631" i="5"/>
  <c r="K630" i="5"/>
  <c r="J630" i="5"/>
  <c r="R630" i="5"/>
  <c r="H630" i="5"/>
  <c r="G630" i="5"/>
  <c r="F630" i="5"/>
  <c r="K629" i="5"/>
  <c r="J629" i="5"/>
  <c r="H629" i="5"/>
  <c r="G629" i="5"/>
  <c r="F629" i="5"/>
  <c r="K628" i="5"/>
  <c r="J628" i="5"/>
  <c r="H628" i="5"/>
  <c r="R628" i="5" s="1"/>
  <c r="G628" i="5"/>
  <c r="F628" i="5"/>
  <c r="C627" i="5"/>
  <c r="V626" i="5"/>
  <c r="K633" i="5" s="1"/>
  <c r="T626" i="5"/>
  <c r="U626" i="5"/>
  <c r="S626" i="5"/>
  <c r="H632" i="5" s="1"/>
  <c r="F626" i="5"/>
  <c r="E626" i="5"/>
  <c r="D626" i="5"/>
  <c r="I626" i="5"/>
  <c r="C626" i="5"/>
  <c r="B626" i="5"/>
  <c r="A626" i="5"/>
  <c r="L625" i="5"/>
  <c r="Q625" i="5" s="1"/>
  <c r="Z625" i="5"/>
  <c r="Y625" i="5"/>
  <c r="W625" i="5"/>
  <c r="K624" i="5"/>
  <c r="J624" i="5"/>
  <c r="Z624" i="5"/>
  <c r="Y624" i="5"/>
  <c r="W624" i="5"/>
  <c r="H624" i="5"/>
  <c r="X624" i="5" s="1"/>
  <c r="F624" i="5"/>
  <c r="V624" i="5"/>
  <c r="T624" i="5"/>
  <c r="U624" i="5"/>
  <c r="S624" i="5"/>
  <c r="E624" i="5"/>
  <c r="D624" i="5"/>
  <c r="C624" i="5"/>
  <c r="B624" i="5"/>
  <c r="A624" i="5"/>
  <c r="K623" i="5"/>
  <c r="J623" i="5"/>
  <c r="Z623" i="5"/>
  <c r="Y623" i="5"/>
  <c r="W623" i="5"/>
  <c r="H623" i="5"/>
  <c r="X623" i="5" s="1"/>
  <c r="F623" i="5"/>
  <c r="V623" i="5"/>
  <c r="T623" i="5"/>
  <c r="U623" i="5"/>
  <c r="S623" i="5"/>
  <c r="E623" i="5"/>
  <c r="D623" i="5"/>
  <c r="C623" i="5"/>
  <c r="B623" i="5"/>
  <c r="A623" i="5"/>
  <c r="K622" i="5"/>
  <c r="J622" i="5"/>
  <c r="Z622" i="5"/>
  <c r="Y622" i="5"/>
  <c r="W622" i="5"/>
  <c r="H622" i="5"/>
  <c r="X622" i="5" s="1"/>
  <c r="F622" i="5"/>
  <c r="V622" i="5"/>
  <c r="T622" i="5"/>
  <c r="U622" i="5"/>
  <c r="S622" i="5"/>
  <c r="E622" i="5"/>
  <c r="D622" i="5"/>
  <c r="C622" i="5"/>
  <c r="B622" i="5"/>
  <c r="A622" i="5"/>
  <c r="L621" i="5"/>
  <c r="G621" i="5"/>
  <c r="E621" i="5"/>
  <c r="J620" i="5"/>
  <c r="E620" i="5"/>
  <c r="J619" i="5"/>
  <c r="E619" i="5"/>
  <c r="K618" i="5"/>
  <c r="J618" i="5"/>
  <c r="H618" i="5"/>
  <c r="G618" i="5"/>
  <c r="F618" i="5"/>
  <c r="K617" i="5"/>
  <c r="J617" i="5"/>
  <c r="H617" i="5"/>
  <c r="R617" i="5" s="1"/>
  <c r="G617" i="5"/>
  <c r="F617" i="5"/>
  <c r="K616" i="5"/>
  <c r="J616" i="5"/>
  <c r="H616" i="5"/>
  <c r="G616" i="5"/>
  <c r="F616" i="5"/>
  <c r="K615" i="5"/>
  <c r="J615" i="5"/>
  <c r="H615" i="5"/>
  <c r="R615" i="5" s="1"/>
  <c r="G615" i="5"/>
  <c r="F615" i="5"/>
  <c r="C614" i="5"/>
  <c r="V613" i="5"/>
  <c r="T613" i="5"/>
  <c r="U613" i="5"/>
  <c r="S613" i="5"/>
  <c r="F613" i="5"/>
  <c r="E613" i="5"/>
  <c r="D613" i="5"/>
  <c r="I613" i="5"/>
  <c r="C613" i="5"/>
  <c r="B613" i="5"/>
  <c r="A613" i="5"/>
  <c r="L612" i="5"/>
  <c r="Q612" i="5" s="1"/>
  <c r="Z612" i="5"/>
  <c r="Y612" i="5"/>
  <c r="W612" i="5"/>
  <c r="K611" i="5"/>
  <c r="J611" i="5"/>
  <c r="Z611" i="5"/>
  <c r="Y611" i="5"/>
  <c r="W611" i="5"/>
  <c r="H611" i="5"/>
  <c r="X611" i="5" s="1"/>
  <c r="F611" i="5"/>
  <c r="V611" i="5"/>
  <c r="T611" i="5"/>
  <c r="U611" i="5"/>
  <c r="S611" i="5"/>
  <c r="E611" i="5"/>
  <c r="D611" i="5"/>
  <c r="C611" i="5"/>
  <c r="B611" i="5"/>
  <c r="A611" i="5"/>
  <c r="L610" i="5"/>
  <c r="G610" i="5"/>
  <c r="E610" i="5"/>
  <c r="J609" i="5"/>
  <c r="E609" i="5"/>
  <c r="J608" i="5"/>
  <c r="E608" i="5"/>
  <c r="K607" i="5"/>
  <c r="J607" i="5"/>
  <c r="H607" i="5"/>
  <c r="G607" i="5"/>
  <c r="F607" i="5"/>
  <c r="K606" i="5"/>
  <c r="J606" i="5"/>
  <c r="H606" i="5"/>
  <c r="R606" i="5" s="1"/>
  <c r="G606" i="5"/>
  <c r="F606" i="5"/>
  <c r="K605" i="5"/>
  <c r="J605" i="5"/>
  <c r="H605" i="5"/>
  <c r="G605" i="5"/>
  <c r="F605" i="5"/>
  <c r="K604" i="5"/>
  <c r="J604" i="5"/>
  <c r="H604" i="5"/>
  <c r="R604" i="5" s="1"/>
  <c r="G604" i="5"/>
  <c r="F604" i="5"/>
  <c r="C603" i="5"/>
  <c r="V602" i="5"/>
  <c r="T602" i="5"/>
  <c r="K608" i="5" s="1"/>
  <c r="U602" i="5"/>
  <c r="S602" i="5"/>
  <c r="F602" i="5"/>
  <c r="E602" i="5"/>
  <c r="D602" i="5"/>
  <c r="I602" i="5"/>
  <c r="C602" i="5"/>
  <c r="B602" i="5"/>
  <c r="A602" i="5"/>
  <c r="L601" i="5"/>
  <c r="Q601" i="5" s="1"/>
  <c r="Z601" i="5"/>
  <c r="Y601" i="5"/>
  <c r="W601" i="5"/>
  <c r="K600" i="5"/>
  <c r="J600" i="5"/>
  <c r="Z600" i="5"/>
  <c r="Y600" i="5"/>
  <c r="W600" i="5"/>
  <c r="H600" i="5"/>
  <c r="X600" i="5" s="1"/>
  <c r="F600" i="5"/>
  <c r="V600" i="5"/>
  <c r="T600" i="5"/>
  <c r="U600" i="5"/>
  <c r="S600" i="5"/>
  <c r="E600" i="5"/>
  <c r="D600" i="5"/>
  <c r="C600" i="5"/>
  <c r="B600" i="5"/>
  <c r="A600" i="5"/>
  <c r="L599" i="5"/>
  <c r="G599" i="5"/>
  <c r="E599" i="5"/>
  <c r="J598" i="5"/>
  <c r="E598" i="5"/>
  <c r="J597" i="5"/>
  <c r="E597" i="5"/>
  <c r="K596" i="5"/>
  <c r="J596" i="5"/>
  <c r="H596" i="5"/>
  <c r="G596" i="5"/>
  <c r="F596" i="5"/>
  <c r="K595" i="5"/>
  <c r="J595" i="5"/>
  <c r="H595" i="5"/>
  <c r="R595" i="5" s="1"/>
  <c r="G595" i="5"/>
  <c r="F595" i="5"/>
  <c r="K594" i="5"/>
  <c r="J594" i="5"/>
  <c r="H594" i="5"/>
  <c r="G594" i="5"/>
  <c r="F594" i="5"/>
  <c r="K593" i="5"/>
  <c r="J593" i="5"/>
  <c r="H593" i="5"/>
  <c r="G593" i="5"/>
  <c r="F593" i="5"/>
  <c r="C592" i="5"/>
  <c r="V591" i="5"/>
  <c r="T591" i="5"/>
  <c r="K597" i="5" s="1"/>
  <c r="U591" i="5"/>
  <c r="H598" i="5" s="1"/>
  <c r="S591" i="5"/>
  <c r="F591" i="5"/>
  <c r="E591" i="5"/>
  <c r="D591" i="5"/>
  <c r="I591" i="5"/>
  <c r="C591" i="5"/>
  <c r="B591" i="5"/>
  <c r="A591" i="5"/>
  <c r="L590" i="5"/>
  <c r="Q590" i="5" s="1"/>
  <c r="Z590" i="5"/>
  <c r="Y590" i="5"/>
  <c r="W590" i="5"/>
  <c r="K589" i="5"/>
  <c r="J589" i="5"/>
  <c r="Z589" i="5"/>
  <c r="Y589" i="5"/>
  <c r="W589" i="5"/>
  <c r="H589" i="5"/>
  <c r="X589" i="5" s="1"/>
  <c r="F589" i="5"/>
  <c r="V589" i="5"/>
  <c r="T589" i="5"/>
  <c r="U589" i="5"/>
  <c r="S589" i="5"/>
  <c r="E589" i="5"/>
  <c r="D589" i="5"/>
  <c r="C589" i="5"/>
  <c r="B589" i="5"/>
  <c r="A589" i="5"/>
  <c r="K588" i="5"/>
  <c r="J588" i="5"/>
  <c r="Z588" i="5"/>
  <c r="Y588" i="5"/>
  <c r="W588" i="5"/>
  <c r="H588" i="5"/>
  <c r="X588" i="5" s="1"/>
  <c r="F588" i="5"/>
  <c r="V588" i="5"/>
  <c r="T588" i="5"/>
  <c r="U588" i="5"/>
  <c r="S588" i="5"/>
  <c r="E588" i="5"/>
  <c r="D588" i="5"/>
  <c r="C588" i="5"/>
  <c r="B588" i="5"/>
  <c r="A588" i="5"/>
  <c r="L587" i="5"/>
  <c r="G587" i="5"/>
  <c r="E587" i="5"/>
  <c r="J586" i="5"/>
  <c r="E586" i="5"/>
  <c r="J585" i="5"/>
  <c r="E585" i="5"/>
  <c r="K584" i="5"/>
  <c r="J584" i="5"/>
  <c r="H584" i="5"/>
  <c r="G584" i="5"/>
  <c r="F584" i="5"/>
  <c r="K583" i="5"/>
  <c r="J583" i="5"/>
  <c r="H583" i="5"/>
  <c r="R583" i="5" s="1"/>
  <c r="G583" i="5"/>
  <c r="F583" i="5"/>
  <c r="K582" i="5"/>
  <c r="J582" i="5"/>
  <c r="H582" i="5"/>
  <c r="G582" i="5"/>
  <c r="F582" i="5"/>
  <c r="K581" i="5"/>
  <c r="J581" i="5"/>
  <c r="H581" i="5"/>
  <c r="G581" i="5"/>
  <c r="F581" i="5"/>
  <c r="C580" i="5"/>
  <c r="V579" i="5"/>
  <c r="T579" i="5"/>
  <c r="U579" i="5"/>
  <c r="H586" i="5" s="1"/>
  <c r="S579" i="5"/>
  <c r="H585" i="5" s="1"/>
  <c r="F579" i="5"/>
  <c r="E579" i="5"/>
  <c r="D579" i="5"/>
  <c r="I579" i="5"/>
  <c r="C579" i="5"/>
  <c r="B579" i="5"/>
  <c r="A579" i="5"/>
  <c r="L578" i="5"/>
  <c r="Q578" i="5" s="1"/>
  <c r="Z578" i="5"/>
  <c r="Y578" i="5"/>
  <c r="X578" i="5"/>
  <c r="L577" i="5"/>
  <c r="G577" i="5"/>
  <c r="E577" i="5"/>
  <c r="J576" i="5"/>
  <c r="E576" i="5"/>
  <c r="J575" i="5"/>
  <c r="E575" i="5"/>
  <c r="K574" i="5"/>
  <c r="J574" i="5"/>
  <c r="H574" i="5"/>
  <c r="R574" i="5" s="1"/>
  <c r="G574" i="5"/>
  <c r="F574" i="5"/>
  <c r="K573" i="5"/>
  <c r="J573" i="5"/>
  <c r="H573" i="5"/>
  <c r="G573" i="5"/>
  <c r="F573" i="5"/>
  <c r="K572" i="5"/>
  <c r="J572" i="5"/>
  <c r="H572" i="5"/>
  <c r="R572" i="5" s="1"/>
  <c r="G572" i="5"/>
  <c r="F572" i="5"/>
  <c r="C571" i="5"/>
  <c r="V570" i="5"/>
  <c r="K576" i="5" s="1"/>
  <c r="T570" i="5"/>
  <c r="K575" i="5" s="1"/>
  <c r="U570" i="5"/>
  <c r="H576" i="5" s="1"/>
  <c r="S570" i="5"/>
  <c r="H575" i="5" s="1"/>
  <c r="F570" i="5"/>
  <c r="E570" i="5"/>
  <c r="D570" i="5"/>
  <c r="I570" i="5"/>
  <c r="C570" i="5"/>
  <c r="B570" i="5"/>
  <c r="A570" i="5"/>
  <c r="L569" i="5"/>
  <c r="Q569" i="5" s="1"/>
  <c r="Z569" i="5"/>
  <c r="Y569" i="5"/>
  <c r="X569" i="5"/>
  <c r="L568" i="5"/>
  <c r="G568" i="5"/>
  <c r="E568" i="5"/>
  <c r="J567" i="5"/>
  <c r="E567" i="5"/>
  <c r="J566" i="5"/>
  <c r="E566" i="5"/>
  <c r="K565" i="5"/>
  <c r="J565" i="5"/>
  <c r="H565" i="5"/>
  <c r="R565" i="5" s="1"/>
  <c r="G565" i="5"/>
  <c r="F565" i="5"/>
  <c r="K564" i="5"/>
  <c r="J564" i="5"/>
  <c r="H564" i="5"/>
  <c r="G564" i="5"/>
  <c r="F564" i="5"/>
  <c r="K563" i="5"/>
  <c r="J563" i="5"/>
  <c r="H563" i="5"/>
  <c r="G563" i="5"/>
  <c r="F563" i="5"/>
  <c r="C562" i="5"/>
  <c r="V561" i="5"/>
  <c r="K567" i="5" s="1"/>
  <c r="T561" i="5"/>
  <c r="K566" i="5" s="1"/>
  <c r="U561" i="5"/>
  <c r="H567" i="5" s="1"/>
  <c r="S561" i="5"/>
  <c r="H566" i="5" s="1"/>
  <c r="F561" i="5"/>
  <c r="E561" i="5"/>
  <c r="D561" i="5"/>
  <c r="I561" i="5"/>
  <c r="C561" i="5"/>
  <c r="B561" i="5"/>
  <c r="A561" i="5"/>
  <c r="L560" i="5"/>
  <c r="Q560" i="5" s="1"/>
  <c r="Z560" i="5"/>
  <c r="Y560" i="5"/>
  <c r="X560" i="5"/>
  <c r="L559" i="5"/>
  <c r="G559" i="5"/>
  <c r="E559" i="5"/>
  <c r="J558" i="5"/>
  <c r="E558" i="5"/>
  <c r="J557" i="5"/>
  <c r="E557" i="5"/>
  <c r="K556" i="5"/>
  <c r="J556" i="5"/>
  <c r="H556" i="5"/>
  <c r="R556" i="5" s="1"/>
  <c r="G556" i="5"/>
  <c r="F556" i="5"/>
  <c r="K555" i="5"/>
  <c r="J555" i="5"/>
  <c r="H555" i="5"/>
  <c r="G555" i="5"/>
  <c r="F555" i="5"/>
  <c r="K554" i="5"/>
  <c r="J554" i="5"/>
  <c r="H554" i="5"/>
  <c r="R554" i="5" s="1"/>
  <c r="G554" i="5"/>
  <c r="F554" i="5"/>
  <c r="C553" i="5"/>
  <c r="V552" i="5"/>
  <c r="K558" i="5" s="1"/>
  <c r="T552" i="5"/>
  <c r="K557" i="5" s="1"/>
  <c r="U552" i="5"/>
  <c r="H558" i="5" s="1"/>
  <c r="S552" i="5"/>
  <c r="H557" i="5" s="1"/>
  <c r="F552" i="5"/>
  <c r="E552" i="5"/>
  <c r="D552" i="5"/>
  <c r="I552" i="5"/>
  <c r="C552" i="5"/>
  <c r="B552" i="5"/>
  <c r="A552" i="5"/>
  <c r="L551" i="5"/>
  <c r="Q551" i="5" s="1"/>
  <c r="Z551" i="5"/>
  <c r="Y551" i="5"/>
  <c r="W551" i="5"/>
  <c r="L550" i="5"/>
  <c r="G550" i="5"/>
  <c r="E550" i="5"/>
  <c r="J549" i="5"/>
  <c r="E549" i="5"/>
  <c r="J548" i="5"/>
  <c r="E548" i="5"/>
  <c r="K547" i="5"/>
  <c r="J547" i="5"/>
  <c r="H547" i="5"/>
  <c r="R547" i="5" s="1"/>
  <c r="G547" i="5"/>
  <c r="F547" i="5"/>
  <c r="V546" i="5"/>
  <c r="K549" i="5" s="1"/>
  <c r="T546" i="5"/>
  <c r="K548" i="5" s="1"/>
  <c r="U546" i="5"/>
  <c r="H549" i="5" s="1"/>
  <c r="S546" i="5"/>
  <c r="H548" i="5" s="1"/>
  <c r="F546" i="5"/>
  <c r="E546" i="5"/>
  <c r="D546" i="5"/>
  <c r="I546" i="5"/>
  <c r="C546" i="5"/>
  <c r="B546" i="5"/>
  <c r="A546" i="5"/>
  <c r="L545" i="5"/>
  <c r="Q545" i="5" s="1"/>
  <c r="Z545" i="5"/>
  <c r="Y545" i="5"/>
  <c r="W545" i="5"/>
  <c r="L544" i="5"/>
  <c r="G544" i="5"/>
  <c r="E544" i="5"/>
  <c r="J543" i="5"/>
  <c r="E543" i="5"/>
  <c r="J542" i="5"/>
  <c r="E542" i="5"/>
  <c r="K541" i="5"/>
  <c r="J541" i="5"/>
  <c r="H541" i="5"/>
  <c r="R541" i="5" s="1"/>
  <c r="G541" i="5"/>
  <c r="F541" i="5"/>
  <c r="K540" i="5"/>
  <c r="J540" i="5"/>
  <c r="H540" i="5"/>
  <c r="G540" i="5"/>
  <c r="F540" i="5"/>
  <c r="K539" i="5"/>
  <c r="J539" i="5"/>
  <c r="H539" i="5"/>
  <c r="R539" i="5" s="1"/>
  <c r="G539" i="5"/>
  <c r="F539" i="5"/>
  <c r="V538" i="5"/>
  <c r="K543" i="5" s="1"/>
  <c r="T538" i="5"/>
  <c r="K542" i="5" s="1"/>
  <c r="U538" i="5"/>
  <c r="H543" i="5" s="1"/>
  <c r="S538" i="5"/>
  <c r="H542" i="5" s="1"/>
  <c r="F538" i="5"/>
  <c r="E538" i="5"/>
  <c r="D538" i="5"/>
  <c r="I538" i="5"/>
  <c r="C538" i="5"/>
  <c r="B538" i="5"/>
  <c r="A538" i="5"/>
  <c r="L537" i="5"/>
  <c r="Q537" i="5" s="1"/>
  <c r="Z537" i="5"/>
  <c r="Y537" i="5"/>
  <c r="W537" i="5"/>
  <c r="L536" i="5"/>
  <c r="G536" i="5"/>
  <c r="E536" i="5"/>
  <c r="J535" i="5"/>
  <c r="E535" i="5"/>
  <c r="J534" i="5"/>
  <c r="E534" i="5"/>
  <c r="K533" i="5"/>
  <c r="J533" i="5"/>
  <c r="H533" i="5"/>
  <c r="G533" i="5"/>
  <c r="F533" i="5"/>
  <c r="K532" i="5"/>
  <c r="J532" i="5"/>
  <c r="H532" i="5"/>
  <c r="G532" i="5"/>
  <c r="F532" i="5"/>
  <c r="V531" i="5"/>
  <c r="K535" i="5" s="1"/>
  <c r="T531" i="5"/>
  <c r="K534" i="5" s="1"/>
  <c r="U531" i="5"/>
  <c r="H535" i="5" s="1"/>
  <c r="S531" i="5"/>
  <c r="H534" i="5" s="1"/>
  <c r="F531" i="5"/>
  <c r="E531" i="5"/>
  <c r="D531" i="5"/>
  <c r="I531" i="5"/>
  <c r="C531" i="5"/>
  <c r="B531" i="5"/>
  <c r="A531" i="5"/>
  <c r="L530" i="5"/>
  <c r="Q530" i="5" s="1"/>
  <c r="Z530" i="5"/>
  <c r="Y530" i="5"/>
  <c r="X530" i="5"/>
  <c r="L529" i="5"/>
  <c r="G529" i="5"/>
  <c r="E529" i="5"/>
  <c r="J528" i="5"/>
  <c r="E528" i="5"/>
  <c r="J527" i="5"/>
  <c r="E527" i="5"/>
  <c r="K526" i="5"/>
  <c r="J526" i="5"/>
  <c r="H526" i="5"/>
  <c r="R526" i="5" s="1"/>
  <c r="G526" i="5"/>
  <c r="F526" i="5"/>
  <c r="C525" i="5"/>
  <c r="V524" i="5"/>
  <c r="K528" i="5" s="1"/>
  <c r="T524" i="5"/>
  <c r="K527" i="5" s="1"/>
  <c r="U524" i="5"/>
  <c r="H528" i="5" s="1"/>
  <c r="S524" i="5"/>
  <c r="H527" i="5" s="1"/>
  <c r="F524" i="5"/>
  <c r="E524" i="5"/>
  <c r="D524" i="5"/>
  <c r="I524" i="5"/>
  <c r="C524" i="5"/>
  <c r="B524" i="5"/>
  <c r="A524" i="5"/>
  <c r="L523" i="5"/>
  <c r="Q523" i="5" s="1"/>
  <c r="Z523" i="5"/>
  <c r="Y523" i="5"/>
  <c r="X523" i="5"/>
  <c r="L522" i="5"/>
  <c r="G522" i="5"/>
  <c r="E522" i="5"/>
  <c r="J521" i="5"/>
  <c r="E521" i="5"/>
  <c r="J520" i="5"/>
  <c r="E520" i="5"/>
  <c r="K519" i="5"/>
  <c r="J519" i="5"/>
  <c r="H519" i="5"/>
  <c r="R519" i="5" s="1"/>
  <c r="G519" i="5"/>
  <c r="F519" i="5"/>
  <c r="K518" i="5"/>
  <c r="J518" i="5"/>
  <c r="H518" i="5"/>
  <c r="G518" i="5"/>
  <c r="F518" i="5"/>
  <c r="K517" i="5"/>
  <c r="J517" i="5"/>
  <c r="H517" i="5"/>
  <c r="G517" i="5"/>
  <c r="F517" i="5"/>
  <c r="C516" i="5"/>
  <c r="V515" i="5"/>
  <c r="K521" i="5" s="1"/>
  <c r="T515" i="5"/>
  <c r="K520" i="5" s="1"/>
  <c r="U515" i="5"/>
  <c r="H521" i="5" s="1"/>
  <c r="S515" i="5"/>
  <c r="H520" i="5" s="1"/>
  <c r="F515" i="5"/>
  <c r="E515" i="5"/>
  <c r="D515" i="5"/>
  <c r="I515" i="5"/>
  <c r="C515" i="5"/>
  <c r="B515" i="5"/>
  <c r="A515" i="5"/>
  <c r="L514" i="5"/>
  <c r="Q514" i="5" s="1"/>
  <c r="Z514" i="5"/>
  <c r="Y514" i="5"/>
  <c r="W514" i="5"/>
  <c r="L513" i="5"/>
  <c r="G513" i="5"/>
  <c r="E513" i="5"/>
  <c r="J512" i="5"/>
  <c r="E512" i="5"/>
  <c r="J511" i="5"/>
  <c r="E511" i="5"/>
  <c r="K510" i="5"/>
  <c r="J510" i="5"/>
  <c r="H510" i="5"/>
  <c r="R510" i="5" s="1"/>
  <c r="G510" i="5"/>
  <c r="F510" i="5"/>
  <c r="K509" i="5"/>
  <c r="J509" i="5"/>
  <c r="H509" i="5"/>
  <c r="G509" i="5"/>
  <c r="F509" i="5"/>
  <c r="K508" i="5"/>
  <c r="J508" i="5"/>
  <c r="H508" i="5"/>
  <c r="R508" i="5" s="1"/>
  <c r="G508" i="5"/>
  <c r="F508" i="5"/>
  <c r="V507" i="5"/>
  <c r="K512" i="5" s="1"/>
  <c r="T507" i="5"/>
  <c r="K511" i="5" s="1"/>
  <c r="U507" i="5"/>
  <c r="H512" i="5" s="1"/>
  <c r="S507" i="5"/>
  <c r="H511" i="5" s="1"/>
  <c r="F507" i="5"/>
  <c r="E507" i="5"/>
  <c r="D507" i="5"/>
  <c r="I507" i="5"/>
  <c r="C507" i="5"/>
  <c r="B507" i="5"/>
  <c r="A507" i="5"/>
  <c r="A506" i="5"/>
  <c r="A504" i="5"/>
  <c r="L502" i="5"/>
  <c r="Q502" i="5" s="1"/>
  <c r="Z502" i="5"/>
  <c r="Y502" i="5"/>
  <c r="X502" i="5"/>
  <c r="K501" i="5"/>
  <c r="J502" i="5" s="1"/>
  <c r="P502" i="5" s="1"/>
  <c r="H501" i="5"/>
  <c r="G502" i="5" s="1"/>
  <c r="O502" i="5" s="1"/>
  <c r="J501" i="5"/>
  <c r="G501" i="5"/>
  <c r="F501" i="5"/>
  <c r="V501" i="5"/>
  <c r="T501" i="5"/>
  <c r="U501" i="5"/>
  <c r="S501" i="5"/>
  <c r="E501" i="5"/>
  <c r="D501" i="5"/>
  <c r="I501" i="5"/>
  <c r="C501" i="5"/>
  <c r="B501" i="5"/>
  <c r="A501" i="5"/>
  <c r="L500" i="5"/>
  <c r="Q500" i="5" s="1"/>
  <c r="Z500" i="5"/>
  <c r="Y500" i="5"/>
  <c r="X500" i="5"/>
  <c r="K499" i="5"/>
  <c r="J500" i="5" s="1"/>
  <c r="P500" i="5" s="1"/>
  <c r="H499" i="5"/>
  <c r="J499" i="5"/>
  <c r="G499" i="5"/>
  <c r="F499" i="5"/>
  <c r="V499" i="5"/>
  <c r="T499" i="5"/>
  <c r="U499" i="5"/>
  <c r="S499" i="5"/>
  <c r="E499" i="5"/>
  <c r="D499" i="5"/>
  <c r="I499" i="5"/>
  <c r="C499" i="5"/>
  <c r="B499" i="5"/>
  <c r="A499" i="5"/>
  <c r="L498" i="5"/>
  <c r="Q498" i="5" s="1"/>
  <c r="Z498" i="5"/>
  <c r="Y498" i="5"/>
  <c r="X498" i="5"/>
  <c r="L497" i="5"/>
  <c r="G497" i="5"/>
  <c r="E497" i="5"/>
  <c r="J496" i="5"/>
  <c r="E496" i="5"/>
  <c r="J495" i="5"/>
  <c r="E495" i="5"/>
  <c r="K494" i="5"/>
  <c r="J494" i="5"/>
  <c r="H494" i="5"/>
  <c r="G494" i="5"/>
  <c r="F494" i="5"/>
  <c r="K493" i="5"/>
  <c r="J493" i="5"/>
  <c r="H493" i="5"/>
  <c r="R493" i="5" s="1"/>
  <c r="G493" i="5"/>
  <c r="F493" i="5"/>
  <c r="V492" i="5"/>
  <c r="K496" i="5" s="1"/>
  <c r="T492" i="5"/>
  <c r="K495" i="5" s="1"/>
  <c r="U492" i="5"/>
  <c r="H496" i="5" s="1"/>
  <c r="S492" i="5"/>
  <c r="H495" i="5" s="1"/>
  <c r="F492" i="5"/>
  <c r="E492" i="5"/>
  <c r="D492" i="5"/>
  <c r="I492" i="5"/>
  <c r="C492" i="5"/>
  <c r="B492" i="5"/>
  <c r="A492" i="5"/>
  <c r="L491" i="5"/>
  <c r="Q491" i="5" s="1"/>
  <c r="Z491" i="5"/>
  <c r="Y491" i="5"/>
  <c r="X491" i="5"/>
  <c r="L490" i="5"/>
  <c r="G490" i="5"/>
  <c r="E490" i="5"/>
  <c r="J489" i="5"/>
  <c r="F489" i="5"/>
  <c r="E489" i="5"/>
  <c r="J488" i="5"/>
  <c r="F488" i="5"/>
  <c r="E488" i="5"/>
  <c r="K487" i="5"/>
  <c r="J487" i="5"/>
  <c r="H487" i="5"/>
  <c r="G487" i="5"/>
  <c r="F487" i="5"/>
  <c r="K486" i="5"/>
  <c r="J486" i="5"/>
  <c r="H486" i="5"/>
  <c r="R486" i="5" s="1"/>
  <c r="G486" i="5"/>
  <c r="F486" i="5"/>
  <c r="K485" i="5"/>
  <c r="J485" i="5"/>
  <c r="H485" i="5"/>
  <c r="G485" i="5"/>
  <c r="F485" i="5"/>
  <c r="K484" i="5"/>
  <c r="J484" i="5"/>
  <c r="H484" i="5"/>
  <c r="R484" i="5" s="1"/>
  <c r="G484" i="5"/>
  <c r="F484" i="5"/>
  <c r="C483" i="5"/>
  <c r="V482" i="5"/>
  <c r="K489" i="5" s="1"/>
  <c r="T482" i="5"/>
  <c r="K488" i="5" s="1"/>
  <c r="U482" i="5"/>
  <c r="H489" i="5" s="1"/>
  <c r="S482" i="5"/>
  <c r="H488" i="5" s="1"/>
  <c r="F482" i="5"/>
  <c r="E482" i="5"/>
  <c r="D482" i="5"/>
  <c r="I482" i="5"/>
  <c r="C482" i="5"/>
  <c r="B482" i="5"/>
  <c r="A482" i="5"/>
  <c r="L481" i="5"/>
  <c r="Q481" i="5" s="1"/>
  <c r="Z481" i="5"/>
  <c r="Y481" i="5"/>
  <c r="X481" i="5"/>
  <c r="K480" i="5"/>
  <c r="J480" i="5"/>
  <c r="Z480" i="5"/>
  <c r="Y480" i="5"/>
  <c r="X480" i="5"/>
  <c r="H480" i="5"/>
  <c r="W480" i="5" s="1"/>
  <c r="F480" i="5"/>
  <c r="V480" i="5"/>
  <c r="T480" i="5"/>
  <c r="U480" i="5"/>
  <c r="S480" i="5"/>
  <c r="E480" i="5"/>
  <c r="D480" i="5"/>
  <c r="C480" i="5"/>
  <c r="B480" i="5"/>
  <c r="A480" i="5"/>
  <c r="K479" i="5"/>
  <c r="J479" i="5"/>
  <c r="Z479" i="5"/>
  <c r="Y479" i="5"/>
  <c r="X479" i="5"/>
  <c r="H479" i="5"/>
  <c r="W479" i="5" s="1"/>
  <c r="F479" i="5"/>
  <c r="V479" i="5"/>
  <c r="T479" i="5"/>
  <c r="U479" i="5"/>
  <c r="S479" i="5"/>
  <c r="E479" i="5"/>
  <c r="D479" i="5"/>
  <c r="C479" i="5"/>
  <c r="B479" i="5"/>
  <c r="A479" i="5"/>
  <c r="L478" i="5"/>
  <c r="G478" i="5"/>
  <c r="E478" i="5"/>
  <c r="J477" i="5"/>
  <c r="E477" i="5"/>
  <c r="J476" i="5"/>
  <c r="E476" i="5"/>
  <c r="K475" i="5"/>
  <c r="J475" i="5"/>
  <c r="H475" i="5"/>
  <c r="G475" i="5"/>
  <c r="F475" i="5"/>
  <c r="K474" i="5"/>
  <c r="J474" i="5"/>
  <c r="H474" i="5"/>
  <c r="G474" i="5"/>
  <c r="F474" i="5"/>
  <c r="C473" i="5"/>
  <c r="V472" i="5"/>
  <c r="T472" i="5"/>
  <c r="U472" i="5"/>
  <c r="H477" i="5" s="1"/>
  <c r="S472" i="5"/>
  <c r="H476" i="5" s="1"/>
  <c r="F472" i="5"/>
  <c r="E472" i="5"/>
  <c r="D472" i="5"/>
  <c r="I472" i="5"/>
  <c r="C472" i="5"/>
  <c r="B472" i="5"/>
  <c r="A472" i="5"/>
  <c r="L471" i="5"/>
  <c r="Q471" i="5" s="1"/>
  <c r="Z471" i="5"/>
  <c r="Y471" i="5"/>
  <c r="X471" i="5"/>
  <c r="L470" i="5"/>
  <c r="G470" i="5"/>
  <c r="E470" i="5"/>
  <c r="J469" i="5"/>
  <c r="E469" i="5"/>
  <c r="J468" i="5"/>
  <c r="E468" i="5"/>
  <c r="K467" i="5"/>
  <c r="J467" i="5"/>
  <c r="H467" i="5"/>
  <c r="G467" i="5"/>
  <c r="F467" i="5"/>
  <c r="K466" i="5"/>
  <c r="J466" i="5"/>
  <c r="H466" i="5"/>
  <c r="R466" i="5" s="1"/>
  <c r="G466" i="5"/>
  <c r="F466" i="5"/>
  <c r="C465" i="5"/>
  <c r="V464" i="5"/>
  <c r="K469" i="5" s="1"/>
  <c r="T464" i="5"/>
  <c r="K468" i="5" s="1"/>
  <c r="U464" i="5"/>
  <c r="H469" i="5" s="1"/>
  <c r="S464" i="5"/>
  <c r="H468" i="5" s="1"/>
  <c r="F464" i="5"/>
  <c r="E464" i="5"/>
  <c r="D464" i="5"/>
  <c r="I464" i="5"/>
  <c r="C464" i="5"/>
  <c r="B464" i="5"/>
  <c r="A464" i="5"/>
  <c r="L463" i="5"/>
  <c r="Q463" i="5" s="1"/>
  <c r="Z463" i="5"/>
  <c r="Y463" i="5"/>
  <c r="X463" i="5"/>
  <c r="K462" i="5"/>
  <c r="J462" i="5"/>
  <c r="Z462" i="5"/>
  <c r="Y462" i="5"/>
  <c r="X462" i="5"/>
  <c r="H462" i="5"/>
  <c r="W462" i="5" s="1"/>
  <c r="F462" i="5"/>
  <c r="V462" i="5"/>
  <c r="T462" i="5"/>
  <c r="U462" i="5"/>
  <c r="S462" i="5"/>
  <c r="E462" i="5"/>
  <c r="D462" i="5"/>
  <c r="C462" i="5"/>
  <c r="B462" i="5"/>
  <c r="A462" i="5"/>
  <c r="K461" i="5"/>
  <c r="J461" i="5"/>
  <c r="Z461" i="5"/>
  <c r="Y461" i="5"/>
  <c r="X461" i="5"/>
  <c r="H461" i="5"/>
  <c r="W461" i="5" s="1"/>
  <c r="F461" i="5"/>
  <c r="V461" i="5"/>
  <c r="T461" i="5"/>
  <c r="U461" i="5"/>
  <c r="S461" i="5"/>
  <c r="E461" i="5"/>
  <c r="D461" i="5"/>
  <c r="C461" i="5"/>
  <c r="B461" i="5"/>
  <c r="A461" i="5"/>
  <c r="L460" i="5"/>
  <c r="G460" i="5"/>
  <c r="E460" i="5"/>
  <c r="J459" i="5"/>
  <c r="F459" i="5"/>
  <c r="E459" i="5"/>
  <c r="J458" i="5"/>
  <c r="F458" i="5"/>
  <c r="E458" i="5"/>
  <c r="K457" i="5"/>
  <c r="J457" i="5"/>
  <c r="H457" i="5"/>
  <c r="G457" i="5"/>
  <c r="F457" i="5"/>
  <c r="K456" i="5"/>
  <c r="J456" i="5"/>
  <c r="H456" i="5"/>
  <c r="R456" i="5" s="1"/>
  <c r="G456" i="5"/>
  <c r="F456" i="5"/>
  <c r="K455" i="5"/>
  <c r="J455" i="5"/>
  <c r="H455" i="5"/>
  <c r="G455" i="5"/>
  <c r="F455" i="5"/>
  <c r="K454" i="5"/>
  <c r="J454" i="5"/>
  <c r="H454" i="5"/>
  <c r="R454" i="5" s="1"/>
  <c r="G454" i="5"/>
  <c r="F454" i="5"/>
  <c r="C453" i="5"/>
  <c r="V452" i="5"/>
  <c r="T452" i="5"/>
  <c r="K458" i="5" s="1"/>
  <c r="U452" i="5"/>
  <c r="S452" i="5"/>
  <c r="F452" i="5"/>
  <c r="E452" i="5"/>
  <c r="D452" i="5"/>
  <c r="I452" i="5"/>
  <c r="C452" i="5"/>
  <c r="B452" i="5"/>
  <c r="A452" i="5"/>
  <c r="L451" i="5"/>
  <c r="Q451" i="5" s="1"/>
  <c r="Z451" i="5"/>
  <c r="Y451" i="5"/>
  <c r="X451" i="5"/>
  <c r="K450" i="5"/>
  <c r="J450" i="5"/>
  <c r="Z450" i="5"/>
  <c r="Y450" i="5"/>
  <c r="X450" i="5"/>
  <c r="H450" i="5"/>
  <c r="W450" i="5" s="1"/>
  <c r="F450" i="5"/>
  <c r="V450" i="5"/>
  <c r="T450" i="5"/>
  <c r="U450" i="5"/>
  <c r="S450" i="5"/>
  <c r="E450" i="5"/>
  <c r="D450" i="5"/>
  <c r="C450" i="5"/>
  <c r="B450" i="5"/>
  <c r="A450" i="5"/>
  <c r="L449" i="5"/>
  <c r="G449" i="5"/>
  <c r="E449" i="5"/>
  <c r="J448" i="5"/>
  <c r="F448" i="5"/>
  <c r="E448" i="5"/>
  <c r="J447" i="5"/>
  <c r="F447" i="5"/>
  <c r="E447" i="5"/>
  <c r="K446" i="5"/>
  <c r="J446" i="5"/>
  <c r="H446" i="5"/>
  <c r="R446" i="5" s="1"/>
  <c r="G446" i="5"/>
  <c r="F446" i="5"/>
  <c r="C445" i="5"/>
  <c r="V444" i="5"/>
  <c r="T444" i="5"/>
  <c r="K447" i="5" s="1"/>
  <c r="U444" i="5"/>
  <c r="H448" i="5" s="1"/>
  <c r="S444" i="5"/>
  <c r="H447" i="5" s="1"/>
  <c r="F444" i="5"/>
  <c r="E444" i="5"/>
  <c r="D444" i="5"/>
  <c r="I444" i="5"/>
  <c r="C444" i="5"/>
  <c r="B444" i="5"/>
  <c r="A444" i="5"/>
  <c r="Q443" i="5"/>
  <c r="L443" i="5"/>
  <c r="Z443" i="5"/>
  <c r="Y443" i="5"/>
  <c r="X443" i="5"/>
  <c r="K442" i="5"/>
  <c r="J442" i="5"/>
  <c r="Z442" i="5"/>
  <c r="Y442" i="5"/>
  <c r="X442" i="5"/>
  <c r="H442" i="5"/>
  <c r="W442" i="5" s="1"/>
  <c r="F442" i="5"/>
  <c r="V442" i="5"/>
  <c r="T442" i="5"/>
  <c r="U442" i="5"/>
  <c r="S442" i="5"/>
  <c r="E442" i="5"/>
  <c r="D442" i="5"/>
  <c r="C442" i="5"/>
  <c r="B442" i="5"/>
  <c r="A442" i="5"/>
  <c r="L441" i="5"/>
  <c r="G441" i="5"/>
  <c r="E441" i="5"/>
  <c r="J440" i="5"/>
  <c r="F440" i="5"/>
  <c r="E440" i="5"/>
  <c r="J439" i="5"/>
  <c r="F439" i="5"/>
  <c r="E439" i="5"/>
  <c r="K438" i="5"/>
  <c r="J438" i="5"/>
  <c r="H438" i="5"/>
  <c r="G438" i="5"/>
  <c r="F438" i="5"/>
  <c r="K437" i="5"/>
  <c r="J437" i="5"/>
  <c r="H437" i="5"/>
  <c r="R437" i="5" s="1"/>
  <c r="G437" i="5"/>
  <c r="F437" i="5"/>
  <c r="K436" i="5"/>
  <c r="J436" i="5"/>
  <c r="H436" i="5"/>
  <c r="G436" i="5"/>
  <c r="F436" i="5"/>
  <c r="K435" i="5"/>
  <c r="J435" i="5"/>
  <c r="H435" i="5"/>
  <c r="R435" i="5" s="1"/>
  <c r="G435" i="5"/>
  <c r="F435" i="5"/>
  <c r="C434" i="5"/>
  <c r="V433" i="5"/>
  <c r="K440" i="5" s="1"/>
  <c r="T433" i="5"/>
  <c r="K439" i="5" s="1"/>
  <c r="U433" i="5"/>
  <c r="S433" i="5"/>
  <c r="F433" i="5"/>
  <c r="E433" i="5"/>
  <c r="D433" i="5"/>
  <c r="I433" i="5"/>
  <c r="C433" i="5"/>
  <c r="B433" i="5"/>
  <c r="A433" i="5"/>
  <c r="L432" i="5"/>
  <c r="Q432" i="5" s="1"/>
  <c r="Z432" i="5"/>
  <c r="Y432" i="5"/>
  <c r="X432" i="5"/>
  <c r="K431" i="5"/>
  <c r="J431" i="5"/>
  <c r="Z431" i="5"/>
  <c r="Y431" i="5"/>
  <c r="X431" i="5"/>
  <c r="H431" i="5"/>
  <c r="W431" i="5" s="1"/>
  <c r="F431" i="5"/>
  <c r="V431" i="5"/>
  <c r="T431" i="5"/>
  <c r="U431" i="5"/>
  <c r="S431" i="5"/>
  <c r="E431" i="5"/>
  <c r="D431" i="5"/>
  <c r="C431" i="5"/>
  <c r="B431" i="5"/>
  <c r="A431" i="5"/>
  <c r="K430" i="5"/>
  <c r="J430" i="5"/>
  <c r="Z430" i="5"/>
  <c r="Y430" i="5"/>
  <c r="X430" i="5"/>
  <c r="W430" i="5"/>
  <c r="H430" i="5"/>
  <c r="F430" i="5"/>
  <c r="V430" i="5"/>
  <c r="T430" i="5"/>
  <c r="U430" i="5"/>
  <c r="S430" i="5"/>
  <c r="E430" i="5"/>
  <c r="D430" i="5"/>
  <c r="C430" i="5"/>
  <c r="B430" i="5"/>
  <c r="A430" i="5"/>
  <c r="L429" i="5"/>
  <c r="G429" i="5"/>
  <c r="E429" i="5"/>
  <c r="J428" i="5"/>
  <c r="E428" i="5"/>
  <c r="J427" i="5"/>
  <c r="E427" i="5"/>
  <c r="K426" i="5"/>
  <c r="J426" i="5"/>
  <c r="H426" i="5"/>
  <c r="G426" i="5"/>
  <c r="F426" i="5"/>
  <c r="K425" i="5"/>
  <c r="J425" i="5"/>
  <c r="H425" i="5"/>
  <c r="R425" i="5" s="1"/>
  <c r="G425" i="5"/>
  <c r="F425" i="5"/>
  <c r="K424" i="5"/>
  <c r="J424" i="5"/>
  <c r="H424" i="5"/>
  <c r="G424" i="5"/>
  <c r="F424" i="5"/>
  <c r="K423" i="5"/>
  <c r="J423" i="5"/>
  <c r="H423" i="5"/>
  <c r="G423" i="5"/>
  <c r="F423" i="5"/>
  <c r="C422" i="5"/>
  <c r="V421" i="5"/>
  <c r="K428" i="5" s="1"/>
  <c r="T421" i="5"/>
  <c r="U421" i="5"/>
  <c r="S421" i="5"/>
  <c r="H427" i="5" s="1"/>
  <c r="F421" i="5"/>
  <c r="E421" i="5"/>
  <c r="D421" i="5"/>
  <c r="I421" i="5"/>
  <c r="C421" i="5"/>
  <c r="B421" i="5"/>
  <c r="A421" i="5"/>
  <c r="L420" i="5"/>
  <c r="Q420" i="5" s="1"/>
  <c r="Z420" i="5"/>
  <c r="Y420" i="5"/>
  <c r="X420" i="5"/>
  <c r="K419" i="5"/>
  <c r="J419" i="5"/>
  <c r="Z419" i="5"/>
  <c r="Y419" i="5"/>
  <c r="X419" i="5"/>
  <c r="H419" i="5"/>
  <c r="W419" i="5" s="1"/>
  <c r="F419" i="5"/>
  <c r="V419" i="5"/>
  <c r="T419" i="5"/>
  <c r="U419" i="5"/>
  <c r="S419" i="5"/>
  <c r="E419" i="5"/>
  <c r="D419" i="5"/>
  <c r="C419" i="5"/>
  <c r="B419" i="5"/>
  <c r="A419" i="5"/>
  <c r="K418" i="5"/>
  <c r="J418" i="5"/>
  <c r="Z418" i="5"/>
  <c r="Y418" i="5"/>
  <c r="X418" i="5"/>
  <c r="H418" i="5"/>
  <c r="W418" i="5" s="1"/>
  <c r="F418" i="5"/>
  <c r="V418" i="5"/>
  <c r="T418" i="5"/>
  <c r="U418" i="5"/>
  <c r="S418" i="5"/>
  <c r="E418" i="5"/>
  <c r="D418" i="5"/>
  <c r="C418" i="5"/>
  <c r="B418" i="5"/>
  <c r="A418" i="5"/>
  <c r="L417" i="5"/>
  <c r="G417" i="5"/>
  <c r="E417" i="5"/>
  <c r="J416" i="5"/>
  <c r="E416" i="5"/>
  <c r="J415" i="5"/>
  <c r="E415" i="5"/>
  <c r="K414" i="5"/>
  <c r="J414" i="5"/>
  <c r="H414" i="5"/>
  <c r="G414" i="5"/>
  <c r="F414" i="5"/>
  <c r="K413" i="5"/>
  <c r="J413" i="5"/>
  <c r="R413" i="5"/>
  <c r="H413" i="5"/>
  <c r="G413" i="5"/>
  <c r="F413" i="5"/>
  <c r="K412" i="5"/>
  <c r="J412" i="5"/>
  <c r="H412" i="5"/>
  <c r="G412" i="5"/>
  <c r="F412" i="5"/>
  <c r="K411" i="5"/>
  <c r="J411" i="5"/>
  <c r="R411" i="5"/>
  <c r="H411" i="5"/>
  <c r="G411" i="5"/>
  <c r="F411" i="5"/>
  <c r="C410" i="5"/>
  <c r="V409" i="5"/>
  <c r="K416" i="5" s="1"/>
  <c r="T409" i="5"/>
  <c r="U409" i="5"/>
  <c r="H416" i="5" s="1"/>
  <c r="S409" i="5"/>
  <c r="H415" i="5" s="1"/>
  <c r="F409" i="5"/>
  <c r="E409" i="5"/>
  <c r="D409" i="5"/>
  <c r="I409" i="5"/>
  <c r="C409" i="5"/>
  <c r="B409" i="5"/>
  <c r="A409" i="5"/>
  <c r="Q408" i="5"/>
  <c r="L408" i="5"/>
  <c r="Z408" i="5"/>
  <c r="Y408" i="5"/>
  <c r="X408" i="5"/>
  <c r="K407" i="5"/>
  <c r="J407" i="5"/>
  <c r="Z407" i="5"/>
  <c r="Y407" i="5"/>
  <c r="X407" i="5"/>
  <c r="H407" i="5"/>
  <c r="W407" i="5" s="1"/>
  <c r="F407" i="5"/>
  <c r="V407" i="5"/>
  <c r="T407" i="5"/>
  <c r="U407" i="5"/>
  <c r="S407" i="5"/>
  <c r="E407" i="5"/>
  <c r="D407" i="5"/>
  <c r="C407" i="5"/>
  <c r="B407" i="5"/>
  <c r="A407" i="5"/>
  <c r="L406" i="5"/>
  <c r="G406" i="5"/>
  <c r="E406" i="5"/>
  <c r="J405" i="5"/>
  <c r="F405" i="5"/>
  <c r="E405" i="5"/>
  <c r="J404" i="5"/>
  <c r="F404" i="5"/>
  <c r="E404" i="5"/>
  <c r="K403" i="5"/>
  <c r="J403" i="5"/>
  <c r="H403" i="5"/>
  <c r="G403" i="5"/>
  <c r="F403" i="5"/>
  <c r="K402" i="5"/>
  <c r="J402" i="5"/>
  <c r="H402" i="5"/>
  <c r="R402" i="5" s="1"/>
  <c r="G402" i="5"/>
  <c r="F402" i="5"/>
  <c r="K401" i="5"/>
  <c r="J401" i="5"/>
  <c r="H401" i="5"/>
  <c r="G401" i="5"/>
  <c r="F401" i="5"/>
  <c r="K400" i="5"/>
  <c r="J400" i="5"/>
  <c r="H400" i="5"/>
  <c r="R400" i="5" s="1"/>
  <c r="G400" i="5"/>
  <c r="F400" i="5"/>
  <c r="C399" i="5"/>
  <c r="V398" i="5"/>
  <c r="K405" i="5" s="1"/>
  <c r="T398" i="5"/>
  <c r="K404" i="5" s="1"/>
  <c r="U398" i="5"/>
  <c r="S398" i="5"/>
  <c r="F398" i="5"/>
  <c r="E398" i="5"/>
  <c r="D398" i="5"/>
  <c r="I398" i="5"/>
  <c r="C398" i="5"/>
  <c r="B398" i="5"/>
  <c r="A398" i="5"/>
  <c r="L397" i="5"/>
  <c r="Q397" i="5" s="1"/>
  <c r="Z397" i="5"/>
  <c r="Y397" i="5"/>
  <c r="X397" i="5"/>
  <c r="K396" i="5"/>
  <c r="J396" i="5"/>
  <c r="Z396" i="5"/>
  <c r="Y396" i="5"/>
  <c r="X396" i="5"/>
  <c r="H396" i="5"/>
  <c r="W396" i="5" s="1"/>
  <c r="F396" i="5"/>
  <c r="V396" i="5"/>
  <c r="T396" i="5"/>
  <c r="U396" i="5"/>
  <c r="S396" i="5"/>
  <c r="E396" i="5"/>
  <c r="D396" i="5"/>
  <c r="C396" i="5"/>
  <c r="B396" i="5"/>
  <c r="A396" i="5"/>
  <c r="K395" i="5"/>
  <c r="J395" i="5"/>
  <c r="Z395" i="5"/>
  <c r="Y395" i="5"/>
  <c r="X395" i="5"/>
  <c r="H395" i="5"/>
  <c r="W395" i="5" s="1"/>
  <c r="F395" i="5"/>
  <c r="V395" i="5"/>
  <c r="T395" i="5"/>
  <c r="U395" i="5"/>
  <c r="S395" i="5"/>
  <c r="E395" i="5"/>
  <c r="D395" i="5"/>
  <c r="C395" i="5"/>
  <c r="B395" i="5"/>
  <c r="A395" i="5"/>
  <c r="L394" i="5"/>
  <c r="G394" i="5"/>
  <c r="E394" i="5"/>
  <c r="J393" i="5"/>
  <c r="F393" i="5"/>
  <c r="E393" i="5"/>
  <c r="J392" i="5"/>
  <c r="F392" i="5"/>
  <c r="E392" i="5"/>
  <c r="K391" i="5"/>
  <c r="J391" i="5"/>
  <c r="H391" i="5"/>
  <c r="G391" i="5"/>
  <c r="F391" i="5"/>
  <c r="K390" i="5"/>
  <c r="J390" i="5"/>
  <c r="H390" i="5"/>
  <c r="R390" i="5" s="1"/>
  <c r="G390" i="5"/>
  <c r="F390" i="5"/>
  <c r="K389" i="5"/>
  <c r="J389" i="5"/>
  <c r="H389" i="5"/>
  <c r="G389" i="5"/>
  <c r="F389" i="5"/>
  <c r="K388" i="5"/>
  <c r="J388" i="5"/>
  <c r="H388" i="5"/>
  <c r="G388" i="5"/>
  <c r="F388" i="5"/>
  <c r="C387" i="5"/>
  <c r="V386" i="5"/>
  <c r="T386" i="5"/>
  <c r="K392" i="5" s="1"/>
  <c r="U386" i="5"/>
  <c r="S386" i="5"/>
  <c r="H392" i="5" s="1"/>
  <c r="F386" i="5"/>
  <c r="E386" i="5"/>
  <c r="D386" i="5"/>
  <c r="I386" i="5"/>
  <c r="C386" i="5"/>
  <c r="B386" i="5"/>
  <c r="A386" i="5"/>
  <c r="L385" i="5"/>
  <c r="Q385" i="5" s="1"/>
  <c r="Z385" i="5"/>
  <c r="Y385" i="5"/>
  <c r="X385" i="5"/>
  <c r="K384" i="5"/>
  <c r="J384" i="5"/>
  <c r="Z384" i="5"/>
  <c r="Y384" i="5"/>
  <c r="X384" i="5"/>
  <c r="H384" i="5"/>
  <c r="W384" i="5" s="1"/>
  <c r="F384" i="5"/>
  <c r="V384" i="5"/>
  <c r="T384" i="5"/>
  <c r="U384" i="5"/>
  <c r="S384" i="5"/>
  <c r="E384" i="5"/>
  <c r="D384" i="5"/>
  <c r="C384" i="5"/>
  <c r="B384" i="5"/>
  <c r="A384" i="5"/>
  <c r="K383" i="5"/>
  <c r="J383" i="5"/>
  <c r="Z383" i="5"/>
  <c r="Y383" i="5"/>
  <c r="X383" i="5"/>
  <c r="W383" i="5"/>
  <c r="H383" i="5"/>
  <c r="F383" i="5"/>
  <c r="V383" i="5"/>
  <c r="T383" i="5"/>
  <c r="U383" i="5"/>
  <c r="S383" i="5"/>
  <c r="E383" i="5"/>
  <c r="D383" i="5"/>
  <c r="C383" i="5"/>
  <c r="B383" i="5"/>
  <c r="A383" i="5"/>
  <c r="L382" i="5"/>
  <c r="G382" i="5"/>
  <c r="E382" i="5"/>
  <c r="J381" i="5"/>
  <c r="F381" i="5"/>
  <c r="E381" i="5"/>
  <c r="J380" i="5"/>
  <c r="F380" i="5"/>
  <c r="E380" i="5"/>
  <c r="K379" i="5"/>
  <c r="J379" i="5"/>
  <c r="H379" i="5"/>
  <c r="G379" i="5"/>
  <c r="F379" i="5"/>
  <c r="K378" i="5"/>
  <c r="J378" i="5"/>
  <c r="R378" i="5"/>
  <c r="H378" i="5"/>
  <c r="G378" i="5"/>
  <c r="F378" i="5"/>
  <c r="K377" i="5"/>
  <c r="J377" i="5"/>
  <c r="H377" i="5"/>
  <c r="G377" i="5"/>
  <c r="F377" i="5"/>
  <c r="K376" i="5"/>
  <c r="J376" i="5"/>
  <c r="H376" i="5"/>
  <c r="R376" i="5" s="1"/>
  <c r="G376" i="5"/>
  <c r="F376" i="5"/>
  <c r="C375" i="5"/>
  <c r="V374" i="5"/>
  <c r="K381" i="5" s="1"/>
  <c r="T374" i="5"/>
  <c r="U374" i="5"/>
  <c r="H381" i="5" s="1"/>
  <c r="S374" i="5"/>
  <c r="H380" i="5" s="1"/>
  <c r="F374" i="5"/>
  <c r="E374" i="5"/>
  <c r="D374" i="5"/>
  <c r="I374" i="5"/>
  <c r="C374" i="5"/>
  <c r="B374" i="5"/>
  <c r="A374" i="5"/>
  <c r="L373" i="5"/>
  <c r="Q373" i="5" s="1"/>
  <c r="Z373" i="5"/>
  <c r="Y373" i="5"/>
  <c r="X373" i="5"/>
  <c r="K372" i="5"/>
  <c r="J372" i="5"/>
  <c r="Z372" i="5"/>
  <c r="Y372" i="5"/>
  <c r="X372" i="5"/>
  <c r="H372" i="5"/>
  <c r="W372" i="5" s="1"/>
  <c r="F372" i="5"/>
  <c r="V372" i="5"/>
  <c r="T372" i="5"/>
  <c r="U372" i="5"/>
  <c r="S372" i="5"/>
  <c r="E372" i="5"/>
  <c r="D372" i="5"/>
  <c r="C372" i="5"/>
  <c r="B372" i="5"/>
  <c r="A372" i="5"/>
  <c r="L371" i="5"/>
  <c r="G371" i="5"/>
  <c r="E371" i="5"/>
  <c r="J370" i="5"/>
  <c r="F370" i="5"/>
  <c r="E370" i="5"/>
  <c r="J369" i="5"/>
  <c r="F369" i="5"/>
  <c r="E369" i="5"/>
  <c r="K368" i="5"/>
  <c r="J368" i="5"/>
  <c r="H368" i="5"/>
  <c r="G368" i="5"/>
  <c r="F368" i="5"/>
  <c r="K367" i="5"/>
  <c r="J367" i="5"/>
  <c r="H367" i="5"/>
  <c r="R367" i="5" s="1"/>
  <c r="G367" i="5"/>
  <c r="F367" i="5"/>
  <c r="K366" i="5"/>
  <c r="J366" i="5"/>
  <c r="H366" i="5"/>
  <c r="G366" i="5"/>
  <c r="F366" i="5"/>
  <c r="K365" i="5"/>
  <c r="J365" i="5"/>
  <c r="H365" i="5"/>
  <c r="R365" i="5" s="1"/>
  <c r="G365" i="5"/>
  <c r="F365" i="5"/>
  <c r="C364" i="5"/>
  <c r="V363" i="5"/>
  <c r="K370" i="5" s="1"/>
  <c r="T363" i="5"/>
  <c r="K369" i="5" s="1"/>
  <c r="U363" i="5"/>
  <c r="S363" i="5"/>
  <c r="F363" i="5"/>
  <c r="E363" i="5"/>
  <c r="D363" i="5"/>
  <c r="I363" i="5"/>
  <c r="C363" i="5"/>
  <c r="B363" i="5"/>
  <c r="A363" i="5"/>
  <c r="L362" i="5"/>
  <c r="Q362" i="5" s="1"/>
  <c r="Z362" i="5"/>
  <c r="Y362" i="5"/>
  <c r="X362" i="5"/>
  <c r="L361" i="5"/>
  <c r="G361" i="5"/>
  <c r="E361" i="5"/>
  <c r="J360" i="5"/>
  <c r="F360" i="5"/>
  <c r="E360" i="5"/>
  <c r="J359" i="5"/>
  <c r="F359" i="5"/>
  <c r="E359" i="5"/>
  <c r="K358" i="5"/>
  <c r="J358" i="5"/>
  <c r="H358" i="5"/>
  <c r="G358" i="5"/>
  <c r="F358" i="5"/>
  <c r="K357" i="5"/>
  <c r="J357" i="5"/>
  <c r="R357" i="5"/>
  <c r="H357" i="5"/>
  <c r="G357" i="5"/>
  <c r="F357" i="5"/>
  <c r="K356" i="5"/>
  <c r="J356" i="5"/>
  <c r="H356" i="5"/>
  <c r="G356" i="5"/>
  <c r="F356" i="5"/>
  <c r="K355" i="5"/>
  <c r="J355" i="5"/>
  <c r="H355" i="5"/>
  <c r="G355" i="5"/>
  <c r="F355" i="5"/>
  <c r="C354" i="5"/>
  <c r="V353" i="5"/>
  <c r="K360" i="5" s="1"/>
  <c r="T353" i="5"/>
  <c r="K359" i="5" s="1"/>
  <c r="U353" i="5"/>
  <c r="H360" i="5" s="1"/>
  <c r="S353" i="5"/>
  <c r="H359" i="5" s="1"/>
  <c r="F353" i="5"/>
  <c r="E353" i="5"/>
  <c r="D353" i="5"/>
  <c r="I353" i="5"/>
  <c r="C353" i="5"/>
  <c r="B353" i="5"/>
  <c r="A353" i="5"/>
  <c r="L352" i="5"/>
  <c r="Q352" i="5" s="1"/>
  <c r="Z352" i="5"/>
  <c r="Y352" i="5"/>
  <c r="X352" i="5"/>
  <c r="K351" i="5"/>
  <c r="J351" i="5"/>
  <c r="Z351" i="5"/>
  <c r="Y351" i="5"/>
  <c r="X351" i="5"/>
  <c r="H351" i="5"/>
  <c r="W351" i="5" s="1"/>
  <c r="F351" i="5"/>
  <c r="V351" i="5"/>
  <c r="T351" i="5"/>
  <c r="U351" i="5"/>
  <c r="S351" i="5"/>
  <c r="E351" i="5"/>
  <c r="D351" i="5"/>
  <c r="C351" i="5"/>
  <c r="B351" i="5"/>
  <c r="A351" i="5"/>
  <c r="L350" i="5"/>
  <c r="G350" i="5"/>
  <c r="E350" i="5"/>
  <c r="J349" i="5"/>
  <c r="F349" i="5"/>
  <c r="E349" i="5"/>
  <c r="J348" i="5"/>
  <c r="F348" i="5"/>
  <c r="E348" i="5"/>
  <c r="K347" i="5"/>
  <c r="J347" i="5"/>
  <c r="H347" i="5"/>
  <c r="G347" i="5"/>
  <c r="F347" i="5"/>
  <c r="K346" i="5"/>
  <c r="J346" i="5"/>
  <c r="H346" i="5"/>
  <c r="R346" i="5" s="1"/>
  <c r="G346" i="5"/>
  <c r="F346" i="5"/>
  <c r="K345" i="5"/>
  <c r="J345" i="5"/>
  <c r="H345" i="5"/>
  <c r="G345" i="5"/>
  <c r="F345" i="5"/>
  <c r="K344" i="5"/>
  <c r="J344" i="5"/>
  <c r="H344" i="5"/>
  <c r="R344" i="5" s="1"/>
  <c r="G344" i="5"/>
  <c r="F344" i="5"/>
  <c r="C343" i="5"/>
  <c r="V342" i="5"/>
  <c r="T342" i="5"/>
  <c r="K348" i="5" s="1"/>
  <c r="U342" i="5"/>
  <c r="H349" i="5" s="1"/>
  <c r="S342" i="5"/>
  <c r="F342" i="5"/>
  <c r="E342" i="5"/>
  <c r="D342" i="5"/>
  <c r="I342" i="5"/>
  <c r="C342" i="5"/>
  <c r="B342" i="5"/>
  <c r="A342" i="5"/>
  <c r="L341" i="5"/>
  <c r="Q341" i="5" s="1"/>
  <c r="Z341" i="5"/>
  <c r="Y341" i="5"/>
  <c r="X341" i="5"/>
  <c r="K340" i="5"/>
  <c r="J340" i="5"/>
  <c r="Z340" i="5"/>
  <c r="Y340" i="5"/>
  <c r="X340" i="5"/>
  <c r="H340" i="5"/>
  <c r="W340" i="5" s="1"/>
  <c r="F340" i="5"/>
  <c r="V340" i="5"/>
  <c r="T340" i="5"/>
  <c r="U340" i="5"/>
  <c r="S340" i="5"/>
  <c r="E340" i="5"/>
  <c r="D340" i="5"/>
  <c r="C340" i="5"/>
  <c r="B340" i="5"/>
  <c r="A340" i="5"/>
  <c r="K339" i="5"/>
  <c r="J339" i="5"/>
  <c r="Z339" i="5"/>
  <c r="Y339" i="5"/>
  <c r="X339" i="5"/>
  <c r="H339" i="5"/>
  <c r="W339" i="5" s="1"/>
  <c r="F339" i="5"/>
  <c r="V339" i="5"/>
  <c r="T339" i="5"/>
  <c r="U339" i="5"/>
  <c r="S339" i="5"/>
  <c r="E339" i="5"/>
  <c r="D339" i="5"/>
  <c r="C339" i="5"/>
  <c r="B339" i="5"/>
  <c r="A339" i="5"/>
  <c r="L338" i="5"/>
  <c r="G338" i="5"/>
  <c r="E338" i="5"/>
  <c r="J337" i="5"/>
  <c r="F337" i="5"/>
  <c r="E337" i="5"/>
  <c r="J336" i="5"/>
  <c r="F336" i="5"/>
  <c r="E336" i="5"/>
  <c r="K335" i="5"/>
  <c r="J335" i="5"/>
  <c r="H335" i="5"/>
  <c r="R335" i="5" s="1"/>
  <c r="G335" i="5"/>
  <c r="F335" i="5"/>
  <c r="K334" i="5"/>
  <c r="J334" i="5"/>
  <c r="H334" i="5"/>
  <c r="G334" i="5"/>
  <c r="F334" i="5"/>
  <c r="K333" i="5"/>
  <c r="J333" i="5"/>
  <c r="H333" i="5"/>
  <c r="G333" i="5"/>
  <c r="F333" i="5"/>
  <c r="C332" i="5"/>
  <c r="V331" i="5"/>
  <c r="T331" i="5"/>
  <c r="K336" i="5" s="1"/>
  <c r="U331" i="5"/>
  <c r="S331" i="5"/>
  <c r="H336" i="5" s="1"/>
  <c r="F331" i="5"/>
  <c r="E331" i="5"/>
  <c r="D331" i="5"/>
  <c r="I331" i="5"/>
  <c r="C331" i="5"/>
  <c r="B331" i="5"/>
  <c r="A331" i="5"/>
  <c r="L330" i="5"/>
  <c r="Q330" i="5" s="1"/>
  <c r="Z330" i="5"/>
  <c r="Y330" i="5"/>
  <c r="X330" i="5"/>
  <c r="K329" i="5"/>
  <c r="J329" i="5"/>
  <c r="Z329" i="5"/>
  <c r="Y329" i="5"/>
  <c r="X329" i="5"/>
  <c r="H329" i="5"/>
  <c r="W329" i="5" s="1"/>
  <c r="F329" i="5"/>
  <c r="V329" i="5"/>
  <c r="T329" i="5"/>
  <c r="U329" i="5"/>
  <c r="S329" i="5"/>
  <c r="E329" i="5"/>
  <c r="D329" i="5"/>
  <c r="C329" i="5"/>
  <c r="B329" i="5"/>
  <c r="A329" i="5"/>
  <c r="L328" i="5"/>
  <c r="G328" i="5"/>
  <c r="E328" i="5"/>
  <c r="J327" i="5"/>
  <c r="F327" i="5"/>
  <c r="E327" i="5"/>
  <c r="J326" i="5"/>
  <c r="F326" i="5"/>
  <c r="E326" i="5"/>
  <c r="K325" i="5"/>
  <c r="J325" i="5"/>
  <c r="H325" i="5"/>
  <c r="G325" i="5"/>
  <c r="F325" i="5"/>
  <c r="K324" i="5"/>
  <c r="J324" i="5"/>
  <c r="H324" i="5"/>
  <c r="R324" i="5" s="1"/>
  <c r="G324" i="5"/>
  <c r="F324" i="5"/>
  <c r="K323" i="5"/>
  <c r="J323" i="5"/>
  <c r="H323" i="5"/>
  <c r="G323" i="5"/>
  <c r="F323" i="5"/>
  <c r="K322" i="5"/>
  <c r="J322" i="5"/>
  <c r="H322" i="5"/>
  <c r="R322" i="5" s="1"/>
  <c r="G322" i="5"/>
  <c r="F322" i="5"/>
  <c r="V321" i="5"/>
  <c r="K327" i="5" s="1"/>
  <c r="T321" i="5"/>
  <c r="U321" i="5"/>
  <c r="S321" i="5"/>
  <c r="F321" i="5"/>
  <c r="E321" i="5"/>
  <c r="D321" i="5"/>
  <c r="I321" i="5"/>
  <c r="C321" i="5"/>
  <c r="B321" i="5"/>
  <c r="A321" i="5"/>
  <c r="L320" i="5"/>
  <c r="Q320" i="5" s="1"/>
  <c r="Z320" i="5"/>
  <c r="Y320" i="5"/>
  <c r="X320" i="5"/>
  <c r="L319" i="5"/>
  <c r="G319" i="5"/>
  <c r="E319" i="5"/>
  <c r="J318" i="5"/>
  <c r="F318" i="5"/>
  <c r="E318" i="5"/>
  <c r="J317" i="5"/>
  <c r="F317" i="5"/>
  <c r="E317" i="5"/>
  <c r="K316" i="5"/>
  <c r="J316" i="5"/>
  <c r="H316" i="5"/>
  <c r="G316" i="5"/>
  <c r="F316" i="5"/>
  <c r="K315" i="5"/>
  <c r="J315" i="5"/>
  <c r="H315" i="5"/>
  <c r="R315" i="5" s="1"/>
  <c r="G315" i="5"/>
  <c r="F315" i="5"/>
  <c r="K314" i="5"/>
  <c r="J314" i="5"/>
  <c r="H314" i="5"/>
  <c r="G314" i="5"/>
  <c r="F314" i="5"/>
  <c r="K313" i="5"/>
  <c r="J313" i="5"/>
  <c r="H313" i="5"/>
  <c r="R313" i="5" s="1"/>
  <c r="G313" i="5"/>
  <c r="F313" i="5"/>
  <c r="C312" i="5"/>
  <c r="V311" i="5"/>
  <c r="K318" i="5" s="1"/>
  <c r="T311" i="5"/>
  <c r="K317" i="5" s="1"/>
  <c r="U311" i="5"/>
  <c r="H318" i="5" s="1"/>
  <c r="S311" i="5"/>
  <c r="H317" i="5" s="1"/>
  <c r="F311" i="5"/>
  <c r="E311" i="5"/>
  <c r="D311" i="5"/>
  <c r="I311" i="5"/>
  <c r="C311" i="5"/>
  <c r="B311" i="5"/>
  <c r="A311" i="5"/>
  <c r="L310" i="5"/>
  <c r="Q310" i="5" s="1"/>
  <c r="Z310" i="5"/>
  <c r="Y310" i="5"/>
  <c r="X310" i="5"/>
  <c r="L309" i="5"/>
  <c r="G309" i="5"/>
  <c r="E309" i="5"/>
  <c r="J308" i="5"/>
  <c r="F308" i="5"/>
  <c r="E308" i="5"/>
  <c r="J307" i="5"/>
  <c r="F307" i="5"/>
  <c r="E307" i="5"/>
  <c r="K306" i="5"/>
  <c r="J306" i="5"/>
  <c r="H306" i="5"/>
  <c r="G306" i="5"/>
  <c r="F306" i="5"/>
  <c r="K305" i="5"/>
  <c r="J305" i="5"/>
  <c r="H305" i="5"/>
  <c r="R305" i="5" s="1"/>
  <c r="G305" i="5"/>
  <c r="F305" i="5"/>
  <c r="K304" i="5"/>
  <c r="J304" i="5"/>
  <c r="H304" i="5"/>
  <c r="G304" i="5"/>
  <c r="F304" i="5"/>
  <c r="K303" i="5"/>
  <c r="J303" i="5"/>
  <c r="H303" i="5"/>
  <c r="R303" i="5" s="1"/>
  <c r="G303" i="5"/>
  <c r="F303" i="5"/>
  <c r="C302" i="5"/>
  <c r="V301" i="5"/>
  <c r="K308" i="5" s="1"/>
  <c r="T301" i="5"/>
  <c r="K307" i="5" s="1"/>
  <c r="U301" i="5"/>
  <c r="H308" i="5" s="1"/>
  <c r="S301" i="5"/>
  <c r="H307" i="5" s="1"/>
  <c r="F301" i="5"/>
  <c r="E301" i="5"/>
  <c r="D301" i="5"/>
  <c r="I301" i="5"/>
  <c r="C301" i="5"/>
  <c r="B301" i="5"/>
  <c r="A301" i="5"/>
  <c r="L300" i="5"/>
  <c r="Q300" i="5" s="1"/>
  <c r="Z300" i="5"/>
  <c r="Y300" i="5"/>
  <c r="X300" i="5"/>
  <c r="K299" i="5"/>
  <c r="J299" i="5"/>
  <c r="Z299" i="5"/>
  <c r="Y299" i="5"/>
  <c r="X299" i="5"/>
  <c r="H299" i="5"/>
  <c r="W299" i="5" s="1"/>
  <c r="F299" i="5"/>
  <c r="V299" i="5"/>
  <c r="T299" i="5"/>
  <c r="U299" i="5"/>
  <c r="S299" i="5"/>
  <c r="E299" i="5"/>
  <c r="D299" i="5"/>
  <c r="C299" i="5"/>
  <c r="B299" i="5"/>
  <c r="A299" i="5"/>
  <c r="K298" i="5"/>
  <c r="J298" i="5"/>
  <c r="Z298" i="5"/>
  <c r="Y298" i="5"/>
  <c r="X298" i="5"/>
  <c r="H298" i="5"/>
  <c r="W298" i="5" s="1"/>
  <c r="F298" i="5"/>
  <c r="V298" i="5"/>
  <c r="T298" i="5"/>
  <c r="U298" i="5"/>
  <c r="S298" i="5"/>
  <c r="E298" i="5"/>
  <c r="D298" i="5"/>
  <c r="C298" i="5"/>
  <c r="B298" i="5"/>
  <c r="A298" i="5"/>
  <c r="K297" i="5"/>
  <c r="J297" i="5"/>
  <c r="Z297" i="5"/>
  <c r="Y297" i="5"/>
  <c r="X297" i="5"/>
  <c r="H297" i="5"/>
  <c r="W297" i="5" s="1"/>
  <c r="F297" i="5"/>
  <c r="V297" i="5"/>
  <c r="T297" i="5"/>
  <c r="U297" i="5"/>
  <c r="S297" i="5"/>
  <c r="E297" i="5"/>
  <c r="D297" i="5"/>
  <c r="C297" i="5"/>
  <c r="B297" i="5"/>
  <c r="A297" i="5"/>
  <c r="K296" i="5"/>
  <c r="J296" i="5"/>
  <c r="Z296" i="5"/>
  <c r="Y296" i="5"/>
  <c r="X296" i="5"/>
  <c r="H296" i="5"/>
  <c r="W296" i="5" s="1"/>
  <c r="F296" i="5"/>
  <c r="V296" i="5"/>
  <c r="T296" i="5"/>
  <c r="U296" i="5"/>
  <c r="S296" i="5"/>
  <c r="E296" i="5"/>
  <c r="D296" i="5"/>
  <c r="C296" i="5"/>
  <c r="B296" i="5"/>
  <c r="A296" i="5"/>
  <c r="K295" i="5"/>
  <c r="J295" i="5"/>
  <c r="Z295" i="5"/>
  <c r="Y295" i="5"/>
  <c r="X295" i="5"/>
  <c r="H295" i="5"/>
  <c r="W295" i="5" s="1"/>
  <c r="F295" i="5"/>
  <c r="V295" i="5"/>
  <c r="T295" i="5"/>
  <c r="U295" i="5"/>
  <c r="S295" i="5"/>
  <c r="E295" i="5"/>
  <c r="D295" i="5"/>
  <c r="C295" i="5"/>
  <c r="B295" i="5"/>
  <c r="A295" i="5"/>
  <c r="K294" i="5"/>
  <c r="J294" i="5"/>
  <c r="Z294" i="5"/>
  <c r="Y294" i="5"/>
  <c r="X294" i="5"/>
  <c r="H294" i="5"/>
  <c r="W294" i="5" s="1"/>
  <c r="F294" i="5"/>
  <c r="V294" i="5"/>
  <c r="T294" i="5"/>
  <c r="U294" i="5"/>
  <c r="S294" i="5"/>
  <c r="E294" i="5"/>
  <c r="D294" i="5"/>
  <c r="C294" i="5"/>
  <c r="B294" i="5"/>
  <c r="A294" i="5"/>
  <c r="K293" i="5"/>
  <c r="J293" i="5"/>
  <c r="Z293" i="5"/>
  <c r="Y293" i="5"/>
  <c r="X293" i="5"/>
  <c r="H293" i="5"/>
  <c r="W293" i="5" s="1"/>
  <c r="F293" i="5"/>
  <c r="V293" i="5"/>
  <c r="T293" i="5"/>
  <c r="U293" i="5"/>
  <c r="S293" i="5"/>
  <c r="E293" i="5"/>
  <c r="D293" i="5"/>
  <c r="C293" i="5"/>
  <c r="B293" i="5"/>
  <c r="A293" i="5"/>
  <c r="L292" i="5"/>
  <c r="G292" i="5"/>
  <c r="E292" i="5"/>
  <c r="J291" i="5"/>
  <c r="F291" i="5"/>
  <c r="E291" i="5"/>
  <c r="J290" i="5"/>
  <c r="F290" i="5"/>
  <c r="E290" i="5"/>
  <c r="K289" i="5"/>
  <c r="J289" i="5"/>
  <c r="H289" i="5"/>
  <c r="G289" i="5"/>
  <c r="F289" i="5"/>
  <c r="K288" i="5"/>
  <c r="J288" i="5"/>
  <c r="H288" i="5"/>
  <c r="R288" i="5" s="1"/>
  <c r="G288" i="5"/>
  <c r="F288" i="5"/>
  <c r="K287" i="5"/>
  <c r="J287" i="5"/>
  <c r="H287" i="5"/>
  <c r="G287" i="5"/>
  <c r="F287" i="5"/>
  <c r="K286" i="5"/>
  <c r="J286" i="5"/>
  <c r="H286" i="5"/>
  <c r="R286" i="5" s="1"/>
  <c r="G286" i="5"/>
  <c r="F286" i="5"/>
  <c r="C285" i="5"/>
  <c r="V284" i="5"/>
  <c r="T284" i="5"/>
  <c r="U284" i="5"/>
  <c r="S284" i="5"/>
  <c r="F284" i="5"/>
  <c r="E284" i="5"/>
  <c r="D284" i="5"/>
  <c r="I284" i="5"/>
  <c r="C284" i="5"/>
  <c r="B284" i="5"/>
  <c r="A284" i="5"/>
  <c r="L283" i="5"/>
  <c r="Q283" i="5" s="1"/>
  <c r="Z283" i="5"/>
  <c r="Y283" i="5"/>
  <c r="X283" i="5"/>
  <c r="L282" i="5"/>
  <c r="G282" i="5"/>
  <c r="E282" i="5"/>
  <c r="J281" i="5"/>
  <c r="F281" i="5"/>
  <c r="E281" i="5"/>
  <c r="J280" i="5"/>
  <c r="F280" i="5"/>
  <c r="E280" i="5"/>
  <c r="K279" i="5"/>
  <c r="J279" i="5"/>
  <c r="H279" i="5"/>
  <c r="G279" i="5"/>
  <c r="F279" i="5"/>
  <c r="K278" i="5"/>
  <c r="J278" i="5"/>
  <c r="H278" i="5"/>
  <c r="R278" i="5" s="1"/>
  <c r="G278" i="5"/>
  <c r="F278" i="5"/>
  <c r="K277" i="5"/>
  <c r="J277" i="5"/>
  <c r="H277" i="5"/>
  <c r="G277" i="5"/>
  <c r="F277" i="5"/>
  <c r="K276" i="5"/>
  <c r="J276" i="5"/>
  <c r="H276" i="5"/>
  <c r="G276" i="5"/>
  <c r="F276" i="5"/>
  <c r="C275" i="5"/>
  <c r="V274" i="5"/>
  <c r="K281" i="5" s="1"/>
  <c r="T274" i="5"/>
  <c r="K280" i="5" s="1"/>
  <c r="U274" i="5"/>
  <c r="H281" i="5" s="1"/>
  <c r="S274" i="5"/>
  <c r="H280" i="5" s="1"/>
  <c r="F274" i="5"/>
  <c r="E274" i="5"/>
  <c r="D274" i="5"/>
  <c r="I274" i="5"/>
  <c r="C274" i="5"/>
  <c r="B274" i="5"/>
  <c r="A274" i="5"/>
  <c r="L273" i="5"/>
  <c r="Q273" i="5" s="1"/>
  <c r="Z273" i="5"/>
  <c r="Y273" i="5"/>
  <c r="X273" i="5"/>
  <c r="K272" i="5"/>
  <c r="J272" i="5"/>
  <c r="Z272" i="5"/>
  <c r="Y272" i="5"/>
  <c r="X272" i="5"/>
  <c r="H272" i="5"/>
  <c r="W272" i="5" s="1"/>
  <c r="F272" i="5"/>
  <c r="V272" i="5"/>
  <c r="T272" i="5"/>
  <c r="U272" i="5"/>
  <c r="S272" i="5"/>
  <c r="E272" i="5"/>
  <c r="D272" i="5"/>
  <c r="C272" i="5"/>
  <c r="B272" i="5"/>
  <c r="A272" i="5"/>
  <c r="L271" i="5"/>
  <c r="G271" i="5"/>
  <c r="E271" i="5"/>
  <c r="J270" i="5"/>
  <c r="F270" i="5"/>
  <c r="E270" i="5"/>
  <c r="J269" i="5"/>
  <c r="F269" i="5"/>
  <c r="E269" i="5"/>
  <c r="K268" i="5"/>
  <c r="J268" i="5"/>
  <c r="H268" i="5"/>
  <c r="R268" i="5" s="1"/>
  <c r="G268" i="5"/>
  <c r="F268" i="5"/>
  <c r="K267" i="5"/>
  <c r="J267" i="5"/>
  <c r="H267" i="5"/>
  <c r="G267" i="5"/>
  <c r="F267" i="5"/>
  <c r="K266" i="5"/>
  <c r="J266" i="5"/>
  <c r="H266" i="5"/>
  <c r="R266" i="5" s="1"/>
  <c r="G266" i="5"/>
  <c r="F266" i="5"/>
  <c r="C265" i="5"/>
  <c r="V264" i="5"/>
  <c r="T264" i="5"/>
  <c r="U264" i="5"/>
  <c r="H270" i="5" s="1"/>
  <c r="S264" i="5"/>
  <c r="F264" i="5"/>
  <c r="E264" i="5"/>
  <c r="D264" i="5"/>
  <c r="I264" i="5"/>
  <c r="C264" i="5"/>
  <c r="B264" i="5"/>
  <c r="A264" i="5"/>
  <c r="L263" i="5"/>
  <c r="Q263" i="5" s="1"/>
  <c r="Z263" i="5"/>
  <c r="Y263" i="5"/>
  <c r="X263" i="5"/>
  <c r="K262" i="5"/>
  <c r="J262" i="5"/>
  <c r="Z262" i="5"/>
  <c r="Y262" i="5"/>
  <c r="X262" i="5"/>
  <c r="H262" i="5"/>
  <c r="W262" i="5" s="1"/>
  <c r="F262" i="5"/>
  <c r="V262" i="5"/>
  <c r="T262" i="5"/>
  <c r="U262" i="5"/>
  <c r="S262" i="5"/>
  <c r="E262" i="5"/>
  <c r="D262" i="5"/>
  <c r="C262" i="5"/>
  <c r="B262" i="5"/>
  <c r="A262" i="5"/>
  <c r="L261" i="5"/>
  <c r="G261" i="5"/>
  <c r="E261" i="5"/>
  <c r="J260" i="5"/>
  <c r="F260" i="5"/>
  <c r="E260" i="5"/>
  <c r="J259" i="5"/>
  <c r="F259" i="5"/>
  <c r="E259" i="5"/>
  <c r="K258" i="5"/>
  <c r="J258" i="5"/>
  <c r="H258" i="5"/>
  <c r="G258" i="5"/>
  <c r="F258" i="5"/>
  <c r="K257" i="5"/>
  <c r="J257" i="5"/>
  <c r="H257" i="5"/>
  <c r="R257" i="5" s="1"/>
  <c r="G257" i="5"/>
  <c r="F257" i="5"/>
  <c r="K256" i="5"/>
  <c r="J256" i="5"/>
  <c r="H256" i="5"/>
  <c r="G256" i="5"/>
  <c r="F256" i="5"/>
  <c r="K255" i="5"/>
  <c r="J255" i="5"/>
  <c r="H255" i="5"/>
  <c r="G255" i="5"/>
  <c r="F255" i="5"/>
  <c r="C254" i="5"/>
  <c r="V253" i="5"/>
  <c r="T253" i="5"/>
  <c r="U253" i="5"/>
  <c r="H260" i="5" s="1"/>
  <c r="S253" i="5"/>
  <c r="F253" i="5"/>
  <c r="E253" i="5"/>
  <c r="D253" i="5"/>
  <c r="I253" i="5"/>
  <c r="C253" i="5"/>
  <c r="B253" i="5"/>
  <c r="A253" i="5"/>
  <c r="L252" i="5"/>
  <c r="Q252" i="5" s="1"/>
  <c r="Z252" i="5"/>
  <c r="Y252" i="5"/>
  <c r="X252" i="5"/>
  <c r="L251" i="5"/>
  <c r="G251" i="5"/>
  <c r="E251" i="5"/>
  <c r="J250" i="5"/>
  <c r="F250" i="5"/>
  <c r="E250" i="5"/>
  <c r="J249" i="5"/>
  <c r="F249" i="5"/>
  <c r="E249" i="5"/>
  <c r="K248" i="5"/>
  <c r="J248" i="5"/>
  <c r="H248" i="5"/>
  <c r="G248" i="5"/>
  <c r="F248" i="5"/>
  <c r="K247" i="5"/>
  <c r="J247" i="5"/>
  <c r="H247" i="5"/>
  <c r="R247" i="5" s="1"/>
  <c r="G247" i="5"/>
  <c r="F247" i="5"/>
  <c r="K246" i="5"/>
  <c r="J246" i="5"/>
  <c r="H246" i="5"/>
  <c r="G246" i="5"/>
  <c r="F246" i="5"/>
  <c r="K245" i="5"/>
  <c r="J245" i="5"/>
  <c r="H245" i="5"/>
  <c r="G245" i="5"/>
  <c r="F245" i="5"/>
  <c r="C244" i="5"/>
  <c r="V243" i="5"/>
  <c r="K250" i="5" s="1"/>
  <c r="T243" i="5"/>
  <c r="K249" i="5" s="1"/>
  <c r="U243" i="5"/>
  <c r="H250" i="5" s="1"/>
  <c r="S243" i="5"/>
  <c r="H249" i="5" s="1"/>
  <c r="F243" i="5"/>
  <c r="E243" i="5"/>
  <c r="D243" i="5"/>
  <c r="I243" i="5"/>
  <c r="C243" i="5"/>
  <c r="B243" i="5"/>
  <c r="A243" i="5"/>
  <c r="L242" i="5"/>
  <c r="Q242" i="5" s="1"/>
  <c r="Z242" i="5"/>
  <c r="Y242" i="5"/>
  <c r="X242" i="5"/>
  <c r="K241" i="5"/>
  <c r="J241" i="5"/>
  <c r="Z241" i="5"/>
  <c r="Y241" i="5"/>
  <c r="X241" i="5"/>
  <c r="H241" i="5"/>
  <c r="W241" i="5" s="1"/>
  <c r="F241" i="5"/>
  <c r="V241" i="5"/>
  <c r="T241" i="5"/>
  <c r="U241" i="5"/>
  <c r="S241" i="5"/>
  <c r="E241" i="5"/>
  <c r="D241" i="5"/>
  <c r="C241" i="5"/>
  <c r="B241" i="5"/>
  <c r="A241" i="5"/>
  <c r="L240" i="5"/>
  <c r="G240" i="5"/>
  <c r="E240" i="5"/>
  <c r="J239" i="5"/>
  <c r="E239" i="5"/>
  <c r="J238" i="5"/>
  <c r="E238" i="5"/>
  <c r="K237" i="5"/>
  <c r="J237" i="5"/>
  <c r="H237" i="5"/>
  <c r="G237" i="5"/>
  <c r="F237" i="5"/>
  <c r="K236" i="5"/>
  <c r="J236" i="5"/>
  <c r="H236" i="5"/>
  <c r="G236" i="5"/>
  <c r="F236" i="5"/>
  <c r="K235" i="5"/>
  <c r="J235" i="5"/>
  <c r="H235" i="5"/>
  <c r="R235" i="5" s="1"/>
  <c r="G235" i="5"/>
  <c r="F235" i="5"/>
  <c r="C234" i="5"/>
  <c r="V233" i="5"/>
  <c r="K239" i="5" s="1"/>
  <c r="T233" i="5"/>
  <c r="K238" i="5" s="1"/>
  <c r="U233" i="5"/>
  <c r="H239" i="5" s="1"/>
  <c r="S233" i="5"/>
  <c r="F233" i="5"/>
  <c r="E233" i="5"/>
  <c r="D233" i="5"/>
  <c r="I233" i="5"/>
  <c r="C233" i="5"/>
  <c r="B233" i="5"/>
  <c r="A233" i="5"/>
  <c r="L232" i="5"/>
  <c r="Q232" i="5" s="1"/>
  <c r="Z232" i="5"/>
  <c r="Y232" i="5"/>
  <c r="X232" i="5"/>
  <c r="K231" i="5"/>
  <c r="J231" i="5"/>
  <c r="Z231" i="5"/>
  <c r="Y231" i="5"/>
  <c r="X231" i="5"/>
  <c r="H231" i="5"/>
  <c r="W231" i="5" s="1"/>
  <c r="F231" i="5"/>
  <c r="V231" i="5"/>
  <c r="T231" i="5"/>
  <c r="U231" i="5"/>
  <c r="S231" i="5"/>
  <c r="E231" i="5"/>
  <c r="D231" i="5"/>
  <c r="C231" i="5"/>
  <c r="B231" i="5"/>
  <c r="A231" i="5"/>
  <c r="L230" i="5"/>
  <c r="G230" i="5"/>
  <c r="E230" i="5"/>
  <c r="J229" i="5"/>
  <c r="F229" i="5"/>
  <c r="E229" i="5"/>
  <c r="J228" i="5"/>
  <c r="F228" i="5"/>
  <c r="E228" i="5"/>
  <c r="K227" i="5"/>
  <c r="J227" i="5"/>
  <c r="H227" i="5"/>
  <c r="G227" i="5"/>
  <c r="F227" i="5"/>
  <c r="K226" i="5"/>
  <c r="J226" i="5"/>
  <c r="H226" i="5"/>
  <c r="R226" i="5" s="1"/>
  <c r="G226" i="5"/>
  <c r="F226" i="5"/>
  <c r="K225" i="5"/>
  <c r="J225" i="5"/>
  <c r="H225" i="5"/>
  <c r="G225" i="5"/>
  <c r="F225" i="5"/>
  <c r="K224" i="5"/>
  <c r="J224" i="5"/>
  <c r="H224" i="5"/>
  <c r="G224" i="5"/>
  <c r="F224" i="5"/>
  <c r="V223" i="5"/>
  <c r="T223" i="5"/>
  <c r="U223" i="5"/>
  <c r="S223" i="5"/>
  <c r="H228" i="5" s="1"/>
  <c r="F223" i="5"/>
  <c r="E223" i="5"/>
  <c r="D223" i="5"/>
  <c r="I223" i="5"/>
  <c r="C223" i="5"/>
  <c r="B223" i="5"/>
  <c r="A223" i="5"/>
  <c r="L222" i="5"/>
  <c r="Q222" i="5" s="1"/>
  <c r="Z222" i="5"/>
  <c r="Y222" i="5"/>
  <c r="X222" i="5"/>
  <c r="K221" i="5"/>
  <c r="J221" i="5"/>
  <c r="Z221" i="5"/>
  <c r="Y221" i="5"/>
  <c r="X221" i="5"/>
  <c r="H221" i="5"/>
  <c r="W221" i="5" s="1"/>
  <c r="F221" i="5"/>
  <c r="V221" i="5"/>
  <c r="T221" i="5"/>
  <c r="U221" i="5"/>
  <c r="S221" i="5"/>
  <c r="E221" i="5"/>
  <c r="D221" i="5"/>
  <c r="C221" i="5"/>
  <c r="B221" i="5"/>
  <c r="A221" i="5"/>
  <c r="K220" i="5"/>
  <c r="J220" i="5"/>
  <c r="Z220" i="5"/>
  <c r="Y220" i="5"/>
  <c r="X220" i="5"/>
  <c r="H220" i="5"/>
  <c r="W220" i="5" s="1"/>
  <c r="F220" i="5"/>
  <c r="V220" i="5"/>
  <c r="T220" i="5"/>
  <c r="U220" i="5"/>
  <c r="S220" i="5"/>
  <c r="E220" i="5"/>
  <c r="D220" i="5"/>
  <c r="C220" i="5"/>
  <c r="B220" i="5"/>
  <c r="A220" i="5"/>
  <c r="K219" i="5"/>
  <c r="J219" i="5"/>
  <c r="Z219" i="5"/>
  <c r="Y219" i="5"/>
  <c r="X219" i="5"/>
  <c r="H219" i="5"/>
  <c r="W219" i="5" s="1"/>
  <c r="F219" i="5"/>
  <c r="V219" i="5"/>
  <c r="T219" i="5"/>
  <c r="U219" i="5"/>
  <c r="S219" i="5"/>
  <c r="E219" i="5"/>
  <c r="D219" i="5"/>
  <c r="C219" i="5"/>
  <c r="B219" i="5"/>
  <c r="A219" i="5"/>
  <c r="L218" i="5"/>
  <c r="G218" i="5"/>
  <c r="E218" i="5"/>
  <c r="J217" i="5"/>
  <c r="F217" i="5"/>
  <c r="E217" i="5"/>
  <c r="J216" i="5"/>
  <c r="F216" i="5"/>
  <c r="E216" i="5"/>
  <c r="K215" i="5"/>
  <c r="J215" i="5"/>
  <c r="H215" i="5"/>
  <c r="G215" i="5"/>
  <c r="F215" i="5"/>
  <c r="K214" i="5"/>
  <c r="J214" i="5"/>
  <c r="H214" i="5"/>
  <c r="R214" i="5" s="1"/>
  <c r="G214" i="5"/>
  <c r="F214" i="5"/>
  <c r="K213" i="5"/>
  <c r="J213" i="5"/>
  <c r="H213" i="5"/>
  <c r="G213" i="5"/>
  <c r="F213" i="5"/>
  <c r="K212" i="5"/>
  <c r="J212" i="5"/>
  <c r="H212" i="5"/>
  <c r="R212" i="5" s="1"/>
  <c r="G212" i="5"/>
  <c r="F212" i="5"/>
  <c r="C211" i="5"/>
  <c r="V210" i="5"/>
  <c r="T210" i="5"/>
  <c r="U210" i="5"/>
  <c r="S210" i="5"/>
  <c r="H216" i="5" s="1"/>
  <c r="F210" i="5"/>
  <c r="E210" i="5"/>
  <c r="D210" i="5"/>
  <c r="I210" i="5"/>
  <c r="C210" i="5"/>
  <c r="B210" i="5"/>
  <c r="A210" i="5"/>
  <c r="Q209" i="5"/>
  <c r="L209" i="5"/>
  <c r="Z209" i="5"/>
  <c r="Y209" i="5"/>
  <c r="X209" i="5"/>
  <c r="K208" i="5"/>
  <c r="J208" i="5"/>
  <c r="Z208" i="5"/>
  <c r="Y208" i="5"/>
  <c r="X208" i="5"/>
  <c r="H208" i="5"/>
  <c r="W208" i="5" s="1"/>
  <c r="F208" i="5"/>
  <c r="V208" i="5"/>
  <c r="T208" i="5"/>
  <c r="U208" i="5"/>
  <c r="S208" i="5"/>
  <c r="E208" i="5"/>
  <c r="D208" i="5"/>
  <c r="C208" i="5"/>
  <c r="B208" i="5"/>
  <c r="A208" i="5"/>
  <c r="K207" i="5"/>
  <c r="J207" i="5"/>
  <c r="Z207" i="5"/>
  <c r="Y207" i="5"/>
  <c r="X207" i="5"/>
  <c r="H207" i="5"/>
  <c r="W207" i="5" s="1"/>
  <c r="F207" i="5"/>
  <c r="V207" i="5"/>
  <c r="T207" i="5"/>
  <c r="U207" i="5"/>
  <c r="S207" i="5"/>
  <c r="E207" i="5"/>
  <c r="D207" i="5"/>
  <c r="C207" i="5"/>
  <c r="B207" i="5"/>
  <c r="A207" i="5"/>
  <c r="K206" i="5"/>
  <c r="J206" i="5"/>
  <c r="Z206" i="5"/>
  <c r="Y206" i="5"/>
  <c r="X206" i="5"/>
  <c r="H206" i="5"/>
  <c r="W206" i="5" s="1"/>
  <c r="F206" i="5"/>
  <c r="V206" i="5"/>
  <c r="T206" i="5"/>
  <c r="U206" i="5"/>
  <c r="S206" i="5"/>
  <c r="E206" i="5"/>
  <c r="D206" i="5"/>
  <c r="C206" i="5"/>
  <c r="B206" i="5"/>
  <c r="A206" i="5"/>
  <c r="L205" i="5"/>
  <c r="G205" i="5"/>
  <c r="E205" i="5"/>
  <c r="J204" i="5"/>
  <c r="F204" i="5"/>
  <c r="E204" i="5"/>
  <c r="J203" i="5"/>
  <c r="F203" i="5"/>
  <c r="E203" i="5"/>
  <c r="K202" i="5"/>
  <c r="J202" i="5"/>
  <c r="H202" i="5"/>
  <c r="G202" i="5"/>
  <c r="F202" i="5"/>
  <c r="K201" i="5"/>
  <c r="J201" i="5"/>
  <c r="H201" i="5"/>
  <c r="R201" i="5" s="1"/>
  <c r="G201" i="5"/>
  <c r="F201" i="5"/>
  <c r="K200" i="5"/>
  <c r="J200" i="5"/>
  <c r="H200" i="5"/>
  <c r="G200" i="5"/>
  <c r="F200" i="5"/>
  <c r="K199" i="5"/>
  <c r="J199" i="5"/>
  <c r="H199" i="5"/>
  <c r="R199" i="5" s="1"/>
  <c r="G199" i="5"/>
  <c r="F199" i="5"/>
  <c r="C198" i="5"/>
  <c r="V197" i="5"/>
  <c r="T197" i="5"/>
  <c r="K203" i="5" s="1"/>
  <c r="U197" i="5"/>
  <c r="S197" i="5"/>
  <c r="F197" i="5"/>
  <c r="E197" i="5"/>
  <c r="D197" i="5"/>
  <c r="I197" i="5"/>
  <c r="C197" i="5"/>
  <c r="B197" i="5"/>
  <c r="A197" i="5"/>
  <c r="L196" i="5"/>
  <c r="Q196" i="5" s="1"/>
  <c r="Z196" i="5"/>
  <c r="Y196" i="5"/>
  <c r="X196" i="5"/>
  <c r="K195" i="5"/>
  <c r="J195" i="5"/>
  <c r="Z195" i="5"/>
  <c r="Y195" i="5"/>
  <c r="X195" i="5"/>
  <c r="H195" i="5"/>
  <c r="W195" i="5" s="1"/>
  <c r="F195" i="5"/>
  <c r="V195" i="5"/>
  <c r="T195" i="5"/>
  <c r="U195" i="5"/>
  <c r="S195" i="5"/>
  <c r="E195" i="5"/>
  <c r="D195" i="5"/>
  <c r="C195" i="5"/>
  <c r="B195" i="5"/>
  <c r="A195" i="5"/>
  <c r="K194" i="5"/>
  <c r="J194" i="5"/>
  <c r="Z194" i="5"/>
  <c r="Y194" i="5"/>
  <c r="X194" i="5"/>
  <c r="H194" i="5"/>
  <c r="W194" i="5" s="1"/>
  <c r="F194" i="5"/>
  <c r="V194" i="5"/>
  <c r="T194" i="5"/>
  <c r="U194" i="5"/>
  <c r="S194" i="5"/>
  <c r="E194" i="5"/>
  <c r="D194" i="5"/>
  <c r="C194" i="5"/>
  <c r="B194" i="5"/>
  <c r="A194" i="5"/>
  <c r="L193" i="5"/>
  <c r="G193" i="5"/>
  <c r="E193" i="5"/>
  <c r="J192" i="5"/>
  <c r="F192" i="5"/>
  <c r="E192" i="5"/>
  <c r="J191" i="5"/>
  <c r="F191" i="5"/>
  <c r="E191" i="5"/>
  <c r="K190" i="5"/>
  <c r="J190" i="5"/>
  <c r="H190" i="5"/>
  <c r="G190" i="5"/>
  <c r="F190" i="5"/>
  <c r="K189" i="5"/>
  <c r="J189" i="5"/>
  <c r="H189" i="5"/>
  <c r="R189" i="5" s="1"/>
  <c r="G189" i="5"/>
  <c r="F189" i="5"/>
  <c r="C188" i="5"/>
  <c r="V187" i="5"/>
  <c r="T187" i="5"/>
  <c r="U187" i="5"/>
  <c r="S187" i="5"/>
  <c r="F187" i="5"/>
  <c r="E187" i="5"/>
  <c r="D187" i="5"/>
  <c r="I187" i="5"/>
  <c r="C187" i="5"/>
  <c r="B187" i="5"/>
  <c r="A187" i="5"/>
  <c r="L186" i="5"/>
  <c r="Q186" i="5" s="1"/>
  <c r="Z186" i="5"/>
  <c r="Y186" i="5"/>
  <c r="X186" i="5"/>
  <c r="K185" i="5"/>
  <c r="J185" i="5"/>
  <c r="Z185" i="5"/>
  <c r="Y185" i="5"/>
  <c r="X185" i="5"/>
  <c r="H185" i="5"/>
  <c r="W185" i="5" s="1"/>
  <c r="F185" i="5"/>
  <c r="V185" i="5"/>
  <c r="T185" i="5"/>
  <c r="U185" i="5"/>
  <c r="S185" i="5"/>
  <c r="E185" i="5"/>
  <c r="D185" i="5"/>
  <c r="C185" i="5"/>
  <c r="B185" i="5"/>
  <c r="A185" i="5"/>
  <c r="L184" i="5"/>
  <c r="G184" i="5"/>
  <c r="E184" i="5"/>
  <c r="J183" i="5"/>
  <c r="F183" i="5"/>
  <c r="E183" i="5"/>
  <c r="J182" i="5"/>
  <c r="F182" i="5"/>
  <c r="E182" i="5"/>
  <c r="K181" i="5"/>
  <c r="J181" i="5"/>
  <c r="H181" i="5"/>
  <c r="G181" i="5"/>
  <c r="F181" i="5"/>
  <c r="K180" i="5"/>
  <c r="J180" i="5"/>
  <c r="H180" i="5"/>
  <c r="R180" i="5" s="1"/>
  <c r="G180" i="5"/>
  <c r="F180" i="5"/>
  <c r="K179" i="5"/>
  <c r="J179" i="5"/>
  <c r="H179" i="5"/>
  <c r="G179" i="5"/>
  <c r="F179" i="5"/>
  <c r="K178" i="5"/>
  <c r="J178" i="5"/>
  <c r="H178" i="5"/>
  <c r="R178" i="5" s="1"/>
  <c r="G178" i="5"/>
  <c r="F178" i="5"/>
  <c r="C177" i="5"/>
  <c r="V176" i="5"/>
  <c r="T176" i="5"/>
  <c r="K182" i="5" s="1"/>
  <c r="U176" i="5"/>
  <c r="S176" i="5"/>
  <c r="H182" i="5" s="1"/>
  <c r="F176" i="5"/>
  <c r="E176" i="5"/>
  <c r="D176" i="5"/>
  <c r="I176" i="5"/>
  <c r="C176" i="5"/>
  <c r="B176" i="5"/>
  <c r="A176" i="5"/>
  <c r="Q175" i="5"/>
  <c r="L175" i="5"/>
  <c r="Z175" i="5"/>
  <c r="Y175" i="5"/>
  <c r="X175" i="5"/>
  <c r="K174" i="5"/>
  <c r="J174" i="5"/>
  <c r="Z174" i="5"/>
  <c r="Y174" i="5"/>
  <c r="X174" i="5"/>
  <c r="H174" i="5"/>
  <c r="W174" i="5" s="1"/>
  <c r="F174" i="5"/>
  <c r="V174" i="5"/>
  <c r="T174" i="5"/>
  <c r="U174" i="5"/>
  <c r="S174" i="5"/>
  <c r="E174" i="5"/>
  <c r="D174" i="5"/>
  <c r="C174" i="5"/>
  <c r="B174" i="5"/>
  <c r="A174" i="5"/>
  <c r="L173" i="5"/>
  <c r="G173" i="5"/>
  <c r="E173" i="5"/>
  <c r="J172" i="5"/>
  <c r="F172" i="5"/>
  <c r="E172" i="5"/>
  <c r="J171" i="5"/>
  <c r="F171" i="5"/>
  <c r="E171" i="5"/>
  <c r="K170" i="5"/>
  <c r="J170" i="5"/>
  <c r="H170" i="5"/>
  <c r="G170" i="5"/>
  <c r="F170" i="5"/>
  <c r="K169" i="5"/>
  <c r="J169" i="5"/>
  <c r="H169" i="5"/>
  <c r="G169" i="5"/>
  <c r="F169" i="5"/>
  <c r="K168" i="5"/>
  <c r="J168" i="5"/>
  <c r="H168" i="5"/>
  <c r="R168" i="5" s="1"/>
  <c r="G168" i="5"/>
  <c r="F168" i="5"/>
  <c r="V167" i="5"/>
  <c r="T167" i="5"/>
  <c r="K171" i="5" s="1"/>
  <c r="U167" i="5"/>
  <c r="H172" i="5" s="1"/>
  <c r="S167" i="5"/>
  <c r="F167" i="5"/>
  <c r="E167" i="5"/>
  <c r="D167" i="5"/>
  <c r="I167" i="5"/>
  <c r="C167" i="5"/>
  <c r="B167" i="5"/>
  <c r="A167" i="5"/>
  <c r="L166" i="5"/>
  <c r="Q166" i="5" s="1"/>
  <c r="Z166" i="5"/>
  <c r="Y166" i="5"/>
  <c r="X166" i="5"/>
  <c r="K165" i="5"/>
  <c r="J165" i="5"/>
  <c r="Z165" i="5"/>
  <c r="Y165" i="5"/>
  <c r="X165" i="5"/>
  <c r="H165" i="5"/>
  <c r="W165" i="5" s="1"/>
  <c r="F165" i="5"/>
  <c r="V165" i="5"/>
  <c r="T165" i="5"/>
  <c r="U165" i="5"/>
  <c r="S165" i="5"/>
  <c r="E165" i="5"/>
  <c r="D165" i="5"/>
  <c r="C165" i="5"/>
  <c r="B165" i="5"/>
  <c r="A165" i="5"/>
  <c r="L164" i="5"/>
  <c r="G164" i="5"/>
  <c r="E164" i="5"/>
  <c r="J163" i="5"/>
  <c r="F163" i="5"/>
  <c r="E163" i="5"/>
  <c r="J162" i="5"/>
  <c r="F162" i="5"/>
  <c r="E162" i="5"/>
  <c r="K161" i="5"/>
  <c r="J161" i="5"/>
  <c r="H161" i="5"/>
  <c r="G161" i="5"/>
  <c r="F161" i="5"/>
  <c r="K160" i="5"/>
  <c r="J160" i="5"/>
  <c r="H160" i="5"/>
  <c r="R160" i="5" s="1"/>
  <c r="G160" i="5"/>
  <c r="F160" i="5"/>
  <c r="K159" i="5"/>
  <c r="J159" i="5"/>
  <c r="H159" i="5"/>
  <c r="G159" i="5"/>
  <c r="F159" i="5"/>
  <c r="K158" i="5"/>
  <c r="J158" i="5"/>
  <c r="H158" i="5"/>
  <c r="G158" i="5"/>
  <c r="F158" i="5"/>
  <c r="C157" i="5"/>
  <c r="V156" i="5"/>
  <c r="T156" i="5"/>
  <c r="U156" i="5"/>
  <c r="S156" i="5"/>
  <c r="H162" i="5" s="1"/>
  <c r="F156" i="5"/>
  <c r="E156" i="5"/>
  <c r="D156" i="5"/>
  <c r="I156" i="5"/>
  <c r="C156" i="5"/>
  <c r="B156" i="5"/>
  <c r="A156" i="5"/>
  <c r="Q155" i="5"/>
  <c r="L155" i="5"/>
  <c r="Z155" i="5"/>
  <c r="Y155" i="5"/>
  <c r="X155" i="5"/>
  <c r="K154" i="5"/>
  <c r="J154" i="5"/>
  <c r="Z154" i="5"/>
  <c r="Y154" i="5"/>
  <c r="X154" i="5"/>
  <c r="H154" i="5"/>
  <c r="W154" i="5" s="1"/>
  <c r="F154" i="5"/>
  <c r="V154" i="5"/>
  <c r="T154" i="5"/>
  <c r="U154" i="5"/>
  <c r="S154" i="5"/>
  <c r="E154" i="5"/>
  <c r="D154" i="5"/>
  <c r="C154" i="5"/>
  <c r="B154" i="5"/>
  <c r="A154" i="5"/>
  <c r="L153" i="5"/>
  <c r="G153" i="5"/>
  <c r="E153" i="5"/>
  <c r="J152" i="5"/>
  <c r="F152" i="5"/>
  <c r="E152" i="5"/>
  <c r="J151" i="5"/>
  <c r="F151" i="5"/>
  <c r="E151" i="5"/>
  <c r="K150" i="5"/>
  <c r="J150" i="5"/>
  <c r="H150" i="5"/>
  <c r="R150" i="5" s="1"/>
  <c r="G150" i="5"/>
  <c r="F150" i="5"/>
  <c r="K149" i="5"/>
  <c r="J149" i="5"/>
  <c r="H149" i="5"/>
  <c r="G149" i="5"/>
  <c r="F149" i="5"/>
  <c r="K148" i="5"/>
  <c r="J148" i="5"/>
  <c r="H148" i="5"/>
  <c r="G148" i="5"/>
  <c r="F148" i="5"/>
  <c r="C147" i="5"/>
  <c r="V146" i="5"/>
  <c r="K152" i="5" s="1"/>
  <c r="T146" i="5"/>
  <c r="K151" i="5" s="1"/>
  <c r="U146" i="5"/>
  <c r="S146" i="5"/>
  <c r="F146" i="5"/>
  <c r="E146" i="5"/>
  <c r="D146" i="5"/>
  <c r="I146" i="5"/>
  <c r="C146" i="5"/>
  <c r="B146" i="5"/>
  <c r="A146" i="5"/>
  <c r="L145" i="5"/>
  <c r="Q145" i="5" s="1"/>
  <c r="Z145" i="5"/>
  <c r="Y145" i="5"/>
  <c r="X145" i="5"/>
  <c r="K144" i="5"/>
  <c r="J144" i="5"/>
  <c r="Z144" i="5"/>
  <c r="Y144" i="5"/>
  <c r="X144" i="5"/>
  <c r="H144" i="5"/>
  <c r="W144" i="5" s="1"/>
  <c r="F144" i="5"/>
  <c r="V144" i="5"/>
  <c r="T144" i="5"/>
  <c r="U144" i="5"/>
  <c r="S144" i="5"/>
  <c r="E144" i="5"/>
  <c r="D144" i="5"/>
  <c r="C144" i="5"/>
  <c r="B144" i="5"/>
  <c r="A144" i="5"/>
  <c r="K143" i="5"/>
  <c r="J143" i="5"/>
  <c r="Z143" i="5"/>
  <c r="Y143" i="5"/>
  <c r="X143" i="5"/>
  <c r="H143" i="5"/>
  <c r="W143" i="5" s="1"/>
  <c r="F143" i="5"/>
  <c r="V143" i="5"/>
  <c r="T143" i="5"/>
  <c r="U143" i="5"/>
  <c r="S143" i="5"/>
  <c r="E143" i="5"/>
  <c r="D143" i="5"/>
  <c r="C143" i="5"/>
  <c r="B143" i="5"/>
  <c r="A143" i="5"/>
  <c r="L142" i="5"/>
  <c r="G142" i="5"/>
  <c r="E142" i="5"/>
  <c r="J141" i="5"/>
  <c r="E141" i="5"/>
  <c r="J140" i="5"/>
  <c r="E140" i="5"/>
  <c r="K139" i="5"/>
  <c r="J139" i="5"/>
  <c r="H139" i="5"/>
  <c r="G139" i="5"/>
  <c r="F139" i="5"/>
  <c r="K138" i="5"/>
  <c r="J138" i="5"/>
  <c r="R138" i="5"/>
  <c r="H138" i="5"/>
  <c r="G138" i="5"/>
  <c r="F138" i="5"/>
  <c r="K137" i="5"/>
  <c r="J137" i="5"/>
  <c r="H137" i="5"/>
  <c r="G137" i="5"/>
  <c r="F137" i="5"/>
  <c r="K136" i="5"/>
  <c r="J136" i="5"/>
  <c r="H136" i="5"/>
  <c r="G136" i="5"/>
  <c r="F136" i="5"/>
  <c r="C135" i="5"/>
  <c r="V134" i="5"/>
  <c r="K141" i="5" s="1"/>
  <c r="T134" i="5"/>
  <c r="U134" i="5"/>
  <c r="S134" i="5"/>
  <c r="H140" i="5" s="1"/>
  <c r="F134" i="5"/>
  <c r="E134" i="5"/>
  <c r="D134" i="5"/>
  <c r="I134" i="5"/>
  <c r="C134" i="5"/>
  <c r="B134" i="5"/>
  <c r="A134" i="5"/>
  <c r="L133" i="5"/>
  <c r="Q133" i="5" s="1"/>
  <c r="Z133" i="5"/>
  <c r="Y133" i="5"/>
  <c r="X133" i="5"/>
  <c r="K132" i="5"/>
  <c r="J132" i="5"/>
  <c r="Z132" i="5"/>
  <c r="Y132" i="5"/>
  <c r="X132" i="5"/>
  <c r="H132" i="5"/>
  <c r="W132" i="5" s="1"/>
  <c r="F132" i="5"/>
  <c r="V132" i="5"/>
  <c r="T132" i="5"/>
  <c r="U132" i="5"/>
  <c r="S132" i="5"/>
  <c r="E132" i="5"/>
  <c r="D132" i="5"/>
  <c r="C132" i="5"/>
  <c r="B132" i="5"/>
  <c r="A132" i="5"/>
  <c r="L131" i="5"/>
  <c r="G131" i="5"/>
  <c r="E131" i="5"/>
  <c r="J130" i="5"/>
  <c r="F130" i="5"/>
  <c r="E130" i="5"/>
  <c r="J129" i="5"/>
  <c r="F129" i="5"/>
  <c r="E129" i="5"/>
  <c r="K128" i="5"/>
  <c r="J128" i="5"/>
  <c r="H128" i="5"/>
  <c r="G128" i="5"/>
  <c r="F128" i="5"/>
  <c r="K127" i="5"/>
  <c r="J127" i="5"/>
  <c r="H127" i="5"/>
  <c r="R127" i="5" s="1"/>
  <c r="G127" i="5"/>
  <c r="F127" i="5"/>
  <c r="K126" i="5"/>
  <c r="J126" i="5"/>
  <c r="H126" i="5"/>
  <c r="G126" i="5"/>
  <c r="F126" i="5"/>
  <c r="K125" i="5"/>
  <c r="J125" i="5"/>
  <c r="H125" i="5"/>
  <c r="G125" i="5"/>
  <c r="F125" i="5"/>
  <c r="C124" i="5"/>
  <c r="V123" i="5"/>
  <c r="K130" i="5" s="1"/>
  <c r="T123" i="5"/>
  <c r="U123" i="5"/>
  <c r="H130" i="5" s="1"/>
  <c r="S123" i="5"/>
  <c r="H129" i="5" s="1"/>
  <c r="F123" i="5"/>
  <c r="E123" i="5"/>
  <c r="D123" i="5"/>
  <c r="I123" i="5"/>
  <c r="C123" i="5"/>
  <c r="B123" i="5"/>
  <c r="A123" i="5"/>
  <c r="Q122" i="5"/>
  <c r="L122" i="5"/>
  <c r="Z122" i="5"/>
  <c r="Y122" i="5"/>
  <c r="X122" i="5"/>
  <c r="L121" i="5"/>
  <c r="G121" i="5"/>
  <c r="E121" i="5"/>
  <c r="J120" i="5"/>
  <c r="F120" i="5"/>
  <c r="E120" i="5"/>
  <c r="J119" i="5"/>
  <c r="F119" i="5"/>
  <c r="E119" i="5"/>
  <c r="K118" i="5"/>
  <c r="J118" i="5"/>
  <c r="H118" i="5"/>
  <c r="G118" i="5"/>
  <c r="F118" i="5"/>
  <c r="C117" i="5"/>
  <c r="V116" i="5"/>
  <c r="K120" i="5" s="1"/>
  <c r="T116" i="5"/>
  <c r="K119" i="5" s="1"/>
  <c r="U116" i="5"/>
  <c r="H120" i="5" s="1"/>
  <c r="S116" i="5"/>
  <c r="H119" i="5" s="1"/>
  <c r="F116" i="5"/>
  <c r="E116" i="5"/>
  <c r="D116" i="5"/>
  <c r="I116" i="5"/>
  <c r="C116" i="5"/>
  <c r="B116" i="5"/>
  <c r="A116" i="5"/>
  <c r="L115" i="5"/>
  <c r="Q115" i="5" s="1"/>
  <c r="Z115" i="5"/>
  <c r="Y115" i="5"/>
  <c r="X115" i="5"/>
  <c r="L114" i="5"/>
  <c r="G114" i="5"/>
  <c r="E114" i="5"/>
  <c r="J113" i="5"/>
  <c r="E113" i="5"/>
  <c r="J112" i="5"/>
  <c r="E112" i="5"/>
  <c r="K111" i="5"/>
  <c r="J111" i="5"/>
  <c r="H111" i="5"/>
  <c r="R111" i="5" s="1"/>
  <c r="G111" i="5"/>
  <c r="F111" i="5"/>
  <c r="C110" i="5"/>
  <c r="V109" i="5"/>
  <c r="K113" i="5" s="1"/>
  <c r="T109" i="5"/>
  <c r="K112" i="5" s="1"/>
  <c r="U109" i="5"/>
  <c r="H113" i="5" s="1"/>
  <c r="S109" i="5"/>
  <c r="H112" i="5" s="1"/>
  <c r="F109" i="5"/>
  <c r="E109" i="5"/>
  <c r="D109" i="5"/>
  <c r="I109" i="5"/>
  <c r="C109" i="5"/>
  <c r="B109" i="5"/>
  <c r="A109" i="5"/>
  <c r="L108" i="5"/>
  <c r="Q108" i="5" s="1"/>
  <c r="Z108" i="5"/>
  <c r="Y108" i="5"/>
  <c r="X108" i="5"/>
  <c r="L107" i="5"/>
  <c r="G107" i="5"/>
  <c r="E107" i="5"/>
  <c r="J106" i="5"/>
  <c r="E106" i="5"/>
  <c r="J105" i="5"/>
  <c r="E105" i="5"/>
  <c r="K104" i="5"/>
  <c r="J104" i="5"/>
  <c r="H104" i="5"/>
  <c r="R104" i="5" s="1"/>
  <c r="G104" i="5"/>
  <c r="F104" i="5"/>
  <c r="K103" i="5"/>
  <c r="J103" i="5"/>
  <c r="H103" i="5"/>
  <c r="G103" i="5"/>
  <c r="F103" i="5"/>
  <c r="K102" i="5"/>
  <c r="J102" i="5"/>
  <c r="H102" i="5"/>
  <c r="G102" i="5"/>
  <c r="F102" i="5"/>
  <c r="C101" i="5"/>
  <c r="V100" i="5"/>
  <c r="K106" i="5" s="1"/>
  <c r="T100" i="5"/>
  <c r="K105" i="5" s="1"/>
  <c r="U100" i="5"/>
  <c r="H106" i="5" s="1"/>
  <c r="S100" i="5"/>
  <c r="H105" i="5" s="1"/>
  <c r="F100" i="5"/>
  <c r="E100" i="5"/>
  <c r="D100" i="5"/>
  <c r="I100" i="5"/>
  <c r="C100" i="5"/>
  <c r="B100" i="5"/>
  <c r="A100" i="5"/>
  <c r="L99" i="5"/>
  <c r="Q99" i="5" s="1"/>
  <c r="Z99" i="5"/>
  <c r="Y99" i="5"/>
  <c r="X99" i="5"/>
  <c r="L98" i="5"/>
  <c r="G98" i="5"/>
  <c r="E98" i="5"/>
  <c r="J97" i="5"/>
  <c r="E97" i="5"/>
  <c r="J96" i="5"/>
  <c r="E96" i="5"/>
  <c r="K95" i="5"/>
  <c r="J95" i="5"/>
  <c r="H95" i="5"/>
  <c r="R95" i="5" s="1"/>
  <c r="G95" i="5"/>
  <c r="F95" i="5"/>
  <c r="C94" i="5"/>
  <c r="V93" i="5"/>
  <c r="K97" i="5" s="1"/>
  <c r="T93" i="5"/>
  <c r="K96" i="5" s="1"/>
  <c r="U93" i="5"/>
  <c r="H97" i="5" s="1"/>
  <c r="S93" i="5"/>
  <c r="H96" i="5" s="1"/>
  <c r="F93" i="5"/>
  <c r="E93" i="5"/>
  <c r="D93" i="5"/>
  <c r="I93" i="5"/>
  <c r="C93" i="5"/>
  <c r="B93" i="5"/>
  <c r="A93" i="5"/>
  <c r="L92" i="5"/>
  <c r="Q92" i="5" s="1"/>
  <c r="Z92" i="5"/>
  <c r="Y92" i="5"/>
  <c r="X92" i="5"/>
  <c r="L91" i="5"/>
  <c r="G91" i="5"/>
  <c r="E91" i="5"/>
  <c r="J90" i="5"/>
  <c r="E90" i="5"/>
  <c r="J89" i="5"/>
  <c r="E89" i="5"/>
  <c r="K88" i="5"/>
  <c r="J88" i="5"/>
  <c r="H88" i="5"/>
  <c r="R88" i="5" s="1"/>
  <c r="G88" i="5"/>
  <c r="F88" i="5"/>
  <c r="C87" i="5"/>
  <c r="V86" i="5"/>
  <c r="K90" i="5" s="1"/>
  <c r="T86" i="5"/>
  <c r="K89" i="5" s="1"/>
  <c r="U86" i="5"/>
  <c r="H90" i="5" s="1"/>
  <c r="S86" i="5"/>
  <c r="H89" i="5" s="1"/>
  <c r="F86" i="5"/>
  <c r="E86" i="5"/>
  <c r="D86" i="5"/>
  <c r="I86" i="5"/>
  <c r="C86" i="5"/>
  <c r="B86" i="5"/>
  <c r="A86" i="5"/>
  <c r="L85" i="5"/>
  <c r="Q85" i="5" s="1"/>
  <c r="Z85" i="5"/>
  <c r="Y85" i="5"/>
  <c r="X85" i="5"/>
  <c r="L84" i="5"/>
  <c r="G84" i="5"/>
  <c r="E84" i="5"/>
  <c r="J83" i="5"/>
  <c r="E83" i="5"/>
  <c r="J82" i="5"/>
  <c r="E82" i="5"/>
  <c r="K81" i="5"/>
  <c r="J81" i="5"/>
  <c r="H81" i="5"/>
  <c r="R81" i="5" s="1"/>
  <c r="G81" i="5"/>
  <c r="F81" i="5"/>
  <c r="K80" i="5"/>
  <c r="J80" i="5"/>
  <c r="H80" i="5"/>
  <c r="G80" i="5"/>
  <c r="F80" i="5"/>
  <c r="K79" i="5"/>
  <c r="J79" i="5"/>
  <c r="H79" i="5"/>
  <c r="G79" i="5"/>
  <c r="F79" i="5"/>
  <c r="C78" i="5"/>
  <c r="V77" i="5"/>
  <c r="K83" i="5" s="1"/>
  <c r="T77" i="5"/>
  <c r="K82" i="5" s="1"/>
  <c r="U77" i="5"/>
  <c r="H83" i="5" s="1"/>
  <c r="S77" i="5"/>
  <c r="H82" i="5" s="1"/>
  <c r="F77" i="5"/>
  <c r="E77" i="5"/>
  <c r="D77" i="5"/>
  <c r="I77" i="5"/>
  <c r="C77" i="5"/>
  <c r="B77" i="5"/>
  <c r="A77" i="5"/>
  <c r="L76" i="5"/>
  <c r="Q76" i="5" s="1"/>
  <c r="Z76" i="5"/>
  <c r="Y76" i="5"/>
  <c r="X76" i="5"/>
  <c r="L75" i="5"/>
  <c r="G75" i="5"/>
  <c r="E75" i="5"/>
  <c r="J74" i="5"/>
  <c r="E74" i="5"/>
  <c r="J73" i="5"/>
  <c r="E73" i="5"/>
  <c r="K72" i="5"/>
  <c r="J72" i="5"/>
  <c r="H72" i="5"/>
  <c r="R72" i="5" s="1"/>
  <c r="G72" i="5"/>
  <c r="F72" i="5"/>
  <c r="K71" i="5"/>
  <c r="J71" i="5"/>
  <c r="H71" i="5"/>
  <c r="G71" i="5"/>
  <c r="F71" i="5"/>
  <c r="K70" i="5"/>
  <c r="J70" i="5"/>
  <c r="H70" i="5"/>
  <c r="G70" i="5"/>
  <c r="F70" i="5"/>
  <c r="C69" i="5"/>
  <c r="V68" i="5"/>
  <c r="K74" i="5" s="1"/>
  <c r="T68" i="5"/>
  <c r="K73" i="5" s="1"/>
  <c r="U68" i="5"/>
  <c r="H74" i="5" s="1"/>
  <c r="S68" i="5"/>
  <c r="H73" i="5" s="1"/>
  <c r="F68" i="5"/>
  <c r="E68" i="5"/>
  <c r="D68" i="5"/>
  <c r="I68" i="5"/>
  <c r="C68" i="5"/>
  <c r="B68" i="5"/>
  <c r="A68" i="5"/>
  <c r="L67" i="5"/>
  <c r="Q67" i="5" s="1"/>
  <c r="Z67" i="5"/>
  <c r="Y67" i="5"/>
  <c r="X67" i="5"/>
  <c r="L66" i="5"/>
  <c r="G66" i="5"/>
  <c r="E66" i="5"/>
  <c r="J65" i="5"/>
  <c r="E65" i="5"/>
  <c r="J64" i="5"/>
  <c r="E64" i="5"/>
  <c r="K63" i="5"/>
  <c r="J63" i="5"/>
  <c r="H63" i="5"/>
  <c r="R63" i="5" s="1"/>
  <c r="G63" i="5"/>
  <c r="F63" i="5"/>
  <c r="K62" i="5"/>
  <c r="J62" i="5"/>
  <c r="H62" i="5"/>
  <c r="G62" i="5"/>
  <c r="F62" i="5"/>
  <c r="K61" i="5"/>
  <c r="J61" i="5"/>
  <c r="H61" i="5"/>
  <c r="G61" i="5"/>
  <c r="F61" i="5"/>
  <c r="C60" i="5"/>
  <c r="V59" i="5"/>
  <c r="K65" i="5" s="1"/>
  <c r="T59" i="5"/>
  <c r="K64" i="5" s="1"/>
  <c r="U59" i="5"/>
  <c r="H65" i="5" s="1"/>
  <c r="S59" i="5"/>
  <c r="H64" i="5" s="1"/>
  <c r="F59" i="5"/>
  <c r="E59" i="5"/>
  <c r="D59" i="5"/>
  <c r="I59" i="5"/>
  <c r="C59" i="5"/>
  <c r="B59" i="5"/>
  <c r="A59" i="5"/>
  <c r="L58" i="5"/>
  <c r="Q58" i="5" s="1"/>
  <c r="Z58" i="5"/>
  <c r="Y58" i="5"/>
  <c r="X58" i="5"/>
  <c r="L57" i="5"/>
  <c r="G57" i="5"/>
  <c r="E57" i="5"/>
  <c r="J56" i="5"/>
  <c r="E56" i="5"/>
  <c r="J55" i="5"/>
  <c r="E55" i="5"/>
  <c r="K54" i="5"/>
  <c r="J54" i="5"/>
  <c r="H54" i="5"/>
  <c r="G54" i="5"/>
  <c r="F54" i="5"/>
  <c r="C53" i="5"/>
  <c r="V52" i="5"/>
  <c r="K56" i="5" s="1"/>
  <c r="T52" i="5"/>
  <c r="K55" i="5" s="1"/>
  <c r="U52" i="5"/>
  <c r="H56" i="5" s="1"/>
  <c r="S52" i="5"/>
  <c r="H55" i="5" s="1"/>
  <c r="F52" i="5"/>
  <c r="E52" i="5"/>
  <c r="D52" i="5"/>
  <c r="I52" i="5"/>
  <c r="C52" i="5"/>
  <c r="B52" i="5"/>
  <c r="A52" i="5"/>
  <c r="L51" i="5"/>
  <c r="Q51" i="5" s="1"/>
  <c r="Z51" i="5"/>
  <c r="Y51" i="5"/>
  <c r="X51" i="5"/>
  <c r="L50" i="5"/>
  <c r="G50" i="5"/>
  <c r="E50" i="5"/>
  <c r="J49" i="5"/>
  <c r="F49" i="5"/>
  <c r="E49" i="5"/>
  <c r="J48" i="5"/>
  <c r="F48" i="5"/>
  <c r="E48" i="5"/>
  <c r="K47" i="5"/>
  <c r="J47" i="5"/>
  <c r="H47" i="5"/>
  <c r="R47" i="5" s="1"/>
  <c r="G47" i="5"/>
  <c r="F47" i="5"/>
  <c r="K46" i="5"/>
  <c r="J46" i="5"/>
  <c r="H46" i="5"/>
  <c r="G46" i="5"/>
  <c r="F46" i="5"/>
  <c r="K45" i="5"/>
  <c r="J45" i="5"/>
  <c r="H45" i="5"/>
  <c r="G45" i="5"/>
  <c r="F45" i="5"/>
  <c r="C44" i="5"/>
  <c r="V43" i="5"/>
  <c r="K49" i="5" s="1"/>
  <c r="T43" i="5"/>
  <c r="K48" i="5" s="1"/>
  <c r="U43" i="5"/>
  <c r="H49" i="5" s="1"/>
  <c r="S43" i="5"/>
  <c r="H48" i="5" s="1"/>
  <c r="F43" i="5"/>
  <c r="E43" i="5"/>
  <c r="D43" i="5"/>
  <c r="I43" i="5"/>
  <c r="C43" i="5"/>
  <c r="B43" i="5"/>
  <c r="A43" i="5"/>
  <c r="L42" i="5"/>
  <c r="Q42" i="5" s="1"/>
  <c r="Z42" i="5"/>
  <c r="Y42" i="5"/>
  <c r="X42" i="5"/>
  <c r="L41" i="5"/>
  <c r="G41" i="5"/>
  <c r="E41" i="5"/>
  <c r="J40" i="5"/>
  <c r="F40" i="5"/>
  <c r="E40" i="5"/>
  <c r="J39" i="5"/>
  <c r="F39" i="5"/>
  <c r="E39" i="5"/>
  <c r="K38" i="5"/>
  <c r="J38" i="5"/>
  <c r="H38" i="5"/>
  <c r="R38" i="5" s="1"/>
  <c r="G38" i="5"/>
  <c r="F38" i="5"/>
  <c r="K37" i="5"/>
  <c r="J37" i="5"/>
  <c r="H37" i="5"/>
  <c r="G37" i="5"/>
  <c r="F37" i="5"/>
  <c r="K36" i="5"/>
  <c r="J36" i="5"/>
  <c r="H36" i="5"/>
  <c r="R36" i="5" s="1"/>
  <c r="G36" i="5"/>
  <c r="F36" i="5"/>
  <c r="C35" i="5"/>
  <c r="V34" i="5"/>
  <c r="K40" i="5" s="1"/>
  <c r="T34" i="5"/>
  <c r="K39" i="5" s="1"/>
  <c r="U34" i="5"/>
  <c r="H40" i="5" s="1"/>
  <c r="S34" i="5"/>
  <c r="H39" i="5" s="1"/>
  <c r="F34" i="5"/>
  <c r="E34" i="5"/>
  <c r="D34" i="5"/>
  <c r="I34" i="5"/>
  <c r="C34" i="5"/>
  <c r="B34" i="5"/>
  <c r="A34" i="5"/>
  <c r="A33" i="5"/>
  <c r="B13" i="5"/>
  <c r="A1" i="5"/>
  <c r="H867" i="5" l="1"/>
  <c r="K918" i="5"/>
  <c r="K928" i="5"/>
  <c r="K936" i="5"/>
  <c r="H1086" i="5"/>
  <c r="H1163" i="5"/>
  <c r="K162" i="5"/>
  <c r="H191" i="5"/>
  <c r="K217" i="5"/>
  <c r="K260" i="5"/>
  <c r="J263" i="5" s="1"/>
  <c r="P263" i="5" s="1"/>
  <c r="K682" i="5"/>
  <c r="H151" i="5"/>
  <c r="K270" i="5"/>
  <c r="K651" i="5"/>
  <c r="J655" i="5" s="1"/>
  <c r="P655" i="5" s="1"/>
  <c r="K663" i="5"/>
  <c r="J666" i="5" s="1"/>
  <c r="P666" i="5" s="1"/>
  <c r="K695" i="5"/>
  <c r="H705" i="5"/>
  <c r="H1140" i="5"/>
  <c r="H203" i="5"/>
  <c r="K216" i="5"/>
  <c r="K259" i="5"/>
  <c r="K795" i="5"/>
  <c r="H918" i="5"/>
  <c r="G922" i="5" s="1"/>
  <c r="O922" i="5" s="1"/>
  <c r="H163" i="5"/>
  <c r="H171" i="5"/>
  <c r="W175" i="5" s="1"/>
  <c r="K228" i="5"/>
  <c r="K269" i="5"/>
  <c r="J273" i="5" s="1"/>
  <c r="P273" i="5" s="1"/>
  <c r="K191" i="5"/>
  <c r="H908" i="5"/>
  <c r="H1038" i="5"/>
  <c r="H1051" i="5"/>
  <c r="K1063" i="5"/>
  <c r="H1076" i="5"/>
  <c r="H1152" i="5"/>
  <c r="H1175" i="5"/>
  <c r="K183" i="5"/>
  <c r="J186" i="5" s="1"/>
  <c r="P186" i="5" s="1"/>
  <c r="K816" i="5"/>
  <c r="K879" i="5"/>
  <c r="H909" i="5"/>
  <c r="H928" i="5"/>
  <c r="K1024" i="5"/>
  <c r="K1052" i="5"/>
  <c r="K1140" i="5"/>
  <c r="K326" i="5"/>
  <c r="H633" i="5"/>
  <c r="G637" i="5" s="1"/>
  <c r="O637" i="5" s="1"/>
  <c r="K585" i="5"/>
  <c r="K598" i="5"/>
  <c r="H608" i="5"/>
  <c r="G775" i="5"/>
  <c r="O775" i="5" s="1"/>
  <c r="H795" i="5"/>
  <c r="K841" i="5"/>
  <c r="J845" i="5" s="1"/>
  <c r="P845" i="5" s="1"/>
  <c r="H192" i="5"/>
  <c r="G196" i="5" s="1"/>
  <c r="O196" i="5" s="1"/>
  <c r="J408" i="5"/>
  <c r="P408" i="5" s="1"/>
  <c r="G420" i="5"/>
  <c r="O420" i="5" s="1"/>
  <c r="K427" i="5"/>
  <c r="H597" i="5"/>
  <c r="H609" i="5"/>
  <c r="X612" i="5" s="1"/>
  <c r="K619" i="5"/>
  <c r="H652" i="5"/>
  <c r="K662" i="5"/>
  <c r="K694" i="5"/>
  <c r="J698" i="5" s="1"/>
  <c r="P698" i="5" s="1"/>
  <c r="H841" i="5"/>
  <c r="W845" i="5" s="1"/>
  <c r="H852" i="5"/>
  <c r="H1023" i="5"/>
  <c r="H1037" i="5"/>
  <c r="K1062" i="5"/>
  <c r="H1075" i="5"/>
  <c r="K1087" i="5"/>
  <c r="H1096" i="5"/>
  <c r="K1139" i="5"/>
  <c r="J1144" i="5" s="1"/>
  <c r="P1144" i="5" s="1"/>
  <c r="H1174" i="5"/>
  <c r="G24" i="5"/>
  <c r="K129" i="5"/>
  <c r="J133" i="5" s="1"/>
  <c r="P133" i="5" s="1"/>
  <c r="H141" i="5"/>
  <c r="W145" i="5" s="1"/>
  <c r="K163" i="5"/>
  <c r="H183" i="5"/>
  <c r="W186" i="5" s="1"/>
  <c r="K204" i="5"/>
  <c r="J209" i="5" s="1"/>
  <c r="P209" i="5" s="1"/>
  <c r="H217" i="5"/>
  <c r="W222" i="5" s="1"/>
  <c r="H259" i="5"/>
  <c r="J320" i="5"/>
  <c r="P320" i="5" s="1"/>
  <c r="H348" i="5"/>
  <c r="G352" i="5" s="1"/>
  <c r="O352" i="5" s="1"/>
  <c r="H370" i="5"/>
  <c r="H393" i="5"/>
  <c r="K415" i="5"/>
  <c r="J420" i="5" s="1"/>
  <c r="P420" i="5" s="1"/>
  <c r="W502" i="5"/>
  <c r="K725" i="5"/>
  <c r="H828" i="5"/>
  <c r="K852" i="5"/>
  <c r="H868" i="5"/>
  <c r="W873" i="5" s="1"/>
  <c r="K909" i="5"/>
  <c r="J912" i="5" s="1"/>
  <c r="P912" i="5" s="1"/>
  <c r="K1023" i="5"/>
  <c r="K1051" i="5"/>
  <c r="H1062" i="5"/>
  <c r="G1068" i="5" s="1"/>
  <c r="O1068" i="5" s="1"/>
  <c r="K1075" i="5"/>
  <c r="J1079" i="5" s="1"/>
  <c r="P1079" i="5" s="1"/>
  <c r="K1096" i="5"/>
  <c r="K140" i="5"/>
  <c r="H152" i="5"/>
  <c r="G155" i="5" s="1"/>
  <c r="O155" i="5" s="1"/>
  <c r="J155" i="5"/>
  <c r="P155" i="5" s="1"/>
  <c r="K172" i="5"/>
  <c r="H229" i="5"/>
  <c r="G232" i="5" s="1"/>
  <c r="O232" i="5" s="1"/>
  <c r="H327" i="5"/>
  <c r="H337" i="5"/>
  <c r="W341" i="5" s="1"/>
  <c r="H428" i="5"/>
  <c r="K586" i="5"/>
  <c r="H620" i="5"/>
  <c r="K632" i="5"/>
  <c r="K670" i="5"/>
  <c r="K681" i="5"/>
  <c r="K853" i="5"/>
  <c r="K867" i="5"/>
  <c r="H880" i="5"/>
  <c r="G883" i="5" s="1"/>
  <c r="O883" i="5" s="1"/>
  <c r="K919" i="5"/>
  <c r="K929" i="5"/>
  <c r="H204" i="5"/>
  <c r="G209" i="5" s="1"/>
  <c r="O209" i="5" s="1"/>
  <c r="H663" i="5"/>
  <c r="X666" i="5" s="1"/>
  <c r="H671" i="5"/>
  <c r="K880" i="5"/>
  <c r="K229" i="5"/>
  <c r="J232" i="5" s="1"/>
  <c r="P232" i="5" s="1"/>
  <c r="H269" i="5"/>
  <c r="G537" i="5"/>
  <c r="O537" i="5" s="1"/>
  <c r="K1151" i="5"/>
  <c r="J1156" i="5" s="1"/>
  <c r="P1156" i="5" s="1"/>
  <c r="K1174" i="5"/>
  <c r="J92" i="5"/>
  <c r="P92" i="5" s="1"/>
  <c r="K192" i="5"/>
  <c r="J196" i="5" s="1"/>
  <c r="P196" i="5" s="1"/>
  <c r="J750" i="5"/>
  <c r="P750" i="5" s="1"/>
  <c r="J537" i="5"/>
  <c r="P537" i="5" s="1"/>
  <c r="J644" i="5"/>
  <c r="P644" i="5" s="1"/>
  <c r="K1164" i="5"/>
  <c r="J1168" i="5" s="1"/>
  <c r="P1168" i="5" s="1"/>
  <c r="J1227" i="5"/>
  <c r="P1227" i="5" s="1"/>
  <c r="J42" i="5"/>
  <c r="P42" i="5" s="1"/>
  <c r="G51" i="5"/>
  <c r="O51" i="5" s="1"/>
  <c r="G67" i="5"/>
  <c r="O67" i="5" s="1"/>
  <c r="J85" i="5"/>
  <c r="P85" i="5" s="1"/>
  <c r="G108" i="5"/>
  <c r="O108" i="5" s="1"/>
  <c r="G133" i="5"/>
  <c r="O133" i="5" s="1"/>
  <c r="H326" i="5"/>
  <c r="H404" i="5"/>
  <c r="K448" i="5"/>
  <c r="J451" i="5" s="1"/>
  <c r="P451" i="5" s="1"/>
  <c r="H458" i="5"/>
  <c r="J498" i="5"/>
  <c r="P498" i="5" s="1"/>
  <c r="W530" i="5"/>
  <c r="G530" i="5"/>
  <c r="O530" i="5" s="1"/>
  <c r="G655" i="5"/>
  <c r="O655" i="5" s="1"/>
  <c r="H670" i="5"/>
  <c r="H695" i="5"/>
  <c r="X698" i="5" s="1"/>
  <c r="Z769" i="5"/>
  <c r="G788" i="5"/>
  <c r="O788" i="5" s="1"/>
  <c r="J808" i="5"/>
  <c r="P808" i="5" s="1"/>
  <c r="K828" i="5"/>
  <c r="J834" i="5" s="1"/>
  <c r="P834" i="5" s="1"/>
  <c r="H1202" i="5"/>
  <c r="R45" i="5"/>
  <c r="G310" i="5"/>
  <c r="O310" i="5" s="1"/>
  <c r="K349" i="5"/>
  <c r="J352" i="5" s="1"/>
  <c r="P352" i="5" s="1"/>
  <c r="H369" i="5"/>
  <c r="G373" i="5" s="1"/>
  <c r="O373" i="5" s="1"/>
  <c r="G397" i="5"/>
  <c r="O397" i="5" s="1"/>
  <c r="K393" i="5"/>
  <c r="J397" i="5" s="1"/>
  <c r="P397" i="5" s="1"/>
  <c r="H439" i="5"/>
  <c r="R532" i="5"/>
  <c r="J569" i="5"/>
  <c r="P569" i="5" s="1"/>
  <c r="X601" i="5"/>
  <c r="K609" i="5"/>
  <c r="J612" i="5" s="1"/>
  <c r="P612" i="5" s="1"/>
  <c r="X655" i="5"/>
  <c r="K724" i="5"/>
  <c r="R782" i="5"/>
  <c r="H853" i="5"/>
  <c r="H936" i="5"/>
  <c r="H1087" i="5"/>
  <c r="H1097" i="5"/>
  <c r="L1229" i="5"/>
  <c r="H1139" i="5"/>
  <c r="H1151" i="5"/>
  <c r="H1164" i="5"/>
  <c r="G1168" i="5" s="1"/>
  <c r="O1168" i="5" s="1"/>
  <c r="H1203" i="5"/>
  <c r="R388" i="5"/>
  <c r="K476" i="5"/>
  <c r="J491" i="5"/>
  <c r="P491" i="5" s="1"/>
  <c r="R593" i="5"/>
  <c r="K706" i="5"/>
  <c r="J709" i="5" s="1"/>
  <c r="P709" i="5" s="1"/>
  <c r="K716" i="5"/>
  <c r="J719" i="5" s="1"/>
  <c r="P719" i="5" s="1"/>
  <c r="Z775" i="5"/>
  <c r="K815" i="5"/>
  <c r="J821" i="5" s="1"/>
  <c r="P821" i="5" s="1"/>
  <c r="K868" i="5"/>
  <c r="H937" i="5"/>
  <c r="K937" i="5"/>
  <c r="J940" i="5" s="1"/>
  <c r="P940" i="5" s="1"/>
  <c r="G175" i="5"/>
  <c r="O175" i="5" s="1"/>
  <c r="H238" i="5"/>
  <c r="W242" i="5" s="1"/>
  <c r="K291" i="5"/>
  <c r="K380" i="5"/>
  <c r="G451" i="5"/>
  <c r="O451" i="5" s="1"/>
  <c r="K459" i="5"/>
  <c r="J463" i="5" s="1"/>
  <c r="P463" i="5" s="1"/>
  <c r="X537" i="5"/>
  <c r="X551" i="5"/>
  <c r="G560" i="5"/>
  <c r="O560" i="5" s="1"/>
  <c r="H619" i="5"/>
  <c r="K671" i="5"/>
  <c r="J674" i="5" s="1"/>
  <c r="P674" i="5" s="1"/>
  <c r="H681" i="5"/>
  <c r="H682" i="5"/>
  <c r="R690" i="5"/>
  <c r="H715" i="5"/>
  <c r="G719" i="5" s="1"/>
  <c r="O719" i="5" s="1"/>
  <c r="H724" i="5"/>
  <c r="H736" i="5"/>
  <c r="G740" i="5" s="1"/>
  <c r="O740" i="5" s="1"/>
  <c r="J769" i="5"/>
  <c r="P769" i="5" s="1"/>
  <c r="R771" i="5"/>
  <c r="K796" i="5"/>
  <c r="J799" i="5" s="1"/>
  <c r="P799" i="5" s="1"/>
  <c r="X940" i="5"/>
  <c r="J972" i="5"/>
  <c r="P972" i="5" s="1"/>
  <c r="J980" i="5"/>
  <c r="P980" i="5" s="1"/>
  <c r="G1007" i="5"/>
  <c r="O1007" i="5" s="1"/>
  <c r="J1132" i="5"/>
  <c r="P1132" i="5" s="1"/>
  <c r="K1175" i="5"/>
  <c r="J1179" i="5" s="1"/>
  <c r="P1179" i="5" s="1"/>
  <c r="K1203" i="5"/>
  <c r="J1209" i="5" s="1"/>
  <c r="P1209" i="5" s="1"/>
  <c r="G42" i="5"/>
  <c r="O42" i="5" s="1"/>
  <c r="J58" i="5"/>
  <c r="P58" i="5" s="1"/>
  <c r="J76" i="5"/>
  <c r="P76" i="5" s="1"/>
  <c r="J115" i="5"/>
  <c r="P115" i="5" s="1"/>
  <c r="G122" i="5"/>
  <c r="O122" i="5" s="1"/>
  <c r="G145" i="5"/>
  <c r="O145" i="5" s="1"/>
  <c r="J166" i="5"/>
  <c r="P166" i="5" s="1"/>
  <c r="G252" i="5"/>
  <c r="O252" i="5" s="1"/>
  <c r="G273" i="5"/>
  <c r="O273" i="5" s="1"/>
  <c r="J67" i="5"/>
  <c r="P67" i="5" s="1"/>
  <c r="G85" i="5"/>
  <c r="O85" i="5" s="1"/>
  <c r="J99" i="5"/>
  <c r="P99" i="5" s="1"/>
  <c r="J108" i="5"/>
  <c r="P108" i="5" s="1"/>
  <c r="J175" i="5"/>
  <c r="P175" i="5" s="1"/>
  <c r="J222" i="5"/>
  <c r="P222" i="5" s="1"/>
  <c r="J443" i="5"/>
  <c r="P443" i="5" s="1"/>
  <c r="J242" i="5"/>
  <c r="P242" i="5" s="1"/>
  <c r="J51" i="5"/>
  <c r="P51" i="5" s="1"/>
  <c r="G58" i="5"/>
  <c r="O58" i="5" s="1"/>
  <c r="G76" i="5"/>
  <c r="O76" i="5" s="1"/>
  <c r="G99" i="5"/>
  <c r="O99" i="5" s="1"/>
  <c r="J122" i="5"/>
  <c r="P122" i="5" s="1"/>
  <c r="J145" i="5"/>
  <c r="P145" i="5" s="1"/>
  <c r="G166" i="5"/>
  <c r="O166" i="5" s="1"/>
  <c r="J252" i="5"/>
  <c r="P252" i="5" s="1"/>
  <c r="G263" i="5"/>
  <c r="O263" i="5" s="1"/>
  <c r="J373" i="5"/>
  <c r="P373" i="5" s="1"/>
  <c r="W42" i="5"/>
  <c r="W51" i="5"/>
  <c r="R61" i="5"/>
  <c r="R79" i="5"/>
  <c r="W92" i="5"/>
  <c r="G92" i="5"/>
  <c r="O92" i="5" s="1"/>
  <c r="R102" i="5"/>
  <c r="W115" i="5"/>
  <c r="G115" i="5"/>
  <c r="O115" i="5" s="1"/>
  <c r="R136" i="5"/>
  <c r="G186" i="5"/>
  <c r="O186" i="5" s="1"/>
  <c r="W196" i="5"/>
  <c r="R224" i="5"/>
  <c r="R245" i="5"/>
  <c r="W252" i="5"/>
  <c r="J283" i="5"/>
  <c r="P283" i="5" s="1"/>
  <c r="H290" i="5"/>
  <c r="G320" i="5"/>
  <c r="O320" i="5" s="1"/>
  <c r="W320" i="5"/>
  <c r="K337" i="5"/>
  <c r="J341" i="5" s="1"/>
  <c r="P341" i="5" s="1"/>
  <c r="R333" i="5"/>
  <c r="W420" i="5"/>
  <c r="J432" i="5"/>
  <c r="P432" i="5" s="1"/>
  <c r="H459" i="5"/>
  <c r="K477" i="5"/>
  <c r="G481" i="5"/>
  <c r="O481" i="5" s="1"/>
  <c r="W481" i="5"/>
  <c r="R474" i="5"/>
  <c r="J514" i="5"/>
  <c r="P514" i="5" s="1"/>
  <c r="G523" i="5"/>
  <c r="O523" i="5" s="1"/>
  <c r="W523" i="5"/>
  <c r="R517" i="5"/>
  <c r="G545" i="5"/>
  <c r="O545" i="5" s="1"/>
  <c r="L504" i="5"/>
  <c r="R54" i="5"/>
  <c r="W67" i="5"/>
  <c r="W85" i="5"/>
  <c r="W108" i="5"/>
  <c r="R118" i="5"/>
  <c r="W122" i="5"/>
  <c r="R148" i="5"/>
  <c r="R255" i="5"/>
  <c r="H291" i="5"/>
  <c r="J330" i="5"/>
  <c r="P330" i="5" s="1"/>
  <c r="J362" i="5"/>
  <c r="P362" i="5" s="1"/>
  <c r="G385" i="5"/>
  <c r="O385" i="5" s="1"/>
  <c r="J385" i="5"/>
  <c r="P385" i="5" s="1"/>
  <c r="H440" i="5"/>
  <c r="J471" i="5"/>
  <c r="P471" i="5" s="1"/>
  <c r="J560" i="5"/>
  <c r="P560" i="5" s="1"/>
  <c r="G644" i="5"/>
  <c r="O644" i="5" s="1"/>
  <c r="W644" i="5"/>
  <c r="R640" i="5"/>
  <c r="R70" i="5"/>
  <c r="R125" i="5"/>
  <c r="R158" i="5"/>
  <c r="W263" i="5"/>
  <c r="W273" i="5"/>
  <c r="G283" i="5"/>
  <c r="O283" i="5" s="1"/>
  <c r="W283" i="5"/>
  <c r="R276" i="5"/>
  <c r="K290" i="5"/>
  <c r="J310" i="5"/>
  <c r="P310" i="5" s="1"/>
  <c r="H405" i="5"/>
  <c r="G432" i="5"/>
  <c r="O432" i="5" s="1"/>
  <c r="W432" i="5"/>
  <c r="R423" i="5"/>
  <c r="G500" i="5"/>
  <c r="O500" i="5" s="1"/>
  <c r="W500" i="5"/>
  <c r="G578" i="5"/>
  <c r="O578" i="5" s="1"/>
  <c r="W578" i="5"/>
  <c r="W58" i="5"/>
  <c r="W76" i="5"/>
  <c r="W99" i="5"/>
  <c r="W133" i="5"/>
  <c r="W166" i="5"/>
  <c r="G362" i="5"/>
  <c r="O362" i="5" s="1"/>
  <c r="W362" i="5"/>
  <c r="R355" i="5"/>
  <c r="W471" i="5"/>
  <c r="G471" i="5"/>
  <c r="O471" i="5" s="1"/>
  <c r="X514" i="5"/>
  <c r="G514" i="5"/>
  <c r="O514" i="5" s="1"/>
  <c r="J523" i="5"/>
  <c r="P523" i="5" s="1"/>
  <c r="J551" i="5"/>
  <c r="P551" i="5" s="1"/>
  <c r="X590" i="5"/>
  <c r="G590" i="5"/>
  <c r="O590" i="5" s="1"/>
  <c r="R581" i="5"/>
  <c r="J601" i="5"/>
  <c r="P601" i="5" s="1"/>
  <c r="X709" i="5"/>
  <c r="J763" i="5"/>
  <c r="P763" i="5" s="1"/>
  <c r="W397" i="5"/>
  <c r="W451" i="5"/>
  <c r="L777" i="5"/>
  <c r="J530" i="5"/>
  <c r="P530" i="5" s="1"/>
  <c r="J545" i="5"/>
  <c r="P545" i="5" s="1"/>
  <c r="W560" i="5"/>
  <c r="J578" i="5"/>
  <c r="P578" i="5" s="1"/>
  <c r="J637" i="5"/>
  <c r="P637" i="5" s="1"/>
  <c r="G666" i="5"/>
  <c r="O666" i="5" s="1"/>
  <c r="X719" i="5"/>
  <c r="R711" i="5"/>
  <c r="R732" i="5"/>
  <c r="X750" i="5"/>
  <c r="W310" i="5"/>
  <c r="W385" i="5"/>
  <c r="G491" i="5"/>
  <c r="O491" i="5" s="1"/>
  <c r="W491" i="5"/>
  <c r="X545" i="5"/>
  <c r="G569" i="5"/>
  <c r="O569" i="5" s="1"/>
  <c r="W569" i="5"/>
  <c r="R563" i="5"/>
  <c r="K620" i="5"/>
  <c r="W498" i="5"/>
  <c r="G498" i="5"/>
  <c r="O498" i="5" s="1"/>
  <c r="G601" i="5"/>
  <c r="O601" i="5" s="1"/>
  <c r="G612" i="5"/>
  <c r="O612" i="5" s="1"/>
  <c r="G709" i="5"/>
  <c r="O709" i="5" s="1"/>
  <c r="J756" i="5"/>
  <c r="P756" i="5" s="1"/>
  <c r="Z763" i="5"/>
  <c r="X799" i="5"/>
  <c r="G821" i="5"/>
  <c r="O821" i="5" s="1"/>
  <c r="G845" i="5"/>
  <c r="O845" i="5" s="1"/>
  <c r="J883" i="5"/>
  <c r="P883" i="5" s="1"/>
  <c r="J892" i="5"/>
  <c r="P892" i="5" s="1"/>
  <c r="G932" i="5"/>
  <c r="O932" i="5" s="1"/>
  <c r="G551" i="5"/>
  <c r="O551" i="5" s="1"/>
  <c r="H725" i="5"/>
  <c r="J740" i="5"/>
  <c r="P740" i="5" s="1"/>
  <c r="G750" i="5"/>
  <c r="O750" i="5" s="1"/>
  <c r="J775" i="5"/>
  <c r="P775" i="5" s="1"/>
  <c r="L942" i="5"/>
  <c r="G808" i="5"/>
  <c r="O808" i="5" s="1"/>
  <c r="G892" i="5"/>
  <c r="O892" i="5" s="1"/>
  <c r="J901" i="5"/>
  <c r="P901" i="5" s="1"/>
  <c r="G912" i="5"/>
  <c r="O912" i="5" s="1"/>
  <c r="G953" i="5"/>
  <c r="O953" i="5" s="1"/>
  <c r="J788" i="5"/>
  <c r="P788" i="5" s="1"/>
  <c r="G834" i="5"/>
  <c r="O834" i="5" s="1"/>
  <c r="G756" i="5"/>
  <c r="O756" i="5" s="1"/>
  <c r="W788" i="5"/>
  <c r="G799" i="5"/>
  <c r="O799" i="5" s="1"/>
  <c r="G873" i="5"/>
  <c r="O873" i="5" s="1"/>
  <c r="R875" i="5"/>
  <c r="W901" i="5"/>
  <c r="G901" i="5"/>
  <c r="O901" i="5" s="1"/>
  <c r="W932" i="5"/>
  <c r="R934" i="5"/>
  <c r="R947" i="5"/>
  <c r="J962" i="5"/>
  <c r="P962" i="5" s="1"/>
  <c r="G972" i="5"/>
  <c r="O972" i="5" s="1"/>
  <c r="J989" i="5"/>
  <c r="P989" i="5" s="1"/>
  <c r="J1016" i="5"/>
  <c r="P1016" i="5" s="1"/>
  <c r="J1044" i="5"/>
  <c r="P1044" i="5" s="1"/>
  <c r="G1079" i="5"/>
  <c r="O1079" i="5" s="1"/>
  <c r="J1110" i="5"/>
  <c r="P1110" i="5" s="1"/>
  <c r="J1188" i="5"/>
  <c r="P1188" i="5" s="1"/>
  <c r="G1197" i="5"/>
  <c r="O1197" i="5" s="1"/>
  <c r="G1218" i="5"/>
  <c r="O1218" i="5" s="1"/>
  <c r="G1227" i="5"/>
  <c r="O1227" i="5" s="1"/>
  <c r="R802" i="5"/>
  <c r="W883" i="5"/>
  <c r="W892" i="5"/>
  <c r="R904" i="5"/>
  <c r="W953" i="5"/>
  <c r="G989" i="5"/>
  <c r="O989" i="5" s="1"/>
  <c r="J1007" i="5"/>
  <c r="P1007" i="5" s="1"/>
  <c r="G1030" i="5"/>
  <c r="O1030" i="5" s="1"/>
  <c r="J1091" i="5"/>
  <c r="P1091" i="5" s="1"/>
  <c r="J1101" i="5"/>
  <c r="P1101" i="5" s="1"/>
  <c r="G1110" i="5"/>
  <c r="O1110" i="5" s="1"/>
  <c r="J1119" i="5"/>
  <c r="P1119" i="5" s="1"/>
  <c r="G1132" i="5"/>
  <c r="O1132" i="5" s="1"/>
  <c r="W808" i="5"/>
  <c r="W821" i="5"/>
  <c r="W834" i="5"/>
  <c r="W912" i="5"/>
  <c r="J953" i="5"/>
  <c r="P953" i="5" s="1"/>
  <c r="L1121" i="5"/>
  <c r="J998" i="5"/>
  <c r="P998" i="5" s="1"/>
  <c r="G1044" i="5"/>
  <c r="O1044" i="5" s="1"/>
  <c r="G1119" i="5"/>
  <c r="O1119" i="5" s="1"/>
  <c r="W1132" i="5"/>
  <c r="G1188" i="5"/>
  <c r="O1188" i="5" s="1"/>
  <c r="J1197" i="5"/>
  <c r="P1197" i="5" s="1"/>
  <c r="W922" i="5"/>
  <c r="J1218" i="5"/>
  <c r="P1218" i="5" s="1"/>
  <c r="W962" i="5"/>
  <c r="G962" i="5"/>
  <c r="O962" i="5" s="1"/>
  <c r="W980" i="5"/>
  <c r="G980" i="5"/>
  <c r="O980" i="5" s="1"/>
  <c r="W998" i="5"/>
  <c r="G998" i="5"/>
  <c r="O998" i="5" s="1"/>
  <c r="W1016" i="5"/>
  <c r="G1016" i="5"/>
  <c r="O1016" i="5" s="1"/>
  <c r="W1055" i="5"/>
  <c r="G1055" i="5"/>
  <c r="O1055" i="5" s="1"/>
  <c r="W1156" i="5"/>
  <c r="G1156" i="5"/>
  <c r="O1156" i="5" s="1"/>
  <c r="R1191" i="5"/>
  <c r="R1001" i="5"/>
  <c r="R1019" i="5"/>
  <c r="W1030" i="5"/>
  <c r="W1091" i="5"/>
  <c r="G1091" i="5"/>
  <c r="O1091" i="5" s="1"/>
  <c r="W1110" i="5"/>
  <c r="W1119" i="5"/>
  <c r="R1126" i="5"/>
  <c r="W1144" i="5"/>
  <c r="G1144" i="5"/>
  <c r="O1144" i="5" s="1"/>
  <c r="R1159" i="5"/>
  <c r="W1179" i="5"/>
  <c r="G1179" i="5"/>
  <c r="O1179" i="5" s="1"/>
  <c r="W1197" i="5"/>
  <c r="W989" i="5"/>
  <c r="W1007" i="5"/>
  <c r="R1033" i="5"/>
  <c r="R1182" i="5"/>
  <c r="R1200" i="5"/>
  <c r="W1218" i="5"/>
  <c r="R1220" i="5"/>
  <c r="W1227" i="5"/>
  <c r="W972" i="5"/>
  <c r="W1188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1" i="3"/>
  <c r="CY1" i="3"/>
  <c r="CZ1" i="3"/>
  <c r="DA1" i="3"/>
  <c r="DB1" i="3"/>
  <c r="DC1" i="3"/>
  <c r="A2" i="3"/>
  <c r="CY2" i="3"/>
  <c r="CZ2" i="3"/>
  <c r="DB2" i="3" s="1"/>
  <c r="DA2" i="3"/>
  <c r="DC2" i="3"/>
  <c r="A3" i="3"/>
  <c r="CY3" i="3"/>
  <c r="CZ3" i="3"/>
  <c r="DB3" i="3" s="1"/>
  <c r="DA3" i="3"/>
  <c r="DC3" i="3"/>
  <c r="A4" i="3"/>
  <c r="CY4" i="3"/>
  <c r="CZ4" i="3"/>
  <c r="DA4" i="3"/>
  <c r="DB4" i="3"/>
  <c r="DC4" i="3"/>
  <c r="A5" i="3"/>
  <c r="CY5" i="3"/>
  <c r="CZ5" i="3"/>
  <c r="DA5" i="3"/>
  <c r="DB5" i="3"/>
  <c r="DC5" i="3"/>
  <c r="A6" i="3"/>
  <c r="CY6" i="3"/>
  <c r="CZ6" i="3"/>
  <c r="DB6" i="3" s="1"/>
  <c r="DA6" i="3"/>
  <c r="DC6" i="3"/>
  <c r="A7" i="3"/>
  <c r="CY7" i="3"/>
  <c r="CZ7" i="3"/>
  <c r="DB7" i="3" s="1"/>
  <c r="DA7" i="3"/>
  <c r="DC7" i="3"/>
  <c r="A8" i="3"/>
  <c r="CY8" i="3"/>
  <c r="CZ8" i="3"/>
  <c r="DA8" i="3"/>
  <c r="DB8" i="3"/>
  <c r="DC8" i="3"/>
  <c r="A9" i="3"/>
  <c r="CY9" i="3"/>
  <c r="CZ9" i="3"/>
  <c r="DA9" i="3"/>
  <c r="DB9" i="3"/>
  <c r="DC9" i="3"/>
  <c r="A10" i="3"/>
  <c r="CY10" i="3"/>
  <c r="CZ10" i="3"/>
  <c r="DB10" i="3" s="1"/>
  <c r="DA10" i="3"/>
  <c r="DC10" i="3"/>
  <c r="A11" i="3"/>
  <c r="CY11" i="3"/>
  <c r="CZ11" i="3"/>
  <c r="DB11" i="3" s="1"/>
  <c r="DA11" i="3"/>
  <c r="DC11" i="3"/>
  <c r="A12" i="3"/>
  <c r="CY12" i="3"/>
  <c r="CZ12" i="3"/>
  <c r="DA12" i="3"/>
  <c r="DB12" i="3"/>
  <c r="DC12" i="3"/>
  <c r="A13" i="3"/>
  <c r="CY13" i="3"/>
  <c r="CZ13" i="3"/>
  <c r="DA13" i="3"/>
  <c r="DB13" i="3"/>
  <c r="DC13" i="3"/>
  <c r="A14" i="3"/>
  <c r="CY14" i="3"/>
  <c r="CZ14" i="3"/>
  <c r="DB14" i="3" s="1"/>
  <c r="DA14" i="3"/>
  <c r="DC14" i="3"/>
  <c r="A15" i="3"/>
  <c r="CY15" i="3"/>
  <c r="CZ15" i="3"/>
  <c r="DB15" i="3" s="1"/>
  <c r="DA15" i="3"/>
  <c r="DC15" i="3"/>
  <c r="A16" i="3"/>
  <c r="CY16" i="3"/>
  <c r="CZ16" i="3"/>
  <c r="DA16" i="3"/>
  <c r="DB16" i="3"/>
  <c r="DC16" i="3"/>
  <c r="A17" i="3"/>
  <c r="CY17" i="3"/>
  <c r="CZ17" i="3"/>
  <c r="DA17" i="3"/>
  <c r="DB17" i="3"/>
  <c r="DC17" i="3"/>
  <c r="A18" i="3"/>
  <c r="CY18" i="3"/>
  <c r="CZ18" i="3"/>
  <c r="DB18" i="3" s="1"/>
  <c r="DA18" i="3"/>
  <c r="DC18" i="3"/>
  <c r="A19" i="3"/>
  <c r="CY19" i="3"/>
  <c r="CZ19" i="3"/>
  <c r="DB19" i="3" s="1"/>
  <c r="DA19" i="3"/>
  <c r="DC19" i="3"/>
  <c r="A20" i="3"/>
  <c r="CY20" i="3"/>
  <c r="CZ20" i="3"/>
  <c r="DA20" i="3"/>
  <c r="DB20" i="3"/>
  <c r="DC20" i="3"/>
  <c r="A21" i="3"/>
  <c r="CY21" i="3"/>
  <c r="CZ21" i="3"/>
  <c r="DA21" i="3"/>
  <c r="DB21" i="3"/>
  <c r="DC21" i="3"/>
  <c r="A22" i="3"/>
  <c r="CY22" i="3"/>
  <c r="CZ22" i="3"/>
  <c r="DB22" i="3" s="1"/>
  <c r="DA22" i="3"/>
  <c r="DC22" i="3"/>
  <c r="A23" i="3"/>
  <c r="CY23" i="3"/>
  <c r="CZ23" i="3"/>
  <c r="DB23" i="3" s="1"/>
  <c r="DA23" i="3"/>
  <c r="DC23" i="3"/>
  <c r="A24" i="3"/>
  <c r="CY24" i="3"/>
  <c r="CZ24" i="3"/>
  <c r="DA24" i="3"/>
  <c r="DB24" i="3"/>
  <c r="DC24" i="3"/>
  <c r="A25" i="3"/>
  <c r="CY25" i="3"/>
  <c r="CZ25" i="3"/>
  <c r="DA25" i="3"/>
  <c r="DB25" i="3"/>
  <c r="DC25" i="3"/>
  <c r="A26" i="3"/>
  <c r="CY26" i="3"/>
  <c r="CZ26" i="3"/>
  <c r="DB26" i="3" s="1"/>
  <c r="DA26" i="3"/>
  <c r="DC26" i="3"/>
  <c r="A27" i="3"/>
  <c r="CY27" i="3"/>
  <c r="CZ27" i="3"/>
  <c r="DB27" i="3" s="1"/>
  <c r="DA27" i="3"/>
  <c r="DC27" i="3"/>
  <c r="A28" i="3"/>
  <c r="CY28" i="3"/>
  <c r="CZ28" i="3"/>
  <c r="DA28" i="3"/>
  <c r="DB28" i="3"/>
  <c r="DC28" i="3"/>
  <c r="A29" i="3"/>
  <c r="CY29" i="3"/>
  <c r="CZ29" i="3"/>
  <c r="DA29" i="3"/>
  <c r="DB29" i="3"/>
  <c r="DC29" i="3"/>
  <c r="A30" i="3"/>
  <c r="CY30" i="3"/>
  <c r="CZ30" i="3"/>
  <c r="DB30" i="3" s="1"/>
  <c r="DA30" i="3"/>
  <c r="DC30" i="3"/>
  <c r="A31" i="3"/>
  <c r="CY31" i="3"/>
  <c r="CZ31" i="3"/>
  <c r="DB31" i="3" s="1"/>
  <c r="DA31" i="3"/>
  <c r="DC31" i="3"/>
  <c r="A32" i="3"/>
  <c r="CY32" i="3"/>
  <c r="CZ32" i="3"/>
  <c r="DA32" i="3"/>
  <c r="DB32" i="3"/>
  <c r="DC32" i="3"/>
  <c r="A33" i="3"/>
  <c r="CY33" i="3"/>
  <c r="CZ33" i="3"/>
  <c r="DA33" i="3"/>
  <c r="DB33" i="3"/>
  <c r="DC33" i="3"/>
  <c r="A34" i="3"/>
  <c r="CY34" i="3"/>
  <c r="CZ34" i="3"/>
  <c r="DB34" i="3" s="1"/>
  <c r="DA34" i="3"/>
  <c r="DC34" i="3"/>
  <c r="A35" i="3"/>
  <c r="CY35" i="3"/>
  <c r="CZ35" i="3"/>
  <c r="DB35" i="3" s="1"/>
  <c r="DA35" i="3"/>
  <c r="DC35" i="3"/>
  <c r="A36" i="3"/>
  <c r="CY36" i="3"/>
  <c r="CZ36" i="3"/>
  <c r="DA36" i="3"/>
  <c r="DB36" i="3"/>
  <c r="DC36" i="3"/>
  <c r="A37" i="3"/>
  <c r="CY37" i="3"/>
  <c r="CZ37" i="3"/>
  <c r="DA37" i="3"/>
  <c r="DB37" i="3"/>
  <c r="DC37" i="3"/>
  <c r="A38" i="3"/>
  <c r="CY38" i="3"/>
  <c r="CZ38" i="3"/>
  <c r="DB38" i="3" s="1"/>
  <c r="DA38" i="3"/>
  <c r="DC38" i="3"/>
  <c r="A39" i="3"/>
  <c r="CY39" i="3"/>
  <c r="CZ39" i="3"/>
  <c r="DB39" i="3" s="1"/>
  <c r="DA39" i="3"/>
  <c r="DC39" i="3"/>
  <c r="A40" i="3"/>
  <c r="CY40" i="3"/>
  <c r="CZ40" i="3"/>
  <c r="DA40" i="3"/>
  <c r="DB40" i="3"/>
  <c r="DC40" i="3"/>
  <c r="A41" i="3"/>
  <c r="CY41" i="3"/>
  <c r="CZ41" i="3"/>
  <c r="DA41" i="3"/>
  <c r="DB41" i="3"/>
  <c r="DC41" i="3"/>
  <c r="A42" i="3"/>
  <c r="CY42" i="3"/>
  <c r="CZ42" i="3"/>
  <c r="DB42" i="3" s="1"/>
  <c r="DA42" i="3"/>
  <c r="DC42" i="3"/>
  <c r="A43" i="3"/>
  <c r="CY43" i="3"/>
  <c r="CZ43" i="3"/>
  <c r="DB43" i="3" s="1"/>
  <c r="DA43" i="3"/>
  <c r="DC43" i="3"/>
  <c r="A44" i="3"/>
  <c r="CY44" i="3"/>
  <c r="CZ44" i="3"/>
  <c r="DA44" i="3"/>
  <c r="DB44" i="3"/>
  <c r="DC44" i="3"/>
  <c r="A45" i="3"/>
  <c r="CY45" i="3"/>
  <c r="CZ45" i="3"/>
  <c r="DA45" i="3"/>
  <c r="DB45" i="3"/>
  <c r="DC45" i="3"/>
  <c r="A46" i="3"/>
  <c r="CY46" i="3"/>
  <c r="CZ46" i="3"/>
  <c r="DB46" i="3" s="1"/>
  <c r="DA46" i="3"/>
  <c r="DC46" i="3"/>
  <c r="A47" i="3"/>
  <c r="CY47" i="3"/>
  <c r="CZ47" i="3"/>
  <c r="DB47" i="3" s="1"/>
  <c r="DA47" i="3"/>
  <c r="DC47" i="3"/>
  <c r="A48" i="3"/>
  <c r="CY48" i="3"/>
  <c r="CZ48" i="3"/>
  <c r="DA48" i="3"/>
  <c r="DB48" i="3"/>
  <c r="DC48" i="3"/>
  <c r="A49" i="3"/>
  <c r="CY49" i="3"/>
  <c r="CZ49" i="3"/>
  <c r="DA49" i="3"/>
  <c r="DB49" i="3"/>
  <c r="DC49" i="3"/>
  <c r="A50" i="3"/>
  <c r="CY50" i="3"/>
  <c r="CZ50" i="3"/>
  <c r="DB50" i="3" s="1"/>
  <c r="DA50" i="3"/>
  <c r="DC50" i="3"/>
  <c r="A51" i="3"/>
  <c r="CY51" i="3"/>
  <c r="CZ51" i="3"/>
  <c r="DB51" i="3" s="1"/>
  <c r="DA51" i="3"/>
  <c r="DC51" i="3"/>
  <c r="A52" i="3"/>
  <c r="CY52" i="3"/>
  <c r="CZ52" i="3"/>
  <c r="DA52" i="3"/>
  <c r="DB52" i="3"/>
  <c r="DC52" i="3"/>
  <c r="A53" i="3"/>
  <c r="CY53" i="3"/>
  <c r="CZ53" i="3"/>
  <c r="DA53" i="3"/>
  <c r="DB53" i="3"/>
  <c r="DC53" i="3"/>
  <c r="A54" i="3"/>
  <c r="CY54" i="3"/>
  <c r="CZ54" i="3"/>
  <c r="DB54" i="3" s="1"/>
  <c r="DA54" i="3"/>
  <c r="DC54" i="3"/>
  <c r="A55" i="3"/>
  <c r="CY55" i="3"/>
  <c r="CZ55" i="3"/>
  <c r="DB55" i="3" s="1"/>
  <c r="DA55" i="3"/>
  <c r="DC55" i="3"/>
  <c r="A56" i="3"/>
  <c r="CY56" i="3"/>
  <c r="CZ56" i="3"/>
  <c r="DA56" i="3"/>
  <c r="DB56" i="3"/>
  <c r="DC56" i="3"/>
  <c r="A57" i="3"/>
  <c r="CY57" i="3"/>
  <c r="CZ57" i="3"/>
  <c r="DA57" i="3"/>
  <c r="DB57" i="3"/>
  <c r="DC57" i="3"/>
  <c r="A58" i="3"/>
  <c r="CY58" i="3"/>
  <c r="CZ58" i="3"/>
  <c r="DB58" i="3" s="1"/>
  <c r="DA58" i="3"/>
  <c r="DC58" i="3"/>
  <c r="A59" i="3"/>
  <c r="CY59" i="3"/>
  <c r="CZ59" i="3"/>
  <c r="DB59" i="3" s="1"/>
  <c r="DA59" i="3"/>
  <c r="DC59" i="3"/>
  <c r="A60" i="3"/>
  <c r="CY60" i="3"/>
  <c r="CZ60" i="3"/>
  <c r="DA60" i="3"/>
  <c r="DB60" i="3"/>
  <c r="DC60" i="3"/>
  <c r="A61" i="3"/>
  <c r="CY61" i="3"/>
  <c r="CZ61" i="3"/>
  <c r="DA61" i="3"/>
  <c r="DB61" i="3"/>
  <c r="DC61" i="3"/>
  <c r="A62" i="3"/>
  <c r="CY62" i="3"/>
  <c r="CZ62" i="3"/>
  <c r="DB62" i="3" s="1"/>
  <c r="DA62" i="3"/>
  <c r="DC62" i="3"/>
  <c r="A63" i="3"/>
  <c r="CX63" i="3"/>
  <c r="CY63" i="3"/>
  <c r="CZ63" i="3"/>
  <c r="DB63" i="3" s="1"/>
  <c r="DA63" i="3"/>
  <c r="DC63" i="3"/>
  <c r="A64" i="3"/>
  <c r="CX64" i="3"/>
  <c r="CY64" i="3"/>
  <c r="CZ64" i="3"/>
  <c r="DA64" i="3"/>
  <c r="DB64" i="3"/>
  <c r="DC64" i="3"/>
  <c r="A65" i="3"/>
  <c r="CX65" i="3"/>
  <c r="CY65" i="3"/>
  <c r="CZ65" i="3"/>
  <c r="DA65" i="3"/>
  <c r="DB65" i="3"/>
  <c r="DC65" i="3"/>
  <c r="A66" i="3"/>
  <c r="CX66" i="3"/>
  <c r="CY66" i="3"/>
  <c r="CZ66" i="3"/>
  <c r="DB66" i="3" s="1"/>
  <c r="DA66" i="3"/>
  <c r="DC66" i="3"/>
  <c r="A67" i="3"/>
  <c r="CX67" i="3"/>
  <c r="CY67" i="3"/>
  <c r="CZ67" i="3"/>
  <c r="DB67" i="3" s="1"/>
  <c r="DA67" i="3"/>
  <c r="DC67" i="3"/>
  <c r="A68" i="3"/>
  <c r="CY68" i="3"/>
  <c r="CZ68" i="3"/>
  <c r="DA68" i="3"/>
  <c r="DB68" i="3"/>
  <c r="DC68" i="3"/>
  <c r="A69" i="3"/>
  <c r="CY69" i="3"/>
  <c r="CZ69" i="3"/>
  <c r="DA69" i="3"/>
  <c r="DB69" i="3"/>
  <c r="DC69" i="3"/>
  <c r="A70" i="3"/>
  <c r="CY70" i="3"/>
  <c r="CZ70" i="3"/>
  <c r="DB70" i="3" s="1"/>
  <c r="DA70" i="3"/>
  <c r="DC70" i="3"/>
  <c r="A71" i="3"/>
  <c r="CY71" i="3"/>
  <c r="CZ71" i="3"/>
  <c r="DB71" i="3" s="1"/>
  <c r="DA71" i="3"/>
  <c r="DC71" i="3"/>
  <c r="A72" i="3"/>
  <c r="CY72" i="3"/>
  <c r="CZ72" i="3"/>
  <c r="DA72" i="3"/>
  <c r="DB72" i="3"/>
  <c r="DC72" i="3"/>
  <c r="A73" i="3"/>
  <c r="CY73" i="3"/>
  <c r="CZ73" i="3"/>
  <c r="DA73" i="3"/>
  <c r="DB73" i="3"/>
  <c r="DC73" i="3"/>
  <c r="A74" i="3"/>
  <c r="CY74" i="3"/>
  <c r="CZ74" i="3"/>
  <c r="DB74" i="3" s="1"/>
  <c r="DA74" i="3"/>
  <c r="DC74" i="3"/>
  <c r="A75" i="3"/>
  <c r="CY75" i="3"/>
  <c r="CZ75" i="3"/>
  <c r="DB75" i="3" s="1"/>
  <c r="DA75" i="3"/>
  <c r="DC75" i="3"/>
  <c r="A76" i="3"/>
  <c r="CY76" i="3"/>
  <c r="CZ76" i="3"/>
  <c r="DA76" i="3"/>
  <c r="DB76" i="3"/>
  <c r="DC76" i="3"/>
  <c r="A77" i="3"/>
  <c r="CY77" i="3"/>
  <c r="CZ77" i="3"/>
  <c r="DA77" i="3"/>
  <c r="DB77" i="3"/>
  <c r="DC77" i="3"/>
  <c r="A78" i="3"/>
  <c r="CY78" i="3"/>
  <c r="CZ78" i="3"/>
  <c r="DB78" i="3" s="1"/>
  <c r="DA78" i="3"/>
  <c r="DC78" i="3"/>
  <c r="A79" i="3"/>
  <c r="CY79" i="3"/>
  <c r="CZ79" i="3"/>
  <c r="DB79" i="3" s="1"/>
  <c r="DA79" i="3"/>
  <c r="DC79" i="3"/>
  <c r="A80" i="3"/>
  <c r="CY80" i="3"/>
  <c r="CZ80" i="3"/>
  <c r="DA80" i="3"/>
  <c r="DB80" i="3"/>
  <c r="DC80" i="3"/>
  <c r="A81" i="3"/>
  <c r="CY81" i="3"/>
  <c r="CZ81" i="3"/>
  <c r="DA81" i="3"/>
  <c r="DB81" i="3"/>
  <c r="DC81" i="3"/>
  <c r="A82" i="3"/>
  <c r="CY82" i="3"/>
  <c r="CZ82" i="3"/>
  <c r="DB82" i="3" s="1"/>
  <c r="DA82" i="3"/>
  <c r="DC82" i="3"/>
  <c r="A83" i="3"/>
  <c r="CY83" i="3"/>
  <c r="CZ83" i="3"/>
  <c r="DB83" i="3" s="1"/>
  <c r="DA83" i="3"/>
  <c r="DC83" i="3"/>
  <c r="A84" i="3"/>
  <c r="CY84" i="3"/>
  <c r="CZ84" i="3"/>
  <c r="DA84" i="3"/>
  <c r="DB84" i="3"/>
  <c r="DC84" i="3"/>
  <c r="A85" i="3"/>
  <c r="CY85" i="3"/>
  <c r="CZ85" i="3"/>
  <c r="DA85" i="3"/>
  <c r="DB85" i="3"/>
  <c r="DC85" i="3"/>
  <c r="A86" i="3"/>
  <c r="CY86" i="3"/>
  <c r="CZ86" i="3"/>
  <c r="DB86" i="3" s="1"/>
  <c r="DA86" i="3"/>
  <c r="DC86" i="3"/>
  <c r="A87" i="3"/>
  <c r="CY87" i="3"/>
  <c r="CZ87" i="3"/>
  <c r="DB87" i="3" s="1"/>
  <c r="DA87" i="3"/>
  <c r="DC87" i="3"/>
  <c r="A88" i="3"/>
  <c r="CY88" i="3"/>
  <c r="CZ88" i="3"/>
  <c r="DA88" i="3"/>
  <c r="DB88" i="3"/>
  <c r="DC88" i="3"/>
  <c r="A89" i="3"/>
  <c r="CY89" i="3"/>
  <c r="CZ89" i="3"/>
  <c r="DA89" i="3"/>
  <c r="DB89" i="3"/>
  <c r="DC89" i="3"/>
  <c r="A90" i="3"/>
  <c r="CY90" i="3"/>
  <c r="CZ90" i="3"/>
  <c r="DB90" i="3" s="1"/>
  <c r="DA90" i="3"/>
  <c r="DC90" i="3"/>
  <c r="A91" i="3"/>
  <c r="CY91" i="3"/>
  <c r="CZ91" i="3"/>
  <c r="DB91" i="3" s="1"/>
  <c r="DA91" i="3"/>
  <c r="DC91" i="3"/>
  <c r="A92" i="3"/>
  <c r="CY92" i="3"/>
  <c r="CZ92" i="3"/>
  <c r="DA92" i="3"/>
  <c r="DB92" i="3"/>
  <c r="DC92" i="3"/>
  <c r="A93" i="3"/>
  <c r="CY93" i="3"/>
  <c r="CZ93" i="3"/>
  <c r="DA93" i="3"/>
  <c r="DB93" i="3"/>
  <c r="DC93" i="3"/>
  <c r="A94" i="3"/>
  <c r="CY94" i="3"/>
  <c r="CZ94" i="3"/>
  <c r="DB94" i="3" s="1"/>
  <c r="DA94" i="3"/>
  <c r="DC94" i="3"/>
  <c r="A95" i="3"/>
  <c r="CY95" i="3"/>
  <c r="CZ95" i="3"/>
  <c r="DB95" i="3" s="1"/>
  <c r="DA95" i="3"/>
  <c r="DC95" i="3"/>
  <c r="A96" i="3"/>
  <c r="CY96" i="3"/>
  <c r="CZ96" i="3"/>
  <c r="DA96" i="3"/>
  <c r="DB96" i="3"/>
  <c r="DC96" i="3"/>
  <c r="A97" i="3"/>
  <c r="CY97" i="3"/>
  <c r="CZ97" i="3"/>
  <c r="DA97" i="3"/>
  <c r="DB97" i="3"/>
  <c r="DC97" i="3"/>
  <c r="A98" i="3"/>
  <c r="CX98" i="3"/>
  <c r="CY98" i="3"/>
  <c r="CZ98" i="3"/>
  <c r="DB98" i="3" s="1"/>
  <c r="DA98" i="3"/>
  <c r="DC98" i="3"/>
  <c r="A99" i="3"/>
  <c r="CX99" i="3"/>
  <c r="CY99" i="3"/>
  <c r="CZ99" i="3"/>
  <c r="DB99" i="3" s="1"/>
  <c r="DA99" i="3"/>
  <c r="DC99" i="3"/>
  <c r="A100" i="3"/>
  <c r="CX100" i="3"/>
  <c r="CY100" i="3"/>
  <c r="CZ100" i="3"/>
  <c r="DA100" i="3"/>
  <c r="DB100" i="3"/>
  <c r="DC100" i="3"/>
  <c r="A101" i="3"/>
  <c r="CX101" i="3"/>
  <c r="CY101" i="3"/>
  <c r="CZ101" i="3"/>
  <c r="DA101" i="3"/>
  <c r="DB101" i="3"/>
  <c r="DC101" i="3"/>
  <c r="A102" i="3"/>
  <c r="CX102" i="3"/>
  <c r="CY102" i="3"/>
  <c r="CZ102" i="3"/>
  <c r="DB102" i="3" s="1"/>
  <c r="DA102" i="3"/>
  <c r="DC102" i="3"/>
  <c r="A103" i="3"/>
  <c r="CX103" i="3"/>
  <c r="CY103" i="3"/>
  <c r="CZ103" i="3"/>
  <c r="DB103" i="3" s="1"/>
  <c r="DA103" i="3"/>
  <c r="DC103" i="3"/>
  <c r="A104" i="3"/>
  <c r="CX104" i="3"/>
  <c r="CY104" i="3"/>
  <c r="CZ104" i="3"/>
  <c r="DA104" i="3"/>
  <c r="DB104" i="3"/>
  <c r="DC104" i="3"/>
  <c r="A105" i="3"/>
  <c r="CX105" i="3"/>
  <c r="CY105" i="3"/>
  <c r="CZ105" i="3"/>
  <c r="DA105" i="3"/>
  <c r="DB105" i="3"/>
  <c r="DC105" i="3"/>
  <c r="A106" i="3"/>
  <c r="CY106" i="3"/>
  <c r="CZ106" i="3"/>
  <c r="DB106" i="3" s="1"/>
  <c r="DA106" i="3"/>
  <c r="DC106" i="3"/>
  <c r="A107" i="3"/>
  <c r="CY107" i="3"/>
  <c r="CZ107" i="3"/>
  <c r="DB107" i="3" s="1"/>
  <c r="DA107" i="3"/>
  <c r="DC107" i="3"/>
  <c r="A108" i="3"/>
  <c r="CY108" i="3"/>
  <c r="CZ108" i="3"/>
  <c r="DA108" i="3"/>
  <c r="DB108" i="3"/>
  <c r="DC108" i="3"/>
  <c r="A109" i="3"/>
  <c r="CY109" i="3"/>
  <c r="CZ109" i="3"/>
  <c r="DA109" i="3"/>
  <c r="DB109" i="3"/>
  <c r="DC109" i="3"/>
  <c r="A110" i="3"/>
  <c r="CY110" i="3"/>
  <c r="CZ110" i="3"/>
  <c r="DB110" i="3" s="1"/>
  <c r="DA110" i="3"/>
  <c r="DC110" i="3"/>
  <c r="A111" i="3"/>
  <c r="CY111" i="3"/>
  <c r="CZ111" i="3"/>
  <c r="DB111" i="3" s="1"/>
  <c r="DA111" i="3"/>
  <c r="DC111" i="3"/>
  <c r="A112" i="3"/>
  <c r="CY112" i="3"/>
  <c r="CZ112" i="3"/>
  <c r="DA112" i="3"/>
  <c r="DB112" i="3"/>
  <c r="DC112" i="3"/>
  <c r="A113" i="3"/>
  <c r="CY113" i="3"/>
  <c r="CZ113" i="3"/>
  <c r="DA113" i="3"/>
  <c r="DB113" i="3"/>
  <c r="DC113" i="3"/>
  <c r="A114" i="3"/>
  <c r="CY114" i="3"/>
  <c r="CZ114" i="3"/>
  <c r="DB114" i="3" s="1"/>
  <c r="DA114" i="3"/>
  <c r="DC114" i="3"/>
  <c r="A115" i="3"/>
  <c r="CY115" i="3"/>
  <c r="CZ115" i="3"/>
  <c r="DB115" i="3" s="1"/>
  <c r="DA115" i="3"/>
  <c r="DC115" i="3"/>
  <c r="A116" i="3"/>
  <c r="CY116" i="3"/>
  <c r="CZ116" i="3"/>
  <c r="DA116" i="3"/>
  <c r="DB116" i="3"/>
  <c r="DC116" i="3"/>
  <c r="A117" i="3"/>
  <c r="CY117" i="3"/>
  <c r="CZ117" i="3"/>
  <c r="DA117" i="3"/>
  <c r="DB117" i="3"/>
  <c r="DC117" i="3"/>
  <c r="A118" i="3"/>
  <c r="CY118" i="3"/>
  <c r="CZ118" i="3"/>
  <c r="DB118" i="3" s="1"/>
  <c r="DA118" i="3"/>
  <c r="DC118" i="3"/>
  <c r="A119" i="3"/>
  <c r="CY119" i="3"/>
  <c r="CZ119" i="3"/>
  <c r="DB119" i="3" s="1"/>
  <c r="DA119" i="3"/>
  <c r="DC119" i="3"/>
  <c r="A120" i="3"/>
  <c r="CY120" i="3"/>
  <c r="CZ120" i="3"/>
  <c r="DA120" i="3"/>
  <c r="DB120" i="3"/>
  <c r="DC120" i="3"/>
  <c r="A121" i="3"/>
  <c r="CY121" i="3"/>
  <c r="CZ121" i="3"/>
  <c r="DA121" i="3"/>
  <c r="DB121" i="3"/>
  <c r="DC121" i="3"/>
  <c r="A122" i="3"/>
  <c r="CY122" i="3"/>
  <c r="CZ122" i="3"/>
  <c r="DB122" i="3" s="1"/>
  <c r="DA122" i="3"/>
  <c r="DC122" i="3"/>
  <c r="A123" i="3"/>
  <c r="CY123" i="3"/>
  <c r="CZ123" i="3"/>
  <c r="DB123" i="3" s="1"/>
  <c r="DA123" i="3"/>
  <c r="DC123" i="3"/>
  <c r="A124" i="3"/>
  <c r="CY124" i="3"/>
  <c r="CZ124" i="3"/>
  <c r="DA124" i="3"/>
  <c r="DB124" i="3"/>
  <c r="DC124" i="3"/>
  <c r="A125" i="3"/>
  <c r="CY125" i="3"/>
  <c r="CZ125" i="3"/>
  <c r="DA125" i="3"/>
  <c r="DB125" i="3"/>
  <c r="DC125" i="3"/>
  <c r="A126" i="3"/>
  <c r="CY126" i="3"/>
  <c r="CZ126" i="3"/>
  <c r="DB126" i="3" s="1"/>
  <c r="DA126" i="3"/>
  <c r="DC126" i="3"/>
  <c r="A127" i="3"/>
  <c r="CY127" i="3"/>
  <c r="CZ127" i="3"/>
  <c r="DB127" i="3" s="1"/>
  <c r="DA127" i="3"/>
  <c r="DC127" i="3"/>
  <c r="A128" i="3"/>
  <c r="CY128" i="3"/>
  <c r="CZ128" i="3"/>
  <c r="DA128" i="3"/>
  <c r="DB128" i="3"/>
  <c r="DC128" i="3"/>
  <c r="A129" i="3"/>
  <c r="CY129" i="3"/>
  <c r="CZ129" i="3"/>
  <c r="DA129" i="3"/>
  <c r="DB129" i="3"/>
  <c r="DC129" i="3"/>
  <c r="A130" i="3"/>
  <c r="CY130" i="3"/>
  <c r="CZ130" i="3"/>
  <c r="DB130" i="3" s="1"/>
  <c r="DA130" i="3"/>
  <c r="DC130" i="3"/>
  <c r="A131" i="3"/>
  <c r="CY131" i="3"/>
  <c r="CZ131" i="3"/>
  <c r="DB131" i="3" s="1"/>
  <c r="DA131" i="3"/>
  <c r="DC131" i="3"/>
  <c r="A132" i="3"/>
  <c r="CY132" i="3"/>
  <c r="CZ132" i="3"/>
  <c r="DA132" i="3"/>
  <c r="DB132" i="3"/>
  <c r="DC132" i="3"/>
  <c r="A133" i="3"/>
  <c r="CY133" i="3"/>
  <c r="CZ133" i="3"/>
  <c r="DA133" i="3"/>
  <c r="DB133" i="3"/>
  <c r="DC133" i="3"/>
  <c r="A134" i="3"/>
  <c r="CY134" i="3"/>
  <c r="CZ134" i="3"/>
  <c r="DB134" i="3" s="1"/>
  <c r="DA134" i="3"/>
  <c r="DC134" i="3"/>
  <c r="A135" i="3"/>
  <c r="CY135" i="3"/>
  <c r="CZ135" i="3"/>
  <c r="DB135" i="3" s="1"/>
  <c r="DA135" i="3"/>
  <c r="DC135" i="3"/>
  <c r="A136" i="3"/>
  <c r="CY136" i="3"/>
  <c r="CZ136" i="3"/>
  <c r="DA136" i="3"/>
  <c r="DB136" i="3"/>
  <c r="DC136" i="3"/>
  <c r="A137" i="3"/>
  <c r="CY137" i="3"/>
  <c r="CZ137" i="3"/>
  <c r="DA137" i="3"/>
  <c r="DB137" i="3"/>
  <c r="DC137" i="3"/>
  <c r="A138" i="3"/>
  <c r="CY138" i="3"/>
  <c r="CZ138" i="3"/>
  <c r="DB138" i="3" s="1"/>
  <c r="DA138" i="3"/>
  <c r="DC138" i="3"/>
  <c r="A139" i="3"/>
  <c r="CY139" i="3"/>
  <c r="CZ139" i="3"/>
  <c r="DB139" i="3" s="1"/>
  <c r="DA139" i="3"/>
  <c r="DC139" i="3"/>
  <c r="A140" i="3"/>
  <c r="CY140" i="3"/>
  <c r="CZ140" i="3"/>
  <c r="DA140" i="3"/>
  <c r="DB140" i="3"/>
  <c r="DC140" i="3"/>
  <c r="A141" i="3"/>
  <c r="CY141" i="3"/>
  <c r="CZ141" i="3"/>
  <c r="DA141" i="3"/>
  <c r="DB141" i="3"/>
  <c r="DC141" i="3"/>
  <c r="A142" i="3"/>
  <c r="CY142" i="3"/>
  <c r="CZ142" i="3"/>
  <c r="DB142" i="3" s="1"/>
  <c r="DA142" i="3"/>
  <c r="DC142" i="3"/>
  <c r="A143" i="3"/>
  <c r="CY143" i="3"/>
  <c r="CZ143" i="3"/>
  <c r="DB143" i="3" s="1"/>
  <c r="DA143" i="3"/>
  <c r="DC143" i="3"/>
  <c r="A144" i="3"/>
  <c r="CY144" i="3"/>
  <c r="CZ144" i="3"/>
  <c r="DA144" i="3"/>
  <c r="DB144" i="3"/>
  <c r="DC144" i="3"/>
  <c r="A145" i="3"/>
  <c r="CY145" i="3"/>
  <c r="CZ145" i="3"/>
  <c r="DA145" i="3"/>
  <c r="DB145" i="3"/>
  <c r="DC145" i="3"/>
  <c r="A146" i="3"/>
  <c r="CY146" i="3"/>
  <c r="CZ146" i="3"/>
  <c r="DB146" i="3" s="1"/>
  <c r="DA146" i="3"/>
  <c r="DC146" i="3"/>
  <c r="A147" i="3"/>
  <c r="CY147" i="3"/>
  <c r="CZ147" i="3"/>
  <c r="DB147" i="3" s="1"/>
  <c r="DA147" i="3"/>
  <c r="DC147" i="3"/>
  <c r="A148" i="3"/>
  <c r="CY148" i="3"/>
  <c r="CZ148" i="3"/>
  <c r="DA148" i="3"/>
  <c r="DB148" i="3"/>
  <c r="DC148" i="3"/>
  <c r="A149" i="3"/>
  <c r="CY149" i="3"/>
  <c r="CZ149" i="3"/>
  <c r="DA149" i="3"/>
  <c r="DB149" i="3"/>
  <c r="DC149" i="3"/>
  <c r="A150" i="3"/>
  <c r="CY150" i="3"/>
  <c r="CZ150" i="3"/>
  <c r="DB150" i="3" s="1"/>
  <c r="DA150" i="3"/>
  <c r="DC150" i="3"/>
  <c r="A151" i="3"/>
  <c r="CY151" i="3"/>
  <c r="CZ151" i="3"/>
  <c r="DB151" i="3" s="1"/>
  <c r="DA151" i="3"/>
  <c r="DC151" i="3"/>
  <c r="A152" i="3"/>
  <c r="CY152" i="3"/>
  <c r="CZ152" i="3"/>
  <c r="DA152" i="3"/>
  <c r="DB152" i="3"/>
  <c r="DC152" i="3"/>
  <c r="A153" i="3"/>
  <c r="CY153" i="3"/>
  <c r="CZ153" i="3"/>
  <c r="DA153" i="3"/>
  <c r="DB153" i="3"/>
  <c r="DC153" i="3"/>
  <c r="A154" i="3"/>
  <c r="CY154" i="3"/>
  <c r="CZ154" i="3"/>
  <c r="DB154" i="3" s="1"/>
  <c r="DA154" i="3"/>
  <c r="DC154" i="3"/>
  <c r="A155" i="3"/>
  <c r="CY155" i="3"/>
  <c r="CZ155" i="3"/>
  <c r="DB155" i="3" s="1"/>
  <c r="DA155" i="3"/>
  <c r="DC155" i="3"/>
  <c r="A156" i="3"/>
  <c r="CY156" i="3"/>
  <c r="CZ156" i="3"/>
  <c r="DA156" i="3"/>
  <c r="DB156" i="3"/>
  <c r="DC156" i="3"/>
  <c r="A157" i="3"/>
  <c r="CY157" i="3"/>
  <c r="CZ157" i="3"/>
  <c r="DA157" i="3"/>
  <c r="DB157" i="3"/>
  <c r="DC157" i="3"/>
  <c r="A158" i="3"/>
  <c r="CY158" i="3"/>
  <c r="CZ158" i="3"/>
  <c r="DB158" i="3" s="1"/>
  <c r="DA158" i="3"/>
  <c r="DC158" i="3"/>
  <c r="A159" i="3"/>
  <c r="CY159" i="3"/>
  <c r="CZ159" i="3"/>
  <c r="DB159" i="3" s="1"/>
  <c r="DA159" i="3"/>
  <c r="DC159" i="3"/>
  <c r="A160" i="3"/>
  <c r="CY160" i="3"/>
  <c r="CZ160" i="3"/>
  <c r="DA160" i="3"/>
  <c r="DB160" i="3"/>
  <c r="DC160" i="3"/>
  <c r="A161" i="3"/>
  <c r="CY161" i="3"/>
  <c r="CZ161" i="3"/>
  <c r="DA161" i="3"/>
  <c r="DB161" i="3"/>
  <c r="DC161" i="3"/>
  <c r="A162" i="3"/>
  <c r="CY162" i="3"/>
  <c r="CZ162" i="3"/>
  <c r="DB162" i="3" s="1"/>
  <c r="DA162" i="3"/>
  <c r="DC162" i="3"/>
  <c r="A163" i="3"/>
  <c r="CY163" i="3"/>
  <c r="CZ163" i="3"/>
  <c r="DB163" i="3" s="1"/>
  <c r="DA163" i="3"/>
  <c r="DC163" i="3"/>
  <c r="A164" i="3"/>
  <c r="CY164" i="3"/>
  <c r="CZ164" i="3"/>
  <c r="DB164" i="3" s="1"/>
  <c r="DA164" i="3"/>
  <c r="DC164" i="3"/>
  <c r="A165" i="3"/>
  <c r="CY165" i="3"/>
  <c r="CZ165" i="3"/>
  <c r="DA165" i="3"/>
  <c r="DB165" i="3"/>
  <c r="DC165" i="3"/>
  <c r="A166" i="3"/>
  <c r="CY166" i="3"/>
  <c r="CZ166" i="3"/>
  <c r="DA166" i="3"/>
  <c r="DB166" i="3"/>
  <c r="DC166" i="3"/>
  <c r="A167" i="3"/>
  <c r="CY167" i="3"/>
  <c r="CZ167" i="3"/>
  <c r="DB167" i="3" s="1"/>
  <c r="DA167" i="3"/>
  <c r="DC167" i="3"/>
  <c r="A168" i="3"/>
  <c r="CY168" i="3"/>
  <c r="CZ168" i="3"/>
  <c r="DA168" i="3"/>
  <c r="DB168" i="3"/>
  <c r="DC168" i="3"/>
  <c r="A169" i="3"/>
  <c r="CY169" i="3"/>
  <c r="CZ169" i="3"/>
  <c r="DA169" i="3"/>
  <c r="DB169" i="3"/>
  <c r="DC169" i="3"/>
  <c r="A170" i="3"/>
  <c r="CX170" i="3"/>
  <c r="CY170" i="3"/>
  <c r="CZ170" i="3"/>
  <c r="DB170" i="3" s="1"/>
  <c r="DA170" i="3"/>
  <c r="DC170" i="3"/>
  <c r="A171" i="3"/>
  <c r="CX171" i="3"/>
  <c r="CY171" i="3"/>
  <c r="CZ171" i="3"/>
  <c r="DB171" i="3" s="1"/>
  <c r="DA171" i="3"/>
  <c r="DC171" i="3"/>
  <c r="A172" i="3"/>
  <c r="CX172" i="3"/>
  <c r="CY172" i="3"/>
  <c r="CZ172" i="3"/>
  <c r="DB172" i="3" s="1"/>
  <c r="DA172" i="3"/>
  <c r="DC172" i="3"/>
  <c r="A173" i="3"/>
  <c r="CX173" i="3"/>
  <c r="CY173" i="3"/>
  <c r="CZ173" i="3"/>
  <c r="DA173" i="3"/>
  <c r="DB173" i="3"/>
  <c r="DC173" i="3"/>
  <c r="A174" i="3"/>
  <c r="CX174" i="3"/>
  <c r="CY174" i="3"/>
  <c r="CZ174" i="3"/>
  <c r="DA174" i="3"/>
  <c r="DB174" i="3"/>
  <c r="DC174" i="3"/>
  <c r="A175" i="3"/>
  <c r="CX175" i="3"/>
  <c r="CY175" i="3"/>
  <c r="CZ175" i="3"/>
  <c r="DB175" i="3" s="1"/>
  <c r="DA175" i="3"/>
  <c r="DC175" i="3"/>
  <c r="A176" i="3"/>
  <c r="CX176" i="3"/>
  <c r="CY176" i="3"/>
  <c r="CZ176" i="3"/>
  <c r="DB176" i="3" s="1"/>
  <c r="DA176" i="3"/>
  <c r="DC176" i="3"/>
  <c r="A177" i="3"/>
  <c r="CY177" i="3"/>
  <c r="CZ177" i="3"/>
  <c r="DA177" i="3"/>
  <c r="DB177" i="3"/>
  <c r="DC177" i="3"/>
  <c r="A178" i="3"/>
  <c r="CY178" i="3"/>
  <c r="CZ178" i="3"/>
  <c r="DA178" i="3"/>
  <c r="DB178" i="3"/>
  <c r="DC178" i="3"/>
  <c r="A179" i="3"/>
  <c r="CY179" i="3"/>
  <c r="CZ179" i="3"/>
  <c r="DB179" i="3" s="1"/>
  <c r="DA179" i="3"/>
  <c r="DC179" i="3"/>
  <c r="A180" i="3"/>
  <c r="CY180" i="3"/>
  <c r="CZ180" i="3"/>
  <c r="DA180" i="3"/>
  <c r="DB180" i="3"/>
  <c r="DC180" i="3"/>
  <c r="A181" i="3"/>
  <c r="CY181" i="3"/>
  <c r="CZ181" i="3"/>
  <c r="DA181" i="3"/>
  <c r="DB181" i="3"/>
  <c r="DC181" i="3"/>
  <c r="A182" i="3"/>
  <c r="CY182" i="3"/>
  <c r="CZ182" i="3"/>
  <c r="DB182" i="3" s="1"/>
  <c r="DA182" i="3"/>
  <c r="DC182" i="3"/>
  <c r="A183" i="3"/>
  <c r="CY183" i="3"/>
  <c r="CZ183" i="3"/>
  <c r="DA183" i="3"/>
  <c r="DB183" i="3"/>
  <c r="DC183" i="3"/>
  <c r="A184" i="3"/>
  <c r="CY184" i="3"/>
  <c r="CZ184" i="3"/>
  <c r="DB184" i="3" s="1"/>
  <c r="DA184" i="3"/>
  <c r="DC184" i="3"/>
  <c r="A185" i="3"/>
  <c r="CY185" i="3"/>
  <c r="CZ185" i="3"/>
  <c r="DB185" i="3" s="1"/>
  <c r="DA185" i="3"/>
  <c r="DC185" i="3"/>
  <c r="A186" i="3"/>
  <c r="CY186" i="3"/>
  <c r="CZ186" i="3"/>
  <c r="DA186" i="3"/>
  <c r="DB186" i="3"/>
  <c r="DC186" i="3"/>
  <c r="A187" i="3"/>
  <c r="CY187" i="3"/>
  <c r="CZ187" i="3"/>
  <c r="DA187" i="3"/>
  <c r="DB187" i="3"/>
  <c r="DC187" i="3"/>
  <c r="A188" i="3"/>
  <c r="CY188" i="3"/>
  <c r="CZ188" i="3"/>
  <c r="DB188" i="3" s="1"/>
  <c r="DA188" i="3"/>
  <c r="DC188" i="3"/>
  <c r="A189" i="3"/>
  <c r="CY189" i="3"/>
  <c r="CZ189" i="3"/>
  <c r="DB189" i="3" s="1"/>
  <c r="DA189" i="3"/>
  <c r="DC189" i="3"/>
  <c r="A190" i="3"/>
  <c r="CY190" i="3"/>
  <c r="CZ190" i="3"/>
  <c r="DA190" i="3"/>
  <c r="DB190" i="3"/>
  <c r="DC190" i="3"/>
  <c r="A191" i="3"/>
  <c r="CY191" i="3"/>
  <c r="CZ191" i="3"/>
  <c r="DA191" i="3"/>
  <c r="DB191" i="3"/>
  <c r="DC191" i="3"/>
  <c r="A192" i="3"/>
  <c r="CY192" i="3"/>
  <c r="CZ192" i="3"/>
  <c r="DB192" i="3" s="1"/>
  <c r="DA192" i="3"/>
  <c r="DC192" i="3"/>
  <c r="A193" i="3"/>
  <c r="CY193" i="3"/>
  <c r="CZ193" i="3"/>
  <c r="DB193" i="3" s="1"/>
  <c r="DA193" i="3"/>
  <c r="DC193" i="3"/>
  <c r="A194" i="3"/>
  <c r="CY194" i="3"/>
  <c r="CZ194" i="3"/>
  <c r="DA194" i="3"/>
  <c r="DB194" i="3"/>
  <c r="DC194" i="3"/>
  <c r="A195" i="3"/>
  <c r="CY195" i="3"/>
  <c r="CZ195" i="3"/>
  <c r="DA195" i="3"/>
  <c r="DB195" i="3"/>
  <c r="DC195" i="3"/>
  <c r="A196" i="3"/>
  <c r="CY196" i="3"/>
  <c r="CZ196" i="3"/>
  <c r="DB196" i="3" s="1"/>
  <c r="DA196" i="3"/>
  <c r="DC196" i="3"/>
  <c r="A197" i="3"/>
  <c r="CY197" i="3"/>
  <c r="CZ197" i="3"/>
  <c r="DB197" i="3" s="1"/>
  <c r="DA197" i="3"/>
  <c r="DC197" i="3"/>
  <c r="A198" i="3"/>
  <c r="CY198" i="3"/>
  <c r="CZ198" i="3"/>
  <c r="DA198" i="3"/>
  <c r="DB198" i="3"/>
  <c r="DC198" i="3"/>
  <c r="A199" i="3"/>
  <c r="CY199" i="3"/>
  <c r="CZ199" i="3"/>
  <c r="DA199" i="3"/>
  <c r="DB199" i="3"/>
  <c r="DC199" i="3"/>
  <c r="A200" i="3"/>
  <c r="CY200" i="3"/>
  <c r="CZ200" i="3"/>
  <c r="DB200" i="3" s="1"/>
  <c r="DA200" i="3"/>
  <c r="DC200" i="3"/>
  <c r="A201" i="3"/>
  <c r="CY201" i="3"/>
  <c r="CZ201" i="3"/>
  <c r="DB201" i="3" s="1"/>
  <c r="DA201" i="3"/>
  <c r="DC201" i="3"/>
  <c r="A202" i="3"/>
  <c r="CY202" i="3"/>
  <c r="CZ202" i="3"/>
  <c r="DA202" i="3"/>
  <c r="DB202" i="3"/>
  <c r="DC202" i="3"/>
  <c r="A203" i="3"/>
  <c r="CY203" i="3"/>
  <c r="CZ203" i="3"/>
  <c r="DA203" i="3"/>
  <c r="DB203" i="3"/>
  <c r="DC203" i="3"/>
  <c r="A204" i="3"/>
  <c r="CY204" i="3"/>
  <c r="CZ204" i="3"/>
  <c r="DB204" i="3" s="1"/>
  <c r="DA204" i="3"/>
  <c r="DC204" i="3"/>
  <c r="A205" i="3"/>
  <c r="CY205" i="3"/>
  <c r="CZ205" i="3"/>
  <c r="DB205" i="3" s="1"/>
  <c r="DA205" i="3"/>
  <c r="DC205" i="3"/>
  <c r="A206" i="3"/>
  <c r="CY206" i="3"/>
  <c r="CZ206" i="3"/>
  <c r="DA206" i="3"/>
  <c r="DB206" i="3"/>
  <c r="DC206" i="3"/>
  <c r="A207" i="3"/>
  <c r="CY207" i="3"/>
  <c r="CZ207" i="3"/>
  <c r="DA207" i="3"/>
  <c r="DB207" i="3"/>
  <c r="DC207" i="3"/>
  <c r="A208" i="3"/>
  <c r="CY208" i="3"/>
  <c r="CZ208" i="3"/>
  <c r="DB208" i="3" s="1"/>
  <c r="DA208" i="3"/>
  <c r="DC208" i="3"/>
  <c r="A209" i="3"/>
  <c r="CY209" i="3"/>
  <c r="CZ209" i="3"/>
  <c r="DB209" i="3" s="1"/>
  <c r="DA209" i="3"/>
  <c r="DC209" i="3"/>
  <c r="A210" i="3"/>
  <c r="CY210" i="3"/>
  <c r="CZ210" i="3"/>
  <c r="DA210" i="3"/>
  <c r="DB210" i="3"/>
  <c r="DC210" i="3"/>
  <c r="A211" i="3"/>
  <c r="CY211" i="3"/>
  <c r="CZ211" i="3"/>
  <c r="DA211" i="3"/>
  <c r="DB211" i="3"/>
  <c r="DC211" i="3"/>
  <c r="A212" i="3"/>
  <c r="CY212" i="3"/>
  <c r="CZ212" i="3"/>
  <c r="DB212" i="3" s="1"/>
  <c r="DA212" i="3"/>
  <c r="DC212" i="3"/>
  <c r="A213" i="3"/>
  <c r="CY213" i="3"/>
  <c r="CZ213" i="3"/>
  <c r="DB213" i="3" s="1"/>
  <c r="DA213" i="3"/>
  <c r="DC213" i="3"/>
  <c r="A214" i="3"/>
  <c r="CY214" i="3"/>
  <c r="CZ214" i="3"/>
  <c r="DA214" i="3"/>
  <c r="DB214" i="3"/>
  <c r="DC214" i="3"/>
  <c r="A215" i="3"/>
  <c r="CY215" i="3"/>
  <c r="CZ215" i="3"/>
  <c r="DA215" i="3"/>
  <c r="DB215" i="3"/>
  <c r="DC215" i="3"/>
  <c r="A216" i="3"/>
  <c r="CY216" i="3"/>
  <c r="CZ216" i="3"/>
  <c r="DB216" i="3" s="1"/>
  <c r="DA216" i="3"/>
  <c r="DC216" i="3"/>
  <c r="A217" i="3"/>
  <c r="CY217" i="3"/>
  <c r="CZ217" i="3"/>
  <c r="DB217" i="3" s="1"/>
  <c r="DA217" i="3"/>
  <c r="DC217" i="3"/>
  <c r="A218" i="3"/>
  <c r="CY218" i="3"/>
  <c r="CZ218" i="3"/>
  <c r="DA218" i="3"/>
  <c r="DB218" i="3"/>
  <c r="DC218" i="3"/>
  <c r="A219" i="3"/>
  <c r="CY219" i="3"/>
  <c r="CZ219" i="3"/>
  <c r="DA219" i="3"/>
  <c r="DB219" i="3"/>
  <c r="DC219" i="3"/>
  <c r="A220" i="3"/>
  <c r="CY220" i="3"/>
  <c r="CZ220" i="3"/>
  <c r="DB220" i="3" s="1"/>
  <c r="DA220" i="3"/>
  <c r="DC220" i="3"/>
  <c r="A221" i="3"/>
  <c r="CY221" i="3"/>
  <c r="CZ221" i="3"/>
  <c r="DB221" i="3" s="1"/>
  <c r="DA221" i="3"/>
  <c r="DC221" i="3"/>
  <c r="A222" i="3"/>
  <c r="CY222" i="3"/>
  <c r="CZ222" i="3"/>
  <c r="DA222" i="3"/>
  <c r="DB222" i="3"/>
  <c r="DC222" i="3"/>
  <c r="A223" i="3"/>
  <c r="CY223" i="3"/>
  <c r="CZ223" i="3"/>
  <c r="DA223" i="3"/>
  <c r="DB223" i="3"/>
  <c r="DC223" i="3"/>
  <c r="A224" i="3"/>
  <c r="CY224" i="3"/>
  <c r="CZ224" i="3"/>
  <c r="DB224" i="3" s="1"/>
  <c r="DA224" i="3"/>
  <c r="DC224" i="3"/>
  <c r="A225" i="3"/>
  <c r="CY225" i="3"/>
  <c r="CZ225" i="3"/>
  <c r="DB225" i="3" s="1"/>
  <c r="DA225" i="3"/>
  <c r="DC225" i="3"/>
  <c r="A226" i="3"/>
  <c r="CY226" i="3"/>
  <c r="CZ226" i="3"/>
  <c r="DA226" i="3"/>
  <c r="DB226" i="3"/>
  <c r="DC226" i="3"/>
  <c r="A227" i="3"/>
  <c r="CY227" i="3"/>
  <c r="CZ227" i="3"/>
  <c r="DA227" i="3"/>
  <c r="DB227" i="3"/>
  <c r="DC227" i="3"/>
  <c r="A228" i="3"/>
  <c r="CY228" i="3"/>
  <c r="CZ228" i="3"/>
  <c r="DB228" i="3" s="1"/>
  <c r="DA228" i="3"/>
  <c r="DC228" i="3"/>
  <c r="A229" i="3"/>
  <c r="CY229" i="3"/>
  <c r="CZ229" i="3"/>
  <c r="DB229" i="3" s="1"/>
  <c r="DA229" i="3"/>
  <c r="DC229" i="3"/>
  <c r="A230" i="3"/>
  <c r="CY230" i="3"/>
  <c r="CZ230" i="3"/>
  <c r="DA230" i="3"/>
  <c r="DB230" i="3"/>
  <c r="DC230" i="3"/>
  <c r="A231" i="3"/>
  <c r="CY231" i="3"/>
  <c r="CZ231" i="3"/>
  <c r="DA231" i="3"/>
  <c r="DB231" i="3"/>
  <c r="DC231" i="3"/>
  <c r="A232" i="3"/>
  <c r="CY232" i="3"/>
  <c r="CZ232" i="3"/>
  <c r="DB232" i="3" s="1"/>
  <c r="DA232" i="3"/>
  <c r="DC232" i="3"/>
  <c r="A233" i="3"/>
  <c r="CY233" i="3"/>
  <c r="CZ233" i="3"/>
  <c r="DB233" i="3" s="1"/>
  <c r="DA233" i="3"/>
  <c r="DC233" i="3"/>
  <c r="A234" i="3"/>
  <c r="CY234" i="3"/>
  <c r="CZ234" i="3"/>
  <c r="DA234" i="3"/>
  <c r="DB234" i="3"/>
  <c r="DC234" i="3"/>
  <c r="A235" i="3"/>
  <c r="CY235" i="3"/>
  <c r="CZ235" i="3"/>
  <c r="DA235" i="3"/>
  <c r="DB235" i="3"/>
  <c r="DC235" i="3"/>
  <c r="A236" i="3"/>
  <c r="CY236" i="3"/>
  <c r="CZ236" i="3"/>
  <c r="DB236" i="3" s="1"/>
  <c r="DA236" i="3"/>
  <c r="DC236" i="3"/>
  <c r="A237" i="3"/>
  <c r="CY237" i="3"/>
  <c r="CZ237" i="3"/>
  <c r="DB237" i="3" s="1"/>
  <c r="DA237" i="3"/>
  <c r="DC237" i="3"/>
  <c r="A238" i="3"/>
  <c r="CY238" i="3"/>
  <c r="CZ238" i="3"/>
  <c r="DA238" i="3"/>
  <c r="DB238" i="3"/>
  <c r="DC238" i="3"/>
  <c r="A239" i="3"/>
  <c r="CY239" i="3"/>
  <c r="CZ239" i="3"/>
  <c r="DA239" i="3"/>
  <c r="DB239" i="3"/>
  <c r="DC239" i="3"/>
  <c r="A240" i="3"/>
  <c r="CY240" i="3"/>
  <c r="CZ240" i="3"/>
  <c r="DB240" i="3" s="1"/>
  <c r="DA240" i="3"/>
  <c r="DC240" i="3"/>
  <c r="A241" i="3"/>
  <c r="CY241" i="3"/>
  <c r="CZ241" i="3"/>
  <c r="DB241" i="3" s="1"/>
  <c r="DA241" i="3"/>
  <c r="DC241" i="3"/>
  <c r="A242" i="3"/>
  <c r="CY242" i="3"/>
  <c r="CZ242" i="3"/>
  <c r="DA242" i="3"/>
  <c r="DB242" i="3"/>
  <c r="DC242" i="3"/>
  <c r="A243" i="3"/>
  <c r="CY243" i="3"/>
  <c r="CZ243" i="3"/>
  <c r="DA243" i="3"/>
  <c r="DB243" i="3"/>
  <c r="DC243" i="3"/>
  <c r="A244" i="3"/>
  <c r="CY244" i="3"/>
  <c r="CZ244" i="3"/>
  <c r="DB244" i="3" s="1"/>
  <c r="DA244" i="3"/>
  <c r="DC244" i="3"/>
  <c r="A245" i="3"/>
  <c r="CY245" i="3"/>
  <c r="CZ245" i="3"/>
  <c r="DB245" i="3" s="1"/>
  <c r="DA245" i="3"/>
  <c r="DC245" i="3"/>
  <c r="A246" i="3"/>
  <c r="CY246" i="3"/>
  <c r="CZ246" i="3"/>
  <c r="DA246" i="3"/>
  <c r="DB246" i="3"/>
  <c r="DC246" i="3"/>
  <c r="A247" i="3"/>
  <c r="CY247" i="3"/>
  <c r="CZ247" i="3"/>
  <c r="DA247" i="3"/>
  <c r="DB247" i="3"/>
  <c r="DC247" i="3"/>
  <c r="A248" i="3"/>
  <c r="CY248" i="3"/>
  <c r="CZ248" i="3"/>
  <c r="DB248" i="3" s="1"/>
  <c r="DA248" i="3"/>
  <c r="DC248" i="3"/>
  <c r="A249" i="3"/>
  <c r="CY249" i="3"/>
  <c r="CZ249" i="3"/>
  <c r="DB249" i="3" s="1"/>
  <c r="DA249" i="3"/>
  <c r="DC249" i="3"/>
  <c r="A250" i="3"/>
  <c r="CY250" i="3"/>
  <c r="CZ250" i="3"/>
  <c r="DA250" i="3"/>
  <c r="DB250" i="3"/>
  <c r="DC250" i="3"/>
  <c r="A251" i="3"/>
  <c r="CY251" i="3"/>
  <c r="CZ251" i="3"/>
  <c r="DA251" i="3"/>
  <c r="DB251" i="3"/>
  <c r="DC251" i="3"/>
  <c r="A252" i="3"/>
  <c r="CY252" i="3"/>
  <c r="CZ252" i="3"/>
  <c r="DB252" i="3" s="1"/>
  <c r="DA252" i="3"/>
  <c r="DC252" i="3"/>
  <c r="A253" i="3"/>
  <c r="CY253" i="3"/>
  <c r="CZ253" i="3"/>
  <c r="DB253" i="3" s="1"/>
  <c r="DA253" i="3"/>
  <c r="DC253" i="3"/>
  <c r="A254" i="3"/>
  <c r="CY254" i="3"/>
  <c r="CZ254" i="3"/>
  <c r="DA254" i="3"/>
  <c r="DB254" i="3"/>
  <c r="DC254" i="3"/>
  <c r="A255" i="3"/>
  <c r="CY255" i="3"/>
  <c r="CZ255" i="3"/>
  <c r="DA255" i="3"/>
  <c r="DB255" i="3"/>
  <c r="DC255" i="3"/>
  <c r="A256" i="3"/>
  <c r="CY256" i="3"/>
  <c r="CZ256" i="3"/>
  <c r="DB256" i="3" s="1"/>
  <c r="DA256" i="3"/>
  <c r="DC256" i="3"/>
  <c r="A257" i="3"/>
  <c r="CY257" i="3"/>
  <c r="CZ257" i="3"/>
  <c r="DB257" i="3" s="1"/>
  <c r="DA257" i="3"/>
  <c r="DC257" i="3"/>
  <c r="A258" i="3"/>
  <c r="CY258" i="3"/>
  <c r="CZ258" i="3"/>
  <c r="DA258" i="3"/>
  <c r="DB258" i="3"/>
  <c r="DC258" i="3"/>
  <c r="A259" i="3"/>
  <c r="CY259" i="3"/>
  <c r="CZ259" i="3"/>
  <c r="DA259" i="3"/>
  <c r="DB259" i="3"/>
  <c r="DC259" i="3"/>
  <c r="A260" i="3"/>
  <c r="CY260" i="3"/>
  <c r="CZ260" i="3"/>
  <c r="DB260" i="3" s="1"/>
  <c r="DA260" i="3"/>
  <c r="DC260" i="3"/>
  <c r="A261" i="3"/>
  <c r="CY261" i="3"/>
  <c r="CZ261" i="3"/>
  <c r="DB261" i="3" s="1"/>
  <c r="DA261" i="3"/>
  <c r="DC261" i="3"/>
  <c r="A262" i="3"/>
  <c r="CY262" i="3"/>
  <c r="CZ262" i="3"/>
  <c r="DA262" i="3"/>
  <c r="DB262" i="3"/>
  <c r="DC262" i="3"/>
  <c r="A263" i="3"/>
  <c r="CY263" i="3"/>
  <c r="CZ263" i="3"/>
  <c r="DA263" i="3"/>
  <c r="DB263" i="3"/>
  <c r="DC263" i="3"/>
  <c r="A264" i="3"/>
  <c r="CY264" i="3"/>
  <c r="CZ264" i="3"/>
  <c r="DB264" i="3" s="1"/>
  <c r="DA264" i="3"/>
  <c r="DC264" i="3"/>
  <c r="A265" i="3"/>
  <c r="CY265" i="3"/>
  <c r="CZ265" i="3"/>
  <c r="DB265" i="3" s="1"/>
  <c r="DA265" i="3"/>
  <c r="DC265" i="3"/>
  <c r="A266" i="3"/>
  <c r="CY266" i="3"/>
  <c r="CZ266" i="3"/>
  <c r="DA266" i="3"/>
  <c r="DB266" i="3"/>
  <c r="DC266" i="3"/>
  <c r="A267" i="3"/>
  <c r="CY267" i="3"/>
  <c r="CZ267" i="3"/>
  <c r="DA267" i="3"/>
  <c r="DB267" i="3"/>
  <c r="DC267" i="3"/>
  <c r="A268" i="3"/>
  <c r="CY268" i="3"/>
  <c r="CZ268" i="3"/>
  <c r="DB268" i="3" s="1"/>
  <c r="DA268" i="3"/>
  <c r="DC268" i="3"/>
  <c r="A269" i="3"/>
  <c r="CY269" i="3"/>
  <c r="CZ269" i="3"/>
  <c r="DB269" i="3" s="1"/>
  <c r="DA269" i="3"/>
  <c r="DC269" i="3"/>
  <c r="A270" i="3"/>
  <c r="CY270" i="3"/>
  <c r="CZ270" i="3"/>
  <c r="DA270" i="3"/>
  <c r="DB270" i="3"/>
  <c r="DC270" i="3"/>
  <c r="A271" i="3"/>
  <c r="CY271" i="3"/>
  <c r="CZ271" i="3"/>
  <c r="DA271" i="3"/>
  <c r="DB271" i="3"/>
  <c r="DC271" i="3"/>
  <c r="A272" i="3"/>
  <c r="CY272" i="3"/>
  <c r="CZ272" i="3"/>
  <c r="DB272" i="3" s="1"/>
  <c r="DA272" i="3"/>
  <c r="DC272" i="3"/>
  <c r="A273" i="3"/>
  <c r="CY273" i="3"/>
  <c r="CZ273" i="3"/>
  <c r="DB273" i="3" s="1"/>
  <c r="DA273" i="3"/>
  <c r="DC273" i="3"/>
  <c r="A274" i="3"/>
  <c r="CY274" i="3"/>
  <c r="CZ274" i="3"/>
  <c r="DA274" i="3"/>
  <c r="DB274" i="3"/>
  <c r="DC274" i="3"/>
  <c r="A275" i="3"/>
  <c r="CY275" i="3"/>
  <c r="CZ275" i="3"/>
  <c r="DA275" i="3"/>
  <c r="DB275" i="3"/>
  <c r="DC275" i="3"/>
  <c r="A276" i="3"/>
  <c r="CY276" i="3"/>
  <c r="CZ276" i="3"/>
  <c r="DB276" i="3" s="1"/>
  <c r="DA276" i="3"/>
  <c r="DC276" i="3"/>
  <c r="A277" i="3"/>
  <c r="CY277" i="3"/>
  <c r="CZ277" i="3"/>
  <c r="DB277" i="3" s="1"/>
  <c r="DA277" i="3"/>
  <c r="DC277" i="3"/>
  <c r="A278" i="3"/>
  <c r="CY278" i="3"/>
  <c r="CZ278" i="3"/>
  <c r="DA278" i="3"/>
  <c r="DB278" i="3"/>
  <c r="DC278" i="3"/>
  <c r="A279" i="3"/>
  <c r="CY279" i="3"/>
  <c r="CZ279" i="3"/>
  <c r="DA279" i="3"/>
  <c r="DB279" i="3"/>
  <c r="DC279" i="3"/>
  <c r="A280" i="3"/>
  <c r="CY280" i="3"/>
  <c r="CZ280" i="3"/>
  <c r="DB280" i="3" s="1"/>
  <c r="DA280" i="3"/>
  <c r="DC280" i="3"/>
  <c r="A281" i="3"/>
  <c r="CY281" i="3"/>
  <c r="CZ281" i="3"/>
  <c r="DB281" i="3" s="1"/>
  <c r="DA281" i="3"/>
  <c r="DC281" i="3"/>
  <c r="A282" i="3"/>
  <c r="CY282" i="3"/>
  <c r="CZ282" i="3"/>
  <c r="DA282" i="3"/>
  <c r="DB282" i="3"/>
  <c r="DC282" i="3"/>
  <c r="A283" i="3"/>
  <c r="CY283" i="3"/>
  <c r="CZ283" i="3"/>
  <c r="DA283" i="3"/>
  <c r="DB283" i="3"/>
  <c r="DC283" i="3"/>
  <c r="A284" i="3"/>
  <c r="CY284" i="3"/>
  <c r="CZ284" i="3"/>
  <c r="DB284" i="3" s="1"/>
  <c r="DA284" i="3"/>
  <c r="DC284" i="3"/>
  <c r="A285" i="3"/>
  <c r="CY285" i="3"/>
  <c r="CZ285" i="3"/>
  <c r="DB285" i="3" s="1"/>
  <c r="DA285" i="3"/>
  <c r="DC285" i="3"/>
  <c r="A286" i="3"/>
  <c r="CY286" i="3"/>
  <c r="CZ286" i="3"/>
  <c r="DA286" i="3"/>
  <c r="DB286" i="3"/>
  <c r="DC286" i="3"/>
  <c r="A287" i="3"/>
  <c r="CY287" i="3"/>
  <c r="CZ287" i="3"/>
  <c r="DA287" i="3"/>
  <c r="DB287" i="3"/>
  <c r="DC287" i="3"/>
  <c r="A288" i="3"/>
  <c r="CY288" i="3"/>
  <c r="CZ288" i="3"/>
  <c r="DB288" i="3" s="1"/>
  <c r="DA288" i="3"/>
  <c r="DC288" i="3"/>
  <c r="A289" i="3"/>
  <c r="CY289" i="3"/>
  <c r="CZ289" i="3"/>
  <c r="DB289" i="3" s="1"/>
  <c r="DA289" i="3"/>
  <c r="DC289" i="3"/>
  <c r="A290" i="3"/>
  <c r="CY290" i="3"/>
  <c r="CZ290" i="3"/>
  <c r="DA290" i="3"/>
  <c r="DB290" i="3"/>
  <c r="DC290" i="3"/>
  <c r="A291" i="3"/>
  <c r="CY291" i="3"/>
  <c r="CZ291" i="3"/>
  <c r="DA291" i="3"/>
  <c r="DB291" i="3"/>
  <c r="DC291" i="3"/>
  <c r="A292" i="3"/>
  <c r="CY292" i="3"/>
  <c r="CZ292" i="3"/>
  <c r="DB292" i="3" s="1"/>
  <c r="DA292" i="3"/>
  <c r="DC292" i="3"/>
  <c r="A293" i="3"/>
  <c r="CY293" i="3"/>
  <c r="CZ293" i="3"/>
  <c r="DB293" i="3" s="1"/>
  <c r="DA293" i="3"/>
  <c r="DC293" i="3"/>
  <c r="A294" i="3"/>
  <c r="CY294" i="3"/>
  <c r="CZ294" i="3"/>
  <c r="DA294" i="3"/>
  <c r="DB294" i="3"/>
  <c r="DC294" i="3"/>
  <c r="A295" i="3"/>
  <c r="CY295" i="3"/>
  <c r="CZ295" i="3"/>
  <c r="DA295" i="3"/>
  <c r="DB295" i="3"/>
  <c r="DC295" i="3"/>
  <c r="A296" i="3"/>
  <c r="CX296" i="3"/>
  <c r="CY296" i="3"/>
  <c r="CZ296" i="3"/>
  <c r="DB296" i="3" s="1"/>
  <c r="DA296" i="3"/>
  <c r="DC296" i="3"/>
  <c r="A297" i="3"/>
  <c r="CX297" i="3"/>
  <c r="CY297" i="3"/>
  <c r="CZ297" i="3"/>
  <c r="DB297" i="3" s="1"/>
  <c r="DA297" i="3"/>
  <c r="DC297" i="3"/>
  <c r="A298" i="3"/>
  <c r="CX298" i="3"/>
  <c r="CY298" i="3"/>
  <c r="CZ298" i="3"/>
  <c r="DA298" i="3"/>
  <c r="DB298" i="3"/>
  <c r="DC298" i="3"/>
  <c r="A299" i="3"/>
  <c r="CX299" i="3"/>
  <c r="CY299" i="3"/>
  <c r="CZ299" i="3"/>
  <c r="DA299" i="3"/>
  <c r="DB299" i="3"/>
  <c r="DC299" i="3"/>
  <c r="A300" i="3"/>
  <c r="CX300" i="3"/>
  <c r="CY300" i="3"/>
  <c r="CZ300" i="3"/>
  <c r="DB300" i="3" s="1"/>
  <c r="DA300" i="3"/>
  <c r="DC300" i="3"/>
  <c r="A301" i="3"/>
  <c r="CX301" i="3"/>
  <c r="CY301" i="3"/>
  <c r="CZ301" i="3"/>
  <c r="DB301" i="3" s="1"/>
  <c r="DA301" i="3"/>
  <c r="DC301" i="3"/>
  <c r="A302" i="3"/>
  <c r="CX302" i="3"/>
  <c r="CY302" i="3"/>
  <c r="CZ302" i="3"/>
  <c r="DA302" i="3"/>
  <c r="DB302" i="3"/>
  <c r="DC302" i="3"/>
  <c r="A303" i="3"/>
  <c r="CX303" i="3"/>
  <c r="CY303" i="3"/>
  <c r="CZ303" i="3"/>
  <c r="DA303" i="3"/>
  <c r="DB303" i="3"/>
  <c r="DC303" i="3"/>
  <c r="A304" i="3"/>
  <c r="CX304" i="3"/>
  <c r="CY304" i="3"/>
  <c r="CZ304" i="3"/>
  <c r="DB304" i="3" s="1"/>
  <c r="DA304" i="3"/>
  <c r="DC304" i="3"/>
  <c r="A305" i="3"/>
  <c r="CX305" i="3"/>
  <c r="CY305" i="3"/>
  <c r="CZ305" i="3"/>
  <c r="DB305" i="3" s="1"/>
  <c r="DA305" i="3"/>
  <c r="DC305" i="3"/>
  <c r="A306" i="3"/>
  <c r="CY306" i="3"/>
  <c r="CZ306" i="3"/>
  <c r="DA306" i="3"/>
  <c r="DB306" i="3"/>
  <c r="DC306" i="3"/>
  <c r="A307" i="3"/>
  <c r="CY307" i="3"/>
  <c r="CZ307" i="3"/>
  <c r="DA307" i="3"/>
  <c r="DB307" i="3"/>
  <c r="DC307" i="3"/>
  <c r="A308" i="3"/>
  <c r="CY308" i="3"/>
  <c r="CZ308" i="3"/>
  <c r="DB308" i="3" s="1"/>
  <c r="DA308" i="3"/>
  <c r="DC308" i="3"/>
  <c r="A309" i="3"/>
  <c r="CY309" i="3"/>
  <c r="CZ309" i="3"/>
  <c r="DB309" i="3" s="1"/>
  <c r="DA309" i="3"/>
  <c r="DC309" i="3"/>
  <c r="A310" i="3"/>
  <c r="CX310" i="3"/>
  <c r="CY310" i="3"/>
  <c r="CZ310" i="3"/>
  <c r="DA310" i="3"/>
  <c r="DB310" i="3"/>
  <c r="DC310" i="3"/>
  <c r="A311" i="3"/>
  <c r="CX311" i="3"/>
  <c r="CY311" i="3"/>
  <c r="CZ311" i="3"/>
  <c r="DA311" i="3"/>
  <c r="DB311" i="3"/>
  <c r="DC311" i="3"/>
  <c r="A312" i="3"/>
  <c r="CX312" i="3"/>
  <c r="CY312" i="3"/>
  <c r="CZ312" i="3"/>
  <c r="DB312" i="3" s="1"/>
  <c r="DA312" i="3"/>
  <c r="DC312" i="3"/>
  <c r="A313" i="3"/>
  <c r="CX313" i="3"/>
  <c r="CY313" i="3"/>
  <c r="CZ313" i="3"/>
  <c r="DB313" i="3" s="1"/>
  <c r="DA313" i="3"/>
  <c r="DC313" i="3"/>
  <c r="A314" i="3"/>
  <c r="CX314" i="3"/>
  <c r="CY314" i="3"/>
  <c r="CZ314" i="3"/>
  <c r="DA314" i="3"/>
  <c r="DB314" i="3"/>
  <c r="DC314" i="3"/>
  <c r="A315" i="3"/>
  <c r="CX315" i="3"/>
  <c r="CY315" i="3"/>
  <c r="CZ315" i="3"/>
  <c r="DA315" i="3"/>
  <c r="DB315" i="3"/>
  <c r="DC315" i="3"/>
  <c r="A316" i="3"/>
  <c r="CX316" i="3"/>
  <c r="CY316" i="3"/>
  <c r="CZ316" i="3"/>
  <c r="DB316" i="3" s="1"/>
  <c r="DA316" i="3"/>
  <c r="DC316" i="3"/>
  <c r="A317" i="3"/>
  <c r="CX317" i="3"/>
  <c r="CY317" i="3"/>
  <c r="CZ317" i="3"/>
  <c r="DB317" i="3" s="1"/>
  <c r="DA317" i="3"/>
  <c r="DC317" i="3"/>
  <c r="A318" i="3"/>
  <c r="CX318" i="3"/>
  <c r="CY318" i="3"/>
  <c r="CZ318" i="3"/>
  <c r="DA318" i="3"/>
  <c r="DB318" i="3"/>
  <c r="DC318" i="3"/>
  <c r="A319" i="3"/>
  <c r="CX319" i="3"/>
  <c r="CY319" i="3"/>
  <c r="CZ319" i="3"/>
  <c r="DA319" i="3"/>
  <c r="DB319" i="3"/>
  <c r="DC319" i="3"/>
  <c r="A320" i="3"/>
  <c r="CX320" i="3"/>
  <c r="CY320" i="3"/>
  <c r="CZ320" i="3"/>
  <c r="DB320" i="3" s="1"/>
  <c r="DA320" i="3"/>
  <c r="DC320" i="3"/>
  <c r="A321" i="3"/>
  <c r="CX321" i="3"/>
  <c r="CY321" i="3"/>
  <c r="CZ321" i="3"/>
  <c r="DB321" i="3" s="1"/>
  <c r="DA321" i="3"/>
  <c r="DC321" i="3"/>
  <c r="A322" i="3"/>
  <c r="CX322" i="3"/>
  <c r="CY322" i="3"/>
  <c r="CZ322" i="3"/>
  <c r="DA322" i="3"/>
  <c r="DB322" i="3"/>
  <c r="DC322" i="3"/>
  <c r="A323" i="3"/>
  <c r="CX323" i="3"/>
  <c r="CY323" i="3"/>
  <c r="CZ323" i="3"/>
  <c r="DA323" i="3"/>
  <c r="DB323" i="3"/>
  <c r="DC323" i="3"/>
  <c r="A324" i="3"/>
  <c r="CX324" i="3"/>
  <c r="CY324" i="3"/>
  <c r="CZ324" i="3"/>
  <c r="DB324" i="3" s="1"/>
  <c r="DA324" i="3"/>
  <c r="DC324" i="3"/>
  <c r="A325" i="3"/>
  <c r="CX325" i="3"/>
  <c r="CY325" i="3"/>
  <c r="CZ325" i="3"/>
  <c r="DB325" i="3" s="1"/>
  <c r="DA325" i="3"/>
  <c r="DC325" i="3"/>
  <c r="A326" i="3"/>
  <c r="CX326" i="3"/>
  <c r="CY326" i="3"/>
  <c r="CZ326" i="3"/>
  <c r="DA326" i="3"/>
  <c r="DB326" i="3"/>
  <c r="DC326" i="3"/>
  <c r="A327" i="3"/>
  <c r="CX327" i="3"/>
  <c r="CY327" i="3"/>
  <c r="CZ327" i="3"/>
  <c r="DA327" i="3"/>
  <c r="DB327" i="3"/>
  <c r="DC327" i="3"/>
  <c r="A328" i="3"/>
  <c r="CX328" i="3"/>
  <c r="CY328" i="3"/>
  <c r="CZ328" i="3"/>
  <c r="DB328" i="3" s="1"/>
  <c r="DA328" i="3"/>
  <c r="DC328" i="3"/>
  <c r="A329" i="3"/>
  <c r="CX329" i="3"/>
  <c r="CY329" i="3"/>
  <c r="CZ329" i="3"/>
  <c r="DB329" i="3" s="1"/>
  <c r="DA329" i="3"/>
  <c r="DC329" i="3"/>
  <c r="A330" i="3"/>
  <c r="CX330" i="3"/>
  <c r="CY330" i="3"/>
  <c r="CZ330" i="3"/>
  <c r="DA330" i="3"/>
  <c r="DB330" i="3"/>
  <c r="DC330" i="3"/>
  <c r="A331" i="3"/>
  <c r="CX331" i="3"/>
  <c r="CY331" i="3"/>
  <c r="CZ331" i="3"/>
  <c r="DA331" i="3"/>
  <c r="DB331" i="3"/>
  <c r="DC331" i="3"/>
  <c r="A332" i="3"/>
  <c r="CX332" i="3"/>
  <c r="CY332" i="3"/>
  <c r="CZ332" i="3"/>
  <c r="DB332" i="3" s="1"/>
  <c r="DA332" i="3"/>
  <c r="DC332" i="3"/>
  <c r="A333" i="3"/>
  <c r="CX333" i="3"/>
  <c r="CY333" i="3"/>
  <c r="CZ333" i="3"/>
  <c r="DB333" i="3" s="1"/>
  <c r="DA333" i="3"/>
  <c r="DC333" i="3"/>
  <c r="A334" i="3"/>
  <c r="CY334" i="3"/>
  <c r="CZ334" i="3"/>
  <c r="DA334" i="3"/>
  <c r="DB334" i="3"/>
  <c r="DC334" i="3"/>
  <c r="A335" i="3"/>
  <c r="CY335" i="3"/>
  <c r="CZ335" i="3"/>
  <c r="DA335" i="3"/>
  <c r="DB335" i="3"/>
  <c r="DC335" i="3"/>
  <c r="A336" i="3"/>
  <c r="CY336" i="3"/>
  <c r="CZ336" i="3"/>
  <c r="DB336" i="3" s="1"/>
  <c r="DA336" i="3"/>
  <c r="DC336" i="3"/>
  <c r="A337" i="3"/>
  <c r="CY337" i="3"/>
  <c r="CZ337" i="3"/>
  <c r="DA337" i="3"/>
  <c r="DB337" i="3"/>
  <c r="DC337" i="3"/>
  <c r="A338" i="3"/>
  <c r="CY338" i="3"/>
  <c r="CZ338" i="3"/>
  <c r="DA338" i="3"/>
  <c r="DB338" i="3"/>
  <c r="DC338" i="3"/>
  <c r="A339" i="3"/>
  <c r="CY339" i="3"/>
  <c r="CZ339" i="3"/>
  <c r="DB339" i="3" s="1"/>
  <c r="DA339" i="3"/>
  <c r="DC339" i="3"/>
  <c r="A340" i="3"/>
  <c r="CY340" i="3"/>
  <c r="CZ340" i="3"/>
  <c r="DB340" i="3" s="1"/>
  <c r="DA340" i="3"/>
  <c r="DC340" i="3"/>
  <c r="A341" i="3"/>
  <c r="CY341" i="3"/>
  <c r="CZ341" i="3"/>
  <c r="DB341" i="3" s="1"/>
  <c r="DA341" i="3"/>
  <c r="DC341" i="3"/>
  <c r="A342" i="3"/>
  <c r="CY342" i="3"/>
  <c r="CZ342" i="3"/>
  <c r="DA342" i="3"/>
  <c r="DB342" i="3"/>
  <c r="DC342" i="3"/>
  <c r="A343" i="3"/>
  <c r="CY343" i="3"/>
  <c r="CZ343" i="3"/>
  <c r="DA343" i="3"/>
  <c r="DB343" i="3"/>
  <c r="DC343" i="3"/>
  <c r="A344" i="3"/>
  <c r="CY344" i="3"/>
  <c r="CZ344" i="3"/>
  <c r="DB344" i="3" s="1"/>
  <c r="DA344" i="3"/>
  <c r="DC344" i="3"/>
  <c r="A345" i="3"/>
  <c r="CY345" i="3"/>
  <c r="CZ345" i="3"/>
  <c r="DA345" i="3"/>
  <c r="DB345" i="3"/>
  <c r="DC345" i="3"/>
  <c r="A346" i="3"/>
  <c r="CY346" i="3"/>
  <c r="CZ346" i="3"/>
  <c r="DA346" i="3"/>
  <c r="DB346" i="3"/>
  <c r="DC346" i="3"/>
  <c r="A347" i="3"/>
  <c r="CY347" i="3"/>
  <c r="CZ347" i="3"/>
  <c r="DB347" i="3" s="1"/>
  <c r="DA347" i="3"/>
  <c r="DC347" i="3"/>
  <c r="A348" i="3"/>
  <c r="CY348" i="3"/>
  <c r="CZ348" i="3"/>
  <c r="DB348" i="3" s="1"/>
  <c r="DA348" i="3"/>
  <c r="DC348" i="3"/>
  <c r="A349" i="3"/>
  <c r="CY349" i="3"/>
  <c r="CZ349" i="3"/>
  <c r="DB349" i="3" s="1"/>
  <c r="DA349" i="3"/>
  <c r="DC349" i="3"/>
  <c r="A350" i="3"/>
  <c r="CY350" i="3"/>
  <c r="CZ350" i="3"/>
  <c r="DA350" i="3"/>
  <c r="DB350" i="3"/>
  <c r="DC350" i="3"/>
  <c r="A351" i="3"/>
  <c r="CY351" i="3"/>
  <c r="CZ351" i="3"/>
  <c r="DA351" i="3"/>
  <c r="DB351" i="3"/>
  <c r="DC351" i="3"/>
  <c r="A352" i="3"/>
  <c r="CY352" i="3"/>
  <c r="CZ352" i="3"/>
  <c r="DB352" i="3" s="1"/>
  <c r="DA352" i="3"/>
  <c r="DC352" i="3"/>
  <c r="A353" i="3"/>
  <c r="CY353" i="3"/>
  <c r="CZ353" i="3"/>
  <c r="DA353" i="3"/>
  <c r="DB353" i="3"/>
  <c r="DC353" i="3"/>
  <c r="A354" i="3"/>
  <c r="CY354" i="3"/>
  <c r="CZ354" i="3"/>
  <c r="DA354" i="3"/>
  <c r="DB354" i="3"/>
  <c r="DC354" i="3"/>
  <c r="A355" i="3"/>
  <c r="CY355" i="3"/>
  <c r="CZ355" i="3"/>
  <c r="DB355" i="3" s="1"/>
  <c r="DA355" i="3"/>
  <c r="DC355" i="3"/>
  <c r="A356" i="3"/>
  <c r="CY356" i="3"/>
  <c r="CZ356" i="3"/>
  <c r="DB356" i="3" s="1"/>
  <c r="DA356" i="3"/>
  <c r="DC356" i="3"/>
  <c r="A357" i="3"/>
  <c r="CY357" i="3"/>
  <c r="CZ357" i="3"/>
  <c r="DB357" i="3" s="1"/>
  <c r="DA357" i="3"/>
  <c r="DC357" i="3"/>
  <c r="A358" i="3"/>
  <c r="CY358" i="3"/>
  <c r="CZ358" i="3"/>
  <c r="DA358" i="3"/>
  <c r="DB358" i="3"/>
  <c r="DC358" i="3"/>
  <c r="A359" i="3"/>
  <c r="CY359" i="3"/>
  <c r="CZ359" i="3"/>
  <c r="DA359" i="3"/>
  <c r="DB359" i="3"/>
  <c r="DC359" i="3"/>
  <c r="A360" i="3"/>
  <c r="CY360" i="3"/>
  <c r="CZ360" i="3"/>
  <c r="DB360" i="3" s="1"/>
  <c r="DA360" i="3"/>
  <c r="DC360" i="3"/>
  <c r="A361" i="3"/>
  <c r="CY361" i="3"/>
  <c r="CZ361" i="3"/>
  <c r="DA361" i="3"/>
  <c r="DB361" i="3"/>
  <c r="DC361" i="3"/>
  <c r="A362" i="3"/>
  <c r="CY362" i="3"/>
  <c r="CZ362" i="3"/>
  <c r="DA362" i="3"/>
  <c r="DB362" i="3"/>
  <c r="DC362" i="3"/>
  <c r="A363" i="3"/>
  <c r="CY363" i="3"/>
  <c r="CZ363" i="3"/>
  <c r="DB363" i="3" s="1"/>
  <c r="DA363" i="3"/>
  <c r="DC363" i="3"/>
  <c r="A364" i="3"/>
  <c r="CY364" i="3"/>
  <c r="CZ364" i="3"/>
  <c r="DB364" i="3" s="1"/>
  <c r="DA364" i="3"/>
  <c r="DC364" i="3"/>
  <c r="A365" i="3"/>
  <c r="CY365" i="3"/>
  <c r="CZ365" i="3"/>
  <c r="DB365" i="3" s="1"/>
  <c r="DA365" i="3"/>
  <c r="DC365" i="3"/>
  <c r="A366" i="3"/>
  <c r="CY366" i="3"/>
  <c r="CZ366" i="3"/>
  <c r="DA366" i="3"/>
  <c r="DB366" i="3"/>
  <c r="DC366" i="3"/>
  <c r="A367" i="3"/>
  <c r="CY367" i="3"/>
  <c r="CZ367" i="3"/>
  <c r="DA367" i="3"/>
  <c r="DB367" i="3"/>
  <c r="DC367" i="3"/>
  <c r="A368" i="3"/>
  <c r="CY368" i="3"/>
  <c r="CZ368" i="3"/>
  <c r="DB368" i="3" s="1"/>
  <c r="DA368" i="3"/>
  <c r="DC368" i="3"/>
  <c r="A369" i="3"/>
  <c r="CY369" i="3"/>
  <c r="CZ369" i="3"/>
  <c r="DA369" i="3"/>
  <c r="DB369" i="3"/>
  <c r="DC369" i="3"/>
  <c r="A370" i="3"/>
  <c r="CY370" i="3"/>
  <c r="CZ370" i="3"/>
  <c r="DA370" i="3"/>
  <c r="DB370" i="3"/>
  <c r="DC370" i="3"/>
  <c r="A371" i="3"/>
  <c r="CY371" i="3"/>
  <c r="CZ371" i="3"/>
  <c r="DB371" i="3" s="1"/>
  <c r="DA371" i="3"/>
  <c r="DC371" i="3"/>
  <c r="A372" i="3"/>
  <c r="CY372" i="3"/>
  <c r="CZ372" i="3"/>
  <c r="DB372" i="3" s="1"/>
  <c r="DA372" i="3"/>
  <c r="DC372" i="3"/>
  <c r="A373" i="3"/>
  <c r="CY373" i="3"/>
  <c r="CZ373" i="3"/>
  <c r="DB373" i="3" s="1"/>
  <c r="DA373" i="3"/>
  <c r="DC373" i="3"/>
  <c r="A374" i="3"/>
  <c r="CY374" i="3"/>
  <c r="CZ374" i="3"/>
  <c r="DA374" i="3"/>
  <c r="DB374" i="3"/>
  <c r="DC374" i="3"/>
  <c r="A375" i="3"/>
  <c r="CY375" i="3"/>
  <c r="CZ375" i="3"/>
  <c r="DA375" i="3"/>
  <c r="DB375" i="3"/>
  <c r="DC375" i="3"/>
  <c r="A376" i="3"/>
  <c r="CY376" i="3"/>
  <c r="CZ376" i="3"/>
  <c r="DB376" i="3" s="1"/>
  <c r="DA376" i="3"/>
  <c r="DC376" i="3"/>
  <c r="A377" i="3"/>
  <c r="CY377" i="3"/>
  <c r="CZ377" i="3"/>
  <c r="DA377" i="3"/>
  <c r="DB377" i="3"/>
  <c r="DC377" i="3"/>
  <c r="A378" i="3"/>
  <c r="CY378" i="3"/>
  <c r="CZ378" i="3"/>
  <c r="DA378" i="3"/>
  <c r="DB378" i="3"/>
  <c r="DC378" i="3"/>
  <c r="A379" i="3"/>
  <c r="CY379" i="3"/>
  <c r="CZ379" i="3"/>
  <c r="DB379" i="3" s="1"/>
  <c r="DA379" i="3"/>
  <c r="DC379" i="3"/>
  <c r="A380" i="3"/>
  <c r="CY380" i="3"/>
  <c r="CZ380" i="3"/>
  <c r="DB380" i="3" s="1"/>
  <c r="DA380" i="3"/>
  <c r="DC380" i="3"/>
  <c r="A381" i="3"/>
  <c r="CY381" i="3"/>
  <c r="CZ381" i="3"/>
  <c r="DB381" i="3" s="1"/>
  <c r="DA381" i="3"/>
  <c r="DC381" i="3"/>
  <c r="A382" i="3"/>
  <c r="CY382" i="3"/>
  <c r="CZ382" i="3"/>
  <c r="DA382" i="3"/>
  <c r="DB382" i="3"/>
  <c r="DC382" i="3"/>
  <c r="A383" i="3"/>
  <c r="CY383" i="3"/>
  <c r="CZ383" i="3"/>
  <c r="DA383" i="3"/>
  <c r="DB383" i="3"/>
  <c r="DC383" i="3"/>
  <c r="A384" i="3"/>
  <c r="CY384" i="3"/>
  <c r="CZ384" i="3"/>
  <c r="DB384" i="3" s="1"/>
  <c r="DA384" i="3"/>
  <c r="DC384" i="3"/>
  <c r="A385" i="3"/>
  <c r="CY385" i="3"/>
  <c r="CZ385" i="3"/>
  <c r="DA385" i="3"/>
  <c r="DB385" i="3"/>
  <c r="DC385" i="3"/>
  <c r="A386" i="3"/>
  <c r="CY386" i="3"/>
  <c r="CZ386" i="3"/>
  <c r="DA386" i="3"/>
  <c r="DB386" i="3"/>
  <c r="DC386" i="3"/>
  <c r="A387" i="3"/>
  <c r="CY387" i="3"/>
  <c r="CZ387" i="3"/>
  <c r="DB387" i="3" s="1"/>
  <c r="DA387" i="3"/>
  <c r="DC387" i="3"/>
  <c r="A388" i="3"/>
  <c r="CY388" i="3"/>
  <c r="CZ388" i="3"/>
  <c r="DB388" i="3" s="1"/>
  <c r="DA388" i="3"/>
  <c r="DC388" i="3"/>
  <c r="A389" i="3"/>
  <c r="CY389" i="3"/>
  <c r="CZ389" i="3"/>
  <c r="DB389" i="3" s="1"/>
  <c r="DA389" i="3"/>
  <c r="DC389" i="3"/>
  <c r="A390" i="3"/>
  <c r="CY390" i="3"/>
  <c r="CZ390" i="3"/>
  <c r="DA390" i="3"/>
  <c r="DB390" i="3"/>
  <c r="DC390" i="3"/>
  <c r="A391" i="3"/>
  <c r="CY391" i="3"/>
  <c r="CZ391" i="3"/>
  <c r="DA391" i="3"/>
  <c r="DB391" i="3"/>
  <c r="DC391" i="3"/>
  <c r="A392" i="3"/>
  <c r="CY392" i="3"/>
  <c r="CZ392" i="3"/>
  <c r="DB392" i="3" s="1"/>
  <c r="DA392" i="3"/>
  <c r="DC392" i="3"/>
  <c r="A393" i="3"/>
  <c r="CY393" i="3"/>
  <c r="CZ393" i="3"/>
  <c r="DA393" i="3"/>
  <c r="DB393" i="3"/>
  <c r="DC393" i="3"/>
  <c r="A394" i="3"/>
  <c r="CY394" i="3"/>
  <c r="CZ394" i="3"/>
  <c r="DA394" i="3"/>
  <c r="DB394" i="3"/>
  <c r="DC394" i="3"/>
  <c r="A395" i="3"/>
  <c r="CY395" i="3"/>
  <c r="CZ395" i="3"/>
  <c r="DB395" i="3" s="1"/>
  <c r="DA395" i="3"/>
  <c r="DC395" i="3"/>
  <c r="A396" i="3"/>
  <c r="CY396" i="3"/>
  <c r="CZ396" i="3"/>
  <c r="DB396" i="3" s="1"/>
  <c r="DA396" i="3"/>
  <c r="DC396" i="3"/>
  <c r="A397" i="3"/>
  <c r="CY397" i="3"/>
  <c r="CZ397" i="3"/>
  <c r="DB397" i="3" s="1"/>
  <c r="DA397" i="3"/>
  <c r="DC397" i="3"/>
  <c r="A398" i="3"/>
  <c r="CY398" i="3"/>
  <c r="CZ398" i="3"/>
  <c r="DA398" i="3"/>
  <c r="DB398" i="3"/>
  <c r="DC398" i="3"/>
  <c r="A399" i="3"/>
  <c r="CY399" i="3"/>
  <c r="CZ399" i="3"/>
  <c r="DA399" i="3"/>
  <c r="DB399" i="3"/>
  <c r="DC399" i="3"/>
  <c r="A400" i="3"/>
  <c r="CY400" i="3"/>
  <c r="CZ400" i="3"/>
  <c r="DB400" i="3" s="1"/>
  <c r="DA400" i="3"/>
  <c r="DC400" i="3"/>
  <c r="A401" i="3"/>
  <c r="CY401" i="3"/>
  <c r="CZ401" i="3"/>
  <c r="DA401" i="3"/>
  <c r="DB401" i="3"/>
  <c r="DC401" i="3"/>
  <c r="A402" i="3"/>
  <c r="CY402" i="3"/>
  <c r="CZ402" i="3"/>
  <c r="DA402" i="3"/>
  <c r="DB402" i="3"/>
  <c r="DC402" i="3"/>
  <c r="A403" i="3"/>
  <c r="CY403" i="3"/>
  <c r="CZ403" i="3"/>
  <c r="DB403" i="3" s="1"/>
  <c r="DA403" i="3"/>
  <c r="DC403" i="3"/>
  <c r="A404" i="3"/>
  <c r="CY404" i="3"/>
  <c r="CZ404" i="3"/>
  <c r="DB404" i="3" s="1"/>
  <c r="DA404" i="3"/>
  <c r="DC404" i="3"/>
  <c r="A405" i="3"/>
  <c r="CY405" i="3"/>
  <c r="CZ405" i="3"/>
  <c r="DB405" i="3" s="1"/>
  <c r="DA405" i="3"/>
  <c r="DC405" i="3"/>
  <c r="A406" i="3"/>
  <c r="CY406" i="3"/>
  <c r="CZ406" i="3"/>
  <c r="DA406" i="3"/>
  <c r="DB406" i="3"/>
  <c r="DC406" i="3"/>
  <c r="A407" i="3"/>
  <c r="CY407" i="3"/>
  <c r="CZ407" i="3"/>
  <c r="DA407" i="3"/>
  <c r="DB407" i="3"/>
  <c r="DC407" i="3"/>
  <c r="A408" i="3"/>
  <c r="CY408" i="3"/>
  <c r="CZ408" i="3"/>
  <c r="DB408" i="3" s="1"/>
  <c r="DA408" i="3"/>
  <c r="DC408" i="3"/>
  <c r="A409" i="3"/>
  <c r="CY409" i="3"/>
  <c r="CZ409" i="3"/>
  <c r="DB409" i="3" s="1"/>
  <c r="DA409" i="3"/>
  <c r="DC409" i="3"/>
  <c r="A410" i="3"/>
  <c r="CY410" i="3"/>
  <c r="CZ410" i="3"/>
  <c r="DA410" i="3"/>
  <c r="DB410" i="3"/>
  <c r="DC410" i="3"/>
  <c r="A411" i="3"/>
  <c r="CY411" i="3"/>
  <c r="CZ411" i="3"/>
  <c r="DA411" i="3"/>
  <c r="DB411" i="3"/>
  <c r="DC411" i="3"/>
  <c r="A412" i="3"/>
  <c r="CX412" i="3"/>
  <c r="CY412" i="3"/>
  <c r="CZ412" i="3"/>
  <c r="DB412" i="3" s="1"/>
  <c r="DA412" i="3"/>
  <c r="DC412" i="3"/>
  <c r="A413" i="3"/>
  <c r="CX413" i="3"/>
  <c r="CY413" i="3"/>
  <c r="CZ413" i="3"/>
  <c r="DB413" i="3" s="1"/>
  <c r="DA413" i="3"/>
  <c r="DC413" i="3"/>
  <c r="A414" i="3"/>
  <c r="CX414" i="3"/>
  <c r="CY414" i="3"/>
  <c r="CZ414" i="3"/>
  <c r="DA414" i="3"/>
  <c r="DB414" i="3"/>
  <c r="DC414" i="3"/>
  <c r="A415" i="3"/>
  <c r="CX415" i="3"/>
  <c r="CY415" i="3"/>
  <c r="CZ415" i="3"/>
  <c r="DA415" i="3"/>
  <c r="DB415" i="3"/>
  <c r="DC415" i="3"/>
  <c r="A416" i="3"/>
  <c r="CX416" i="3"/>
  <c r="CY416" i="3"/>
  <c r="CZ416" i="3"/>
  <c r="DB416" i="3" s="1"/>
  <c r="DA416" i="3"/>
  <c r="DC416" i="3"/>
  <c r="A417" i="3"/>
  <c r="CX417" i="3"/>
  <c r="CY417" i="3"/>
  <c r="CZ417" i="3"/>
  <c r="DB417" i="3" s="1"/>
  <c r="DA417" i="3"/>
  <c r="DC417" i="3"/>
  <c r="A418" i="3"/>
  <c r="CY418" i="3"/>
  <c r="CZ418" i="3"/>
  <c r="DA418" i="3"/>
  <c r="DB418" i="3"/>
  <c r="DC418" i="3"/>
  <c r="A419" i="3"/>
  <c r="CY419" i="3"/>
  <c r="CZ419" i="3"/>
  <c r="DA419" i="3"/>
  <c r="DB419" i="3"/>
  <c r="DC419" i="3"/>
  <c r="A420" i="3"/>
  <c r="CY420" i="3"/>
  <c r="CZ420" i="3"/>
  <c r="DB420" i="3" s="1"/>
  <c r="DA420" i="3"/>
  <c r="DC420" i="3"/>
  <c r="A421" i="3"/>
  <c r="CY421" i="3"/>
  <c r="CZ421" i="3"/>
  <c r="DB421" i="3" s="1"/>
  <c r="DA421" i="3"/>
  <c r="DC421" i="3"/>
  <c r="A422" i="3"/>
  <c r="CY422" i="3"/>
  <c r="CZ422" i="3"/>
  <c r="DA422" i="3"/>
  <c r="DB422" i="3"/>
  <c r="DC422" i="3"/>
  <c r="A423" i="3"/>
  <c r="CY423" i="3"/>
  <c r="CZ423" i="3"/>
  <c r="DA423" i="3"/>
  <c r="DB423" i="3"/>
  <c r="DC423" i="3"/>
  <c r="A424" i="3"/>
  <c r="CY424" i="3"/>
  <c r="CZ424" i="3"/>
  <c r="DB424" i="3" s="1"/>
  <c r="DA424" i="3"/>
  <c r="DC424" i="3"/>
  <c r="A425" i="3"/>
  <c r="CY425" i="3"/>
  <c r="CZ425" i="3"/>
  <c r="DB425" i="3" s="1"/>
  <c r="DA425" i="3"/>
  <c r="DC425" i="3"/>
  <c r="A426" i="3"/>
  <c r="CY426" i="3"/>
  <c r="CZ426" i="3"/>
  <c r="DA426" i="3"/>
  <c r="DB426" i="3"/>
  <c r="DC426" i="3"/>
  <c r="A427" i="3"/>
  <c r="CY427" i="3"/>
  <c r="CZ427" i="3"/>
  <c r="DA427" i="3"/>
  <c r="DB427" i="3"/>
  <c r="DC427" i="3"/>
  <c r="A428" i="3"/>
  <c r="CY428" i="3"/>
  <c r="CZ428" i="3"/>
  <c r="DB428" i="3" s="1"/>
  <c r="DA428" i="3"/>
  <c r="DC428" i="3"/>
  <c r="A429" i="3"/>
  <c r="CY429" i="3"/>
  <c r="CZ429" i="3"/>
  <c r="DB429" i="3" s="1"/>
  <c r="DA429" i="3"/>
  <c r="DC429" i="3"/>
  <c r="A430" i="3"/>
  <c r="CY430" i="3"/>
  <c r="CZ430" i="3"/>
  <c r="DA430" i="3"/>
  <c r="DB430" i="3"/>
  <c r="DC430" i="3"/>
  <c r="A431" i="3"/>
  <c r="CY431" i="3"/>
  <c r="CZ431" i="3"/>
  <c r="DA431" i="3"/>
  <c r="DB431" i="3"/>
  <c r="DC431" i="3"/>
  <c r="A432" i="3"/>
  <c r="CY432" i="3"/>
  <c r="CZ432" i="3"/>
  <c r="DB432" i="3" s="1"/>
  <c r="DA432" i="3"/>
  <c r="DC432" i="3"/>
  <c r="A433" i="3"/>
  <c r="CY433" i="3"/>
  <c r="CZ433" i="3"/>
  <c r="DB433" i="3" s="1"/>
  <c r="DA433" i="3"/>
  <c r="DC433" i="3"/>
  <c r="A434" i="3"/>
  <c r="CY434" i="3"/>
  <c r="CZ434" i="3"/>
  <c r="DA434" i="3"/>
  <c r="DB434" i="3"/>
  <c r="DC434" i="3"/>
  <c r="A435" i="3"/>
  <c r="CY435" i="3"/>
  <c r="CZ435" i="3"/>
  <c r="DA435" i="3"/>
  <c r="DB435" i="3"/>
  <c r="DC435" i="3"/>
  <c r="A436" i="3"/>
  <c r="CY436" i="3"/>
  <c r="CZ436" i="3"/>
  <c r="DB436" i="3" s="1"/>
  <c r="DA436" i="3"/>
  <c r="DC436" i="3"/>
  <c r="A437" i="3"/>
  <c r="CY437" i="3"/>
  <c r="CZ437" i="3"/>
  <c r="DB437" i="3" s="1"/>
  <c r="DA437" i="3"/>
  <c r="DC437" i="3"/>
  <c r="A438" i="3"/>
  <c r="CY438" i="3"/>
  <c r="CZ438" i="3"/>
  <c r="DA438" i="3"/>
  <c r="DB438" i="3"/>
  <c r="DC438" i="3"/>
  <c r="A439" i="3"/>
  <c r="CY439" i="3"/>
  <c r="CZ439" i="3"/>
  <c r="DA439" i="3"/>
  <c r="DB439" i="3"/>
  <c r="DC439" i="3"/>
  <c r="A440" i="3"/>
  <c r="CY440" i="3"/>
  <c r="CZ440" i="3"/>
  <c r="DB440" i="3" s="1"/>
  <c r="DA440" i="3"/>
  <c r="DC440" i="3"/>
  <c r="A441" i="3"/>
  <c r="CY441" i="3"/>
  <c r="CZ441" i="3"/>
  <c r="DB441" i="3" s="1"/>
  <c r="DA441" i="3"/>
  <c r="DC441" i="3"/>
  <c r="A442" i="3"/>
  <c r="CY442" i="3"/>
  <c r="CZ442" i="3"/>
  <c r="DA442" i="3"/>
  <c r="DB442" i="3"/>
  <c r="DC442" i="3"/>
  <c r="A443" i="3"/>
  <c r="CY443" i="3"/>
  <c r="CZ443" i="3"/>
  <c r="DA443" i="3"/>
  <c r="DB443" i="3"/>
  <c r="DC443" i="3"/>
  <c r="A444" i="3"/>
  <c r="CY444" i="3"/>
  <c r="CZ444" i="3"/>
  <c r="DB444" i="3" s="1"/>
  <c r="DA444" i="3"/>
  <c r="DC444" i="3"/>
  <c r="A445" i="3"/>
  <c r="CY445" i="3"/>
  <c r="CZ445" i="3"/>
  <c r="DB445" i="3" s="1"/>
  <c r="DA445" i="3"/>
  <c r="DC445" i="3"/>
  <c r="A446" i="3"/>
  <c r="CY446" i="3"/>
  <c r="CZ446" i="3"/>
  <c r="DA446" i="3"/>
  <c r="DB446" i="3"/>
  <c r="DC446" i="3"/>
  <c r="A447" i="3"/>
  <c r="CY447" i="3"/>
  <c r="CZ447" i="3"/>
  <c r="DA447" i="3"/>
  <c r="DB447" i="3"/>
  <c r="DC447" i="3"/>
  <c r="A448" i="3"/>
  <c r="CX448" i="3"/>
  <c r="CY448" i="3"/>
  <c r="CZ448" i="3"/>
  <c r="DB448" i="3" s="1"/>
  <c r="DA448" i="3"/>
  <c r="DC448" i="3"/>
  <c r="A449" i="3"/>
  <c r="CX449" i="3"/>
  <c r="CY449" i="3"/>
  <c r="CZ449" i="3"/>
  <c r="DB449" i="3" s="1"/>
  <c r="DA449" i="3"/>
  <c r="DC449" i="3"/>
  <c r="A450" i="3"/>
  <c r="CX450" i="3"/>
  <c r="CY450" i="3"/>
  <c r="CZ450" i="3"/>
  <c r="DA450" i="3"/>
  <c r="DB450" i="3"/>
  <c r="DC450" i="3"/>
  <c r="A451" i="3"/>
  <c r="CX451" i="3"/>
  <c r="CY451" i="3"/>
  <c r="CZ451" i="3"/>
  <c r="DA451" i="3"/>
  <c r="DB451" i="3"/>
  <c r="DC451" i="3"/>
  <c r="A452" i="3"/>
  <c r="CX452" i="3"/>
  <c r="CY452" i="3"/>
  <c r="CZ452" i="3"/>
  <c r="DB452" i="3" s="1"/>
  <c r="DA452" i="3"/>
  <c r="DC452" i="3"/>
  <c r="A453" i="3"/>
  <c r="CX453" i="3"/>
  <c r="CY453" i="3"/>
  <c r="CZ453" i="3"/>
  <c r="DB453" i="3" s="1"/>
  <c r="DA453" i="3"/>
  <c r="DC453" i="3"/>
  <c r="A454" i="3"/>
  <c r="CX454" i="3"/>
  <c r="CY454" i="3"/>
  <c r="CZ454" i="3"/>
  <c r="DA454" i="3"/>
  <c r="DB454" i="3"/>
  <c r="DC454" i="3"/>
  <c r="A455" i="3"/>
  <c r="CX455" i="3"/>
  <c r="CY455" i="3"/>
  <c r="CZ455" i="3"/>
  <c r="DA455" i="3"/>
  <c r="DB455" i="3"/>
  <c r="DC455" i="3"/>
  <c r="A456" i="3"/>
  <c r="CX456" i="3"/>
  <c r="CY456" i="3"/>
  <c r="CZ456" i="3"/>
  <c r="DB456" i="3" s="1"/>
  <c r="DA456" i="3"/>
  <c r="DC456" i="3"/>
  <c r="A457" i="3"/>
  <c r="CX457" i="3"/>
  <c r="CY457" i="3"/>
  <c r="CZ457" i="3"/>
  <c r="DB457" i="3" s="1"/>
  <c r="DA457" i="3"/>
  <c r="DC457" i="3"/>
  <c r="A458" i="3"/>
  <c r="CX458" i="3"/>
  <c r="CY458" i="3"/>
  <c r="CZ458" i="3"/>
  <c r="DA458" i="3"/>
  <c r="DB458" i="3"/>
  <c r="DC458" i="3"/>
  <c r="A459" i="3"/>
  <c r="CX459" i="3"/>
  <c r="CY459" i="3"/>
  <c r="CZ459" i="3"/>
  <c r="DA459" i="3"/>
  <c r="DB459" i="3"/>
  <c r="DC459" i="3"/>
  <c r="A460" i="3"/>
  <c r="CX460" i="3"/>
  <c r="CY460" i="3"/>
  <c r="CZ460" i="3"/>
  <c r="DB460" i="3" s="1"/>
  <c r="DA460" i="3"/>
  <c r="DC460" i="3"/>
  <c r="A461" i="3"/>
  <c r="CX461" i="3"/>
  <c r="CY461" i="3"/>
  <c r="CZ461" i="3"/>
  <c r="DB461" i="3" s="1"/>
  <c r="DA461" i="3"/>
  <c r="DC461" i="3"/>
  <c r="A462" i="3"/>
  <c r="CX462" i="3"/>
  <c r="CY462" i="3"/>
  <c r="CZ462" i="3"/>
  <c r="DA462" i="3"/>
  <c r="DB462" i="3"/>
  <c r="DC462" i="3"/>
  <c r="A463" i="3"/>
  <c r="CX463" i="3"/>
  <c r="CY463" i="3"/>
  <c r="CZ463" i="3"/>
  <c r="DA463" i="3"/>
  <c r="DB463" i="3"/>
  <c r="DC463" i="3"/>
  <c r="A464" i="3"/>
  <c r="CX464" i="3"/>
  <c r="CY464" i="3"/>
  <c r="CZ464" i="3"/>
  <c r="DB464" i="3" s="1"/>
  <c r="DA464" i="3"/>
  <c r="DC464" i="3"/>
  <c r="A465" i="3"/>
  <c r="CX465" i="3"/>
  <c r="CY465" i="3"/>
  <c r="CZ465" i="3"/>
  <c r="DB465" i="3" s="1"/>
  <c r="DA465" i="3"/>
  <c r="DC465" i="3"/>
  <c r="A466" i="3"/>
  <c r="CX466" i="3"/>
  <c r="CY466" i="3"/>
  <c r="CZ466" i="3"/>
  <c r="DA466" i="3"/>
  <c r="DB466" i="3"/>
  <c r="DC466" i="3"/>
  <c r="A467" i="3"/>
  <c r="CX467" i="3"/>
  <c r="CY467" i="3"/>
  <c r="CZ467" i="3"/>
  <c r="DA467" i="3"/>
  <c r="DB467" i="3"/>
  <c r="DC467" i="3"/>
  <c r="A468" i="3"/>
  <c r="CX468" i="3"/>
  <c r="CY468" i="3"/>
  <c r="CZ468" i="3"/>
  <c r="DB468" i="3" s="1"/>
  <c r="DA468" i="3"/>
  <c r="DC468" i="3"/>
  <c r="A469" i="3"/>
  <c r="CX469" i="3"/>
  <c r="CY469" i="3"/>
  <c r="CZ469" i="3"/>
  <c r="DB469" i="3" s="1"/>
  <c r="DA469" i="3"/>
  <c r="DC469" i="3"/>
  <c r="A470" i="3"/>
  <c r="CX470" i="3"/>
  <c r="CY470" i="3"/>
  <c r="CZ470" i="3"/>
  <c r="DA470" i="3"/>
  <c r="DB470" i="3"/>
  <c r="DC470" i="3"/>
  <c r="A471" i="3"/>
  <c r="CX471" i="3"/>
  <c r="CY471" i="3"/>
  <c r="CZ471" i="3"/>
  <c r="DA471" i="3"/>
  <c r="DB471" i="3"/>
  <c r="DC471" i="3"/>
  <c r="A472" i="3"/>
  <c r="CX472" i="3"/>
  <c r="CY472" i="3"/>
  <c r="CZ472" i="3"/>
  <c r="DB472" i="3" s="1"/>
  <c r="DA472" i="3"/>
  <c r="DC472" i="3"/>
  <c r="A473" i="3"/>
  <c r="CX473" i="3"/>
  <c r="CY473" i="3"/>
  <c r="CZ473" i="3"/>
  <c r="DB473" i="3" s="1"/>
  <c r="DA473" i="3"/>
  <c r="DC473" i="3"/>
  <c r="A474" i="3"/>
  <c r="CX474" i="3"/>
  <c r="CY474" i="3"/>
  <c r="CZ474" i="3"/>
  <c r="DA474" i="3"/>
  <c r="DB474" i="3"/>
  <c r="DC474" i="3"/>
  <c r="A475" i="3"/>
  <c r="CX475" i="3"/>
  <c r="CY475" i="3"/>
  <c r="CZ475" i="3"/>
  <c r="DA475" i="3"/>
  <c r="DB475" i="3"/>
  <c r="DC475" i="3"/>
  <c r="A476" i="3"/>
  <c r="CX476" i="3"/>
  <c r="CY476" i="3"/>
  <c r="CZ476" i="3"/>
  <c r="DB476" i="3" s="1"/>
  <c r="DA476" i="3"/>
  <c r="DC476" i="3"/>
  <c r="A477" i="3"/>
  <c r="CX477" i="3"/>
  <c r="CY477" i="3"/>
  <c r="CZ477" i="3"/>
  <c r="DB477" i="3" s="1"/>
  <c r="DA477" i="3"/>
  <c r="DC477" i="3"/>
  <c r="A478" i="3"/>
  <c r="CX478" i="3"/>
  <c r="CY478" i="3"/>
  <c r="CZ478" i="3"/>
  <c r="DA478" i="3"/>
  <c r="DB478" i="3"/>
  <c r="DC478" i="3"/>
  <c r="A479" i="3"/>
  <c r="CX479" i="3"/>
  <c r="CY479" i="3"/>
  <c r="CZ479" i="3"/>
  <c r="DA479" i="3"/>
  <c r="DB479" i="3"/>
  <c r="DC479" i="3"/>
  <c r="A480" i="3"/>
  <c r="CX480" i="3"/>
  <c r="CY480" i="3"/>
  <c r="CZ480" i="3"/>
  <c r="DB480" i="3" s="1"/>
  <c r="DA480" i="3"/>
  <c r="DC480" i="3"/>
  <c r="A481" i="3"/>
  <c r="CX481" i="3"/>
  <c r="CY481" i="3"/>
  <c r="CZ481" i="3"/>
  <c r="DB481" i="3" s="1"/>
  <c r="DA481" i="3"/>
  <c r="DC481" i="3"/>
  <c r="A482" i="3"/>
  <c r="CX482" i="3"/>
  <c r="CY482" i="3"/>
  <c r="CZ482" i="3"/>
  <c r="DA482" i="3"/>
  <c r="DB482" i="3"/>
  <c r="DC482" i="3"/>
  <c r="A483" i="3"/>
  <c r="CX483" i="3"/>
  <c r="CY483" i="3"/>
  <c r="CZ483" i="3"/>
  <c r="DA483" i="3"/>
  <c r="DB483" i="3"/>
  <c r="DC483" i="3"/>
  <c r="A484" i="3"/>
  <c r="CX484" i="3"/>
  <c r="CY484" i="3"/>
  <c r="CZ484" i="3"/>
  <c r="DB484" i="3" s="1"/>
  <c r="DA484" i="3"/>
  <c r="DC484" i="3"/>
  <c r="A485" i="3"/>
  <c r="CX485" i="3"/>
  <c r="CY485" i="3"/>
  <c r="CZ485" i="3"/>
  <c r="DB485" i="3" s="1"/>
  <c r="DA485" i="3"/>
  <c r="DC485" i="3"/>
  <c r="A486" i="3"/>
  <c r="CX486" i="3"/>
  <c r="CY486" i="3"/>
  <c r="CZ486" i="3"/>
  <c r="DA486" i="3"/>
  <c r="DB486" i="3"/>
  <c r="DC486" i="3"/>
  <c r="A487" i="3"/>
  <c r="CX487" i="3"/>
  <c r="CY487" i="3"/>
  <c r="CZ487" i="3"/>
  <c r="DA487" i="3"/>
  <c r="DB487" i="3"/>
  <c r="DC487" i="3"/>
  <c r="A488" i="3"/>
  <c r="CX488" i="3"/>
  <c r="CY488" i="3"/>
  <c r="CZ488" i="3"/>
  <c r="DB488" i="3" s="1"/>
  <c r="DA488" i="3"/>
  <c r="DC488" i="3"/>
  <c r="A489" i="3"/>
  <c r="CX489" i="3"/>
  <c r="CY489" i="3"/>
  <c r="CZ489" i="3"/>
  <c r="DB489" i="3" s="1"/>
  <c r="DA489" i="3"/>
  <c r="DC489" i="3"/>
  <c r="A490" i="3"/>
  <c r="CX490" i="3"/>
  <c r="CY490" i="3"/>
  <c r="CZ490" i="3"/>
  <c r="DA490" i="3"/>
  <c r="DB490" i="3"/>
  <c r="DC490" i="3"/>
  <c r="A491" i="3"/>
  <c r="CX491" i="3"/>
  <c r="CY491" i="3"/>
  <c r="CZ491" i="3"/>
  <c r="DA491" i="3"/>
  <c r="DB491" i="3"/>
  <c r="DC491" i="3"/>
  <c r="A492" i="3"/>
  <c r="CX492" i="3"/>
  <c r="CY492" i="3"/>
  <c r="CZ492" i="3"/>
  <c r="DB492" i="3" s="1"/>
  <c r="DA492" i="3"/>
  <c r="DC492" i="3"/>
  <c r="A493" i="3"/>
  <c r="CX493" i="3"/>
  <c r="CY493" i="3"/>
  <c r="CZ493" i="3"/>
  <c r="DB493" i="3" s="1"/>
  <c r="DA493" i="3"/>
  <c r="DC493" i="3"/>
  <c r="A494" i="3"/>
  <c r="CX494" i="3"/>
  <c r="CY494" i="3"/>
  <c r="CZ494" i="3"/>
  <c r="DA494" i="3"/>
  <c r="DB494" i="3"/>
  <c r="DC494" i="3"/>
  <c r="A495" i="3"/>
  <c r="CX495" i="3"/>
  <c r="CY495" i="3"/>
  <c r="CZ495" i="3"/>
  <c r="DA495" i="3"/>
  <c r="DB495" i="3"/>
  <c r="DC495" i="3"/>
  <c r="A496" i="3"/>
  <c r="CX496" i="3"/>
  <c r="CY496" i="3"/>
  <c r="CZ496" i="3"/>
  <c r="DB496" i="3" s="1"/>
  <c r="DA496" i="3"/>
  <c r="DC496" i="3"/>
  <c r="A497" i="3"/>
  <c r="CX497" i="3"/>
  <c r="CY497" i="3"/>
  <c r="CZ497" i="3"/>
  <c r="DB497" i="3" s="1"/>
  <c r="DA497" i="3"/>
  <c r="DC497" i="3"/>
  <c r="A498" i="3"/>
  <c r="CX498" i="3"/>
  <c r="CY498" i="3"/>
  <c r="CZ498" i="3"/>
  <c r="DA498" i="3"/>
  <c r="DB498" i="3"/>
  <c r="DC498" i="3"/>
  <c r="A499" i="3"/>
  <c r="CX499" i="3"/>
  <c r="CY499" i="3"/>
  <c r="CZ499" i="3"/>
  <c r="DA499" i="3"/>
  <c r="DB499" i="3"/>
  <c r="DC499" i="3"/>
  <c r="A500" i="3"/>
  <c r="CX500" i="3"/>
  <c r="CY500" i="3"/>
  <c r="CZ500" i="3"/>
  <c r="DB500" i="3" s="1"/>
  <c r="DA500" i="3"/>
  <c r="DC500" i="3"/>
  <c r="A501" i="3"/>
  <c r="CX501" i="3"/>
  <c r="CY501" i="3"/>
  <c r="CZ501" i="3"/>
  <c r="DB501" i="3" s="1"/>
  <c r="DA501" i="3"/>
  <c r="DC501" i="3"/>
  <c r="A502" i="3"/>
  <c r="CY502" i="3"/>
  <c r="CZ502" i="3"/>
  <c r="DA502" i="3"/>
  <c r="DB502" i="3"/>
  <c r="DC502" i="3"/>
  <c r="A503" i="3"/>
  <c r="CY503" i="3"/>
  <c r="CZ503" i="3"/>
  <c r="DA503" i="3"/>
  <c r="DB503" i="3"/>
  <c r="DC503" i="3"/>
  <c r="A504" i="3"/>
  <c r="CX504" i="3"/>
  <c r="CY504" i="3"/>
  <c r="CZ504" i="3"/>
  <c r="DB504" i="3" s="1"/>
  <c r="DA504" i="3"/>
  <c r="DC504" i="3"/>
  <c r="A505" i="3"/>
  <c r="CX505" i="3"/>
  <c r="CY505" i="3"/>
  <c r="CZ505" i="3"/>
  <c r="DB505" i="3" s="1"/>
  <c r="DA505" i="3"/>
  <c r="DC505" i="3"/>
  <c r="A506" i="3"/>
  <c r="CX506" i="3"/>
  <c r="CY506" i="3"/>
  <c r="CZ506" i="3"/>
  <c r="DA506" i="3"/>
  <c r="DB506" i="3"/>
  <c r="DC506" i="3"/>
  <c r="A507" i="3"/>
  <c r="CX507" i="3"/>
  <c r="CY507" i="3"/>
  <c r="CZ507" i="3"/>
  <c r="DA507" i="3"/>
  <c r="DB507" i="3"/>
  <c r="DC507" i="3"/>
  <c r="A508" i="3"/>
  <c r="CY508" i="3"/>
  <c r="CZ508" i="3"/>
  <c r="DB508" i="3" s="1"/>
  <c r="DA508" i="3"/>
  <c r="DC508" i="3"/>
  <c r="A509" i="3"/>
  <c r="CY509" i="3"/>
  <c r="CZ509" i="3"/>
  <c r="DB509" i="3" s="1"/>
  <c r="DA509" i="3"/>
  <c r="DC509" i="3"/>
  <c r="A510" i="3"/>
  <c r="CY510" i="3"/>
  <c r="CZ510" i="3"/>
  <c r="DA510" i="3"/>
  <c r="DB510" i="3"/>
  <c r="DC510" i="3"/>
  <c r="A511" i="3"/>
  <c r="CY511" i="3"/>
  <c r="CZ511" i="3"/>
  <c r="DA511" i="3"/>
  <c r="DB511" i="3"/>
  <c r="DC511" i="3"/>
  <c r="A512" i="3"/>
  <c r="CY512" i="3"/>
  <c r="CZ512" i="3"/>
  <c r="DB512" i="3" s="1"/>
  <c r="DA512" i="3"/>
  <c r="DC512" i="3"/>
  <c r="A513" i="3"/>
  <c r="CY513" i="3"/>
  <c r="CZ513" i="3"/>
  <c r="DB513" i="3" s="1"/>
  <c r="DA513" i="3"/>
  <c r="DC513" i="3"/>
  <c r="A514" i="3"/>
  <c r="CY514" i="3"/>
  <c r="CZ514" i="3"/>
  <c r="DA514" i="3"/>
  <c r="DB514" i="3"/>
  <c r="DC514" i="3"/>
  <c r="A515" i="3"/>
  <c r="CY515" i="3"/>
  <c r="CZ515" i="3"/>
  <c r="DA515" i="3"/>
  <c r="DB515" i="3"/>
  <c r="DC515" i="3"/>
  <c r="A516" i="3"/>
  <c r="CY516" i="3"/>
  <c r="CZ516" i="3"/>
  <c r="DB516" i="3" s="1"/>
  <c r="DA516" i="3"/>
  <c r="DC516" i="3"/>
  <c r="A517" i="3"/>
  <c r="CY517" i="3"/>
  <c r="CZ517" i="3"/>
  <c r="DB517" i="3" s="1"/>
  <c r="DA517" i="3"/>
  <c r="DC517" i="3"/>
  <c r="A518" i="3"/>
  <c r="CY518" i="3"/>
  <c r="CZ518" i="3"/>
  <c r="DA518" i="3"/>
  <c r="DB518" i="3"/>
  <c r="DC518" i="3"/>
  <c r="A519" i="3"/>
  <c r="CY519" i="3"/>
  <c r="CZ519" i="3"/>
  <c r="DA519" i="3"/>
  <c r="DB519" i="3"/>
  <c r="DC519" i="3"/>
  <c r="A520" i="3"/>
  <c r="CY520" i="3"/>
  <c r="CZ520" i="3"/>
  <c r="DB520" i="3" s="1"/>
  <c r="DA520" i="3"/>
  <c r="DC520" i="3"/>
  <c r="A521" i="3"/>
  <c r="CY521" i="3"/>
  <c r="CZ521" i="3"/>
  <c r="DB521" i="3" s="1"/>
  <c r="DA521" i="3"/>
  <c r="DC521" i="3"/>
  <c r="A522" i="3"/>
  <c r="CY522" i="3"/>
  <c r="CZ522" i="3"/>
  <c r="DA522" i="3"/>
  <c r="DB522" i="3"/>
  <c r="DC522" i="3"/>
  <c r="A523" i="3"/>
  <c r="CY523" i="3"/>
  <c r="CZ523" i="3"/>
  <c r="DA523" i="3"/>
  <c r="DB523" i="3"/>
  <c r="DC523" i="3"/>
  <c r="A524" i="3"/>
  <c r="CY524" i="3"/>
  <c r="CZ524" i="3"/>
  <c r="DB524" i="3" s="1"/>
  <c r="DA524" i="3"/>
  <c r="DC524" i="3"/>
  <c r="A525" i="3"/>
  <c r="CY525" i="3"/>
  <c r="CZ525" i="3"/>
  <c r="DB525" i="3" s="1"/>
  <c r="DA525" i="3"/>
  <c r="DC525" i="3"/>
  <c r="A526" i="3"/>
  <c r="CY526" i="3"/>
  <c r="CZ526" i="3"/>
  <c r="DA526" i="3"/>
  <c r="DB526" i="3"/>
  <c r="DC526" i="3"/>
  <c r="A527" i="3"/>
  <c r="CY527" i="3"/>
  <c r="CZ527" i="3"/>
  <c r="DA527" i="3"/>
  <c r="DB527" i="3"/>
  <c r="DC527" i="3"/>
  <c r="A528" i="3"/>
  <c r="CY528" i="3"/>
  <c r="CZ528" i="3"/>
  <c r="DB528" i="3" s="1"/>
  <c r="DA528" i="3"/>
  <c r="DC528" i="3"/>
  <c r="A529" i="3"/>
  <c r="CY529" i="3"/>
  <c r="CZ529" i="3"/>
  <c r="DB529" i="3" s="1"/>
  <c r="DA529" i="3"/>
  <c r="DC529" i="3"/>
  <c r="A530" i="3"/>
  <c r="CY530" i="3"/>
  <c r="CZ530" i="3"/>
  <c r="DA530" i="3"/>
  <c r="DB530" i="3"/>
  <c r="DC530" i="3"/>
  <c r="A531" i="3"/>
  <c r="CY531" i="3"/>
  <c r="CZ531" i="3"/>
  <c r="DA531" i="3"/>
  <c r="DB531" i="3"/>
  <c r="DC531" i="3"/>
  <c r="A532" i="3"/>
  <c r="CY532" i="3"/>
  <c r="CZ532" i="3"/>
  <c r="DB532" i="3" s="1"/>
  <c r="DA532" i="3"/>
  <c r="DC532" i="3"/>
  <c r="A533" i="3"/>
  <c r="CY533" i="3"/>
  <c r="CZ533" i="3"/>
  <c r="DB533" i="3" s="1"/>
  <c r="DA533" i="3"/>
  <c r="DC533" i="3"/>
  <c r="A534" i="3"/>
  <c r="CY534" i="3"/>
  <c r="CZ534" i="3"/>
  <c r="DA534" i="3"/>
  <c r="DB534" i="3"/>
  <c r="DC534" i="3"/>
  <c r="A535" i="3"/>
  <c r="CY535" i="3"/>
  <c r="CZ535" i="3"/>
  <c r="DA535" i="3"/>
  <c r="DB535" i="3"/>
  <c r="DC535" i="3"/>
  <c r="A536" i="3"/>
  <c r="CY536" i="3"/>
  <c r="CZ536" i="3"/>
  <c r="DB536" i="3" s="1"/>
  <c r="DA536" i="3"/>
  <c r="DC536" i="3"/>
  <c r="A537" i="3"/>
  <c r="CY537" i="3"/>
  <c r="CZ537" i="3"/>
  <c r="DB537" i="3" s="1"/>
  <c r="DA537" i="3"/>
  <c r="DC537" i="3"/>
  <c r="A538" i="3"/>
  <c r="CY538" i="3"/>
  <c r="CZ538" i="3"/>
  <c r="DA538" i="3"/>
  <c r="DB538" i="3"/>
  <c r="DC538" i="3"/>
  <c r="A539" i="3"/>
  <c r="CY539" i="3"/>
  <c r="CZ539" i="3"/>
  <c r="DA539" i="3"/>
  <c r="DB539" i="3"/>
  <c r="DC539" i="3"/>
  <c r="A540" i="3"/>
  <c r="CY540" i="3"/>
  <c r="CZ540" i="3"/>
  <c r="DB540" i="3" s="1"/>
  <c r="DA540" i="3"/>
  <c r="DC540" i="3"/>
  <c r="A541" i="3"/>
  <c r="CY541" i="3"/>
  <c r="CZ541" i="3"/>
  <c r="DB541" i="3" s="1"/>
  <c r="DA541" i="3"/>
  <c r="DC541" i="3"/>
  <c r="A542" i="3"/>
  <c r="CY542" i="3"/>
  <c r="CZ542" i="3"/>
  <c r="DA542" i="3"/>
  <c r="DB542" i="3"/>
  <c r="DC542" i="3"/>
  <c r="A543" i="3"/>
  <c r="CY543" i="3"/>
  <c r="CZ543" i="3"/>
  <c r="DA543" i="3"/>
  <c r="DB543" i="3"/>
  <c r="DC543" i="3"/>
  <c r="A544" i="3"/>
  <c r="CY544" i="3"/>
  <c r="CZ544" i="3"/>
  <c r="DB544" i="3" s="1"/>
  <c r="DA544" i="3"/>
  <c r="DC544" i="3"/>
  <c r="A545" i="3"/>
  <c r="CY545" i="3"/>
  <c r="CZ545" i="3"/>
  <c r="DB545" i="3" s="1"/>
  <c r="DA545" i="3"/>
  <c r="DC545" i="3"/>
  <c r="A546" i="3"/>
  <c r="CY546" i="3"/>
  <c r="CZ546" i="3"/>
  <c r="DA546" i="3"/>
  <c r="DB546" i="3"/>
  <c r="DC546" i="3"/>
  <c r="A547" i="3"/>
  <c r="CY547" i="3"/>
  <c r="CZ547" i="3"/>
  <c r="DA547" i="3"/>
  <c r="DB547" i="3"/>
  <c r="DC547" i="3"/>
  <c r="A548" i="3"/>
  <c r="CY548" i="3"/>
  <c r="CZ548" i="3"/>
  <c r="DB548" i="3" s="1"/>
  <c r="DA548" i="3"/>
  <c r="DC548" i="3"/>
  <c r="A549" i="3"/>
  <c r="CY549" i="3"/>
  <c r="CZ549" i="3"/>
  <c r="DB549" i="3" s="1"/>
  <c r="DA549" i="3"/>
  <c r="DC549" i="3"/>
  <c r="A550" i="3"/>
  <c r="CY550" i="3"/>
  <c r="CZ550" i="3"/>
  <c r="DA550" i="3"/>
  <c r="DB550" i="3"/>
  <c r="DC550" i="3"/>
  <c r="A551" i="3"/>
  <c r="CY551" i="3"/>
  <c r="CZ551" i="3"/>
  <c r="DA551" i="3"/>
  <c r="DB551" i="3"/>
  <c r="DC551" i="3"/>
  <c r="A552" i="3"/>
  <c r="CY552" i="3"/>
  <c r="CZ552" i="3"/>
  <c r="DB552" i="3" s="1"/>
  <c r="DA552" i="3"/>
  <c r="DC552" i="3"/>
  <c r="A553" i="3"/>
  <c r="CY553" i="3"/>
  <c r="CZ553" i="3"/>
  <c r="DB553" i="3" s="1"/>
  <c r="DA553" i="3"/>
  <c r="DC553" i="3"/>
  <c r="A554" i="3"/>
  <c r="CY554" i="3"/>
  <c r="CZ554" i="3"/>
  <c r="DA554" i="3"/>
  <c r="DB554" i="3"/>
  <c r="DC554" i="3"/>
  <c r="A555" i="3"/>
  <c r="CY555" i="3"/>
  <c r="CZ555" i="3"/>
  <c r="DA555" i="3"/>
  <c r="DB555" i="3"/>
  <c r="DC555" i="3"/>
  <c r="A556" i="3"/>
  <c r="CY556" i="3"/>
  <c r="CZ556" i="3"/>
  <c r="DB556" i="3" s="1"/>
  <c r="DA556" i="3"/>
  <c r="DC556" i="3"/>
  <c r="A557" i="3"/>
  <c r="CY557" i="3"/>
  <c r="CZ557" i="3"/>
  <c r="DB557" i="3" s="1"/>
  <c r="DA557" i="3"/>
  <c r="DC557" i="3"/>
  <c r="A558" i="3"/>
  <c r="CY558" i="3"/>
  <c r="CZ558" i="3"/>
  <c r="DA558" i="3"/>
  <c r="DB558" i="3"/>
  <c r="DC558" i="3"/>
  <c r="A559" i="3"/>
  <c r="CY559" i="3"/>
  <c r="CZ559" i="3"/>
  <c r="DA559" i="3"/>
  <c r="DB559" i="3"/>
  <c r="DC559" i="3"/>
  <c r="A560" i="3"/>
  <c r="CY560" i="3"/>
  <c r="CZ560" i="3"/>
  <c r="DB560" i="3" s="1"/>
  <c r="DA560" i="3"/>
  <c r="DC560" i="3"/>
  <c r="A561" i="3"/>
  <c r="CY561" i="3"/>
  <c r="CZ561" i="3"/>
  <c r="DB561" i="3" s="1"/>
  <c r="DA561" i="3"/>
  <c r="DC561" i="3"/>
  <c r="A562" i="3"/>
  <c r="CY562" i="3"/>
  <c r="CZ562" i="3"/>
  <c r="DA562" i="3"/>
  <c r="DB562" i="3"/>
  <c r="DC562" i="3"/>
  <c r="A563" i="3"/>
  <c r="CY563" i="3"/>
  <c r="CZ563" i="3"/>
  <c r="DA563" i="3"/>
  <c r="DB563" i="3"/>
  <c r="DC563" i="3"/>
  <c r="A564" i="3"/>
  <c r="CY564" i="3"/>
  <c r="CZ564" i="3"/>
  <c r="DB564" i="3" s="1"/>
  <c r="DA564" i="3"/>
  <c r="DC564" i="3"/>
  <c r="A565" i="3"/>
  <c r="CY565" i="3"/>
  <c r="CZ565" i="3"/>
  <c r="DB565" i="3" s="1"/>
  <c r="DA565" i="3"/>
  <c r="DC565" i="3"/>
  <c r="A566" i="3"/>
  <c r="CY566" i="3"/>
  <c r="CZ566" i="3"/>
  <c r="DA566" i="3"/>
  <c r="DB566" i="3"/>
  <c r="DC566" i="3"/>
  <c r="A567" i="3"/>
  <c r="CY567" i="3"/>
  <c r="CZ567" i="3"/>
  <c r="DA567" i="3"/>
  <c r="DB567" i="3"/>
  <c r="DC567" i="3"/>
  <c r="A568" i="3"/>
  <c r="CY568" i="3"/>
  <c r="CZ568" i="3"/>
  <c r="DB568" i="3" s="1"/>
  <c r="DA568" i="3"/>
  <c r="DC568" i="3"/>
  <c r="A569" i="3"/>
  <c r="CY569" i="3"/>
  <c r="CZ569" i="3"/>
  <c r="DB569" i="3" s="1"/>
  <c r="DA569" i="3"/>
  <c r="DC569" i="3"/>
  <c r="A570" i="3"/>
  <c r="CY570" i="3"/>
  <c r="CZ570" i="3"/>
  <c r="DA570" i="3"/>
  <c r="DB570" i="3"/>
  <c r="DC570" i="3"/>
  <c r="A571" i="3"/>
  <c r="CY571" i="3"/>
  <c r="CZ571" i="3"/>
  <c r="DA571" i="3"/>
  <c r="DB571" i="3"/>
  <c r="DC571" i="3"/>
  <c r="A572" i="3"/>
  <c r="CY572" i="3"/>
  <c r="CZ572" i="3"/>
  <c r="DB572" i="3" s="1"/>
  <c r="DA572" i="3"/>
  <c r="DC572" i="3"/>
  <c r="A573" i="3"/>
  <c r="CY573" i="3"/>
  <c r="CZ573" i="3"/>
  <c r="DB573" i="3" s="1"/>
  <c r="DA573" i="3"/>
  <c r="DC573" i="3"/>
  <c r="A574" i="3"/>
  <c r="CY574" i="3"/>
  <c r="CZ574" i="3"/>
  <c r="DA574" i="3"/>
  <c r="DB574" i="3"/>
  <c r="DC574" i="3"/>
  <c r="A575" i="3"/>
  <c r="CY575" i="3"/>
  <c r="CZ575" i="3"/>
  <c r="DA575" i="3"/>
  <c r="DB575" i="3"/>
  <c r="DC575" i="3"/>
  <c r="A576" i="3"/>
  <c r="CY576" i="3"/>
  <c r="CZ576" i="3"/>
  <c r="DB576" i="3" s="1"/>
  <c r="DA576" i="3"/>
  <c r="DC576" i="3"/>
  <c r="A577" i="3"/>
  <c r="CY577" i="3"/>
  <c r="CZ577" i="3"/>
  <c r="DB577" i="3" s="1"/>
  <c r="DA577" i="3"/>
  <c r="DC577" i="3"/>
  <c r="A578" i="3"/>
  <c r="CY578" i="3"/>
  <c r="CZ578" i="3"/>
  <c r="DA578" i="3"/>
  <c r="DB578" i="3"/>
  <c r="DC578" i="3"/>
  <c r="A579" i="3"/>
  <c r="CY579" i="3"/>
  <c r="CZ579" i="3"/>
  <c r="DA579" i="3"/>
  <c r="DB579" i="3"/>
  <c r="DC579" i="3"/>
  <c r="A580" i="3"/>
  <c r="CY580" i="3"/>
  <c r="CZ580" i="3"/>
  <c r="DB580" i="3" s="1"/>
  <c r="DA580" i="3"/>
  <c r="DC580" i="3"/>
  <c r="A581" i="3"/>
  <c r="CY581" i="3"/>
  <c r="CZ581" i="3"/>
  <c r="DB581" i="3" s="1"/>
  <c r="DA581" i="3"/>
  <c r="DC581" i="3"/>
  <c r="A582" i="3"/>
  <c r="CY582" i="3"/>
  <c r="CZ582" i="3"/>
  <c r="DA582" i="3"/>
  <c r="DB582" i="3"/>
  <c r="DC582" i="3"/>
  <c r="A583" i="3"/>
  <c r="CX583" i="3"/>
  <c r="CY583" i="3"/>
  <c r="CZ583" i="3"/>
  <c r="DA583" i="3"/>
  <c r="DB583" i="3"/>
  <c r="DC583" i="3"/>
  <c r="A584" i="3"/>
  <c r="CX584" i="3"/>
  <c r="CY584" i="3"/>
  <c r="CZ584" i="3"/>
  <c r="DB584" i="3" s="1"/>
  <c r="DA584" i="3"/>
  <c r="DC584" i="3"/>
  <c r="A585" i="3"/>
  <c r="CX585" i="3"/>
  <c r="CY585" i="3"/>
  <c r="CZ585" i="3"/>
  <c r="DB585" i="3" s="1"/>
  <c r="DA585" i="3"/>
  <c r="DC585" i="3"/>
  <c r="A586" i="3"/>
  <c r="CX586" i="3"/>
  <c r="CY586" i="3"/>
  <c r="CZ586" i="3"/>
  <c r="DA586" i="3"/>
  <c r="DB586" i="3"/>
  <c r="DC586" i="3"/>
  <c r="A587" i="3"/>
  <c r="CX587" i="3"/>
  <c r="CY587" i="3"/>
  <c r="CZ587" i="3"/>
  <c r="DA587" i="3"/>
  <c r="DB587" i="3"/>
  <c r="DC587" i="3"/>
  <c r="A588" i="3"/>
  <c r="CX588" i="3"/>
  <c r="CY588" i="3"/>
  <c r="CZ588" i="3"/>
  <c r="DB588" i="3" s="1"/>
  <c r="DA588" i="3"/>
  <c r="DC588" i="3"/>
  <c r="A589" i="3"/>
  <c r="CX589" i="3"/>
  <c r="CY589" i="3"/>
  <c r="CZ589" i="3"/>
  <c r="DB589" i="3" s="1"/>
  <c r="DA589" i="3"/>
  <c r="DC589" i="3"/>
  <c r="A590" i="3"/>
  <c r="CX590" i="3"/>
  <c r="CY590" i="3"/>
  <c r="CZ590" i="3"/>
  <c r="DA590" i="3"/>
  <c r="DB590" i="3"/>
  <c r="DC590" i="3"/>
  <c r="A591" i="3"/>
  <c r="CX591" i="3"/>
  <c r="CY591" i="3"/>
  <c r="CZ591" i="3"/>
  <c r="DA591" i="3"/>
  <c r="DB591" i="3"/>
  <c r="DC591" i="3"/>
  <c r="A592" i="3"/>
  <c r="CX592" i="3"/>
  <c r="CY592" i="3"/>
  <c r="CZ592" i="3"/>
  <c r="DB592" i="3" s="1"/>
  <c r="DA592" i="3"/>
  <c r="DC592" i="3"/>
  <c r="A593" i="3"/>
  <c r="CX593" i="3"/>
  <c r="CY593" i="3"/>
  <c r="CZ593" i="3"/>
  <c r="DB593" i="3" s="1"/>
  <c r="DA593" i="3"/>
  <c r="DC593" i="3"/>
  <c r="A594" i="3"/>
  <c r="CX594" i="3"/>
  <c r="CY594" i="3"/>
  <c r="CZ594" i="3"/>
  <c r="DB594" i="3" s="1"/>
  <c r="DA594" i="3"/>
  <c r="DC594" i="3"/>
  <c r="A595" i="3"/>
  <c r="CX595" i="3"/>
  <c r="CY595" i="3"/>
  <c r="CZ595" i="3"/>
  <c r="DA595" i="3"/>
  <c r="DB595" i="3"/>
  <c r="DC595" i="3"/>
  <c r="A596" i="3"/>
  <c r="CX596" i="3"/>
  <c r="CY596" i="3"/>
  <c r="CZ596" i="3"/>
  <c r="DA596" i="3"/>
  <c r="DB596" i="3"/>
  <c r="DC596" i="3"/>
  <c r="A597" i="3"/>
  <c r="CX597" i="3"/>
  <c r="CY597" i="3"/>
  <c r="CZ597" i="3"/>
  <c r="DB597" i="3" s="1"/>
  <c r="DA597" i="3"/>
  <c r="DC597" i="3"/>
  <c r="A598" i="3"/>
  <c r="CX598" i="3"/>
  <c r="CY598" i="3"/>
  <c r="CZ598" i="3"/>
  <c r="DB598" i="3" s="1"/>
  <c r="DA598" i="3"/>
  <c r="DC598" i="3"/>
  <c r="A599" i="3"/>
  <c r="CX599" i="3"/>
  <c r="CY599" i="3"/>
  <c r="CZ599" i="3"/>
  <c r="DA599" i="3"/>
  <c r="DB599" i="3"/>
  <c r="DC599" i="3"/>
  <c r="A600" i="3"/>
  <c r="CX600" i="3"/>
  <c r="CY600" i="3"/>
  <c r="CZ600" i="3"/>
  <c r="DA600" i="3"/>
  <c r="DB600" i="3"/>
  <c r="DC600" i="3"/>
  <c r="A601" i="3"/>
  <c r="CX601" i="3"/>
  <c r="CY601" i="3"/>
  <c r="CZ601" i="3"/>
  <c r="DB601" i="3" s="1"/>
  <c r="DA601" i="3"/>
  <c r="DC601" i="3"/>
  <c r="A602" i="3"/>
  <c r="CX602" i="3"/>
  <c r="CY602" i="3"/>
  <c r="CZ602" i="3"/>
  <c r="DA602" i="3"/>
  <c r="DB602" i="3"/>
  <c r="DC602" i="3"/>
  <c r="A603" i="3"/>
  <c r="CX603" i="3"/>
  <c r="CY603" i="3"/>
  <c r="CZ603" i="3"/>
  <c r="DA603" i="3"/>
  <c r="DB603" i="3"/>
  <c r="DC603" i="3"/>
  <c r="A604" i="3"/>
  <c r="CX604" i="3"/>
  <c r="CY604" i="3"/>
  <c r="CZ604" i="3"/>
  <c r="DB604" i="3" s="1"/>
  <c r="DA604" i="3"/>
  <c r="DC604" i="3"/>
  <c r="A605" i="3"/>
  <c r="CX605" i="3"/>
  <c r="CY605" i="3"/>
  <c r="CZ605" i="3"/>
  <c r="DB605" i="3" s="1"/>
  <c r="DA605" i="3"/>
  <c r="DC605" i="3"/>
  <c r="A606" i="3"/>
  <c r="CX606" i="3"/>
  <c r="CY606" i="3"/>
  <c r="CZ606" i="3"/>
  <c r="DA606" i="3"/>
  <c r="DB606" i="3"/>
  <c r="DC606" i="3"/>
  <c r="A607" i="3"/>
  <c r="CX607" i="3"/>
  <c r="CY607" i="3"/>
  <c r="CZ607" i="3"/>
  <c r="DA607" i="3"/>
  <c r="DB607" i="3"/>
  <c r="DC607" i="3"/>
  <c r="A608" i="3"/>
  <c r="CX608" i="3"/>
  <c r="CY608" i="3"/>
  <c r="CZ608" i="3"/>
  <c r="DB608" i="3" s="1"/>
  <c r="DA608" i="3"/>
  <c r="DC608" i="3"/>
  <c r="A609" i="3"/>
  <c r="CX609" i="3"/>
  <c r="CY609" i="3"/>
  <c r="CZ609" i="3"/>
  <c r="DB609" i="3" s="1"/>
  <c r="DA609" i="3"/>
  <c r="DC609" i="3"/>
  <c r="A610" i="3"/>
  <c r="CX610" i="3"/>
  <c r="CY610" i="3"/>
  <c r="CZ610" i="3"/>
  <c r="DB610" i="3" s="1"/>
  <c r="DA610" i="3"/>
  <c r="DC610" i="3"/>
  <c r="A611" i="3"/>
  <c r="CY611" i="3"/>
  <c r="CZ611" i="3"/>
  <c r="DA611" i="3"/>
  <c r="DB611" i="3"/>
  <c r="DC611" i="3"/>
  <c r="A612" i="3"/>
  <c r="CY612" i="3"/>
  <c r="CZ612" i="3"/>
  <c r="DA612" i="3"/>
  <c r="DB612" i="3"/>
  <c r="DC612" i="3"/>
  <c r="A613" i="3"/>
  <c r="CY613" i="3"/>
  <c r="CZ613" i="3"/>
  <c r="DB613" i="3" s="1"/>
  <c r="DA613" i="3"/>
  <c r="DC613" i="3"/>
  <c r="A614" i="3"/>
  <c r="CY614" i="3"/>
  <c r="CZ614" i="3"/>
  <c r="DA614" i="3"/>
  <c r="DB614" i="3"/>
  <c r="DC614" i="3"/>
  <c r="A615" i="3"/>
  <c r="CY615" i="3"/>
  <c r="CZ615" i="3"/>
  <c r="DA615" i="3"/>
  <c r="DB615" i="3"/>
  <c r="DC615" i="3"/>
  <c r="A616" i="3"/>
  <c r="CY616" i="3"/>
  <c r="CZ616" i="3"/>
  <c r="DB616" i="3" s="1"/>
  <c r="DA616" i="3"/>
  <c r="DC616" i="3"/>
  <c r="A617" i="3"/>
  <c r="CY617" i="3"/>
  <c r="CZ617" i="3"/>
  <c r="DB617" i="3" s="1"/>
  <c r="DA617" i="3"/>
  <c r="DC617" i="3"/>
  <c r="A618" i="3"/>
  <c r="CY618" i="3"/>
  <c r="CZ618" i="3"/>
  <c r="DB618" i="3" s="1"/>
  <c r="DA618" i="3"/>
  <c r="DC618" i="3"/>
  <c r="A619" i="3"/>
  <c r="CY619" i="3"/>
  <c r="CZ619" i="3"/>
  <c r="DA619" i="3"/>
  <c r="DB619" i="3"/>
  <c r="DC619" i="3"/>
  <c r="A620" i="3"/>
  <c r="CY620" i="3"/>
  <c r="CZ620" i="3"/>
  <c r="DA620" i="3"/>
  <c r="DB620" i="3"/>
  <c r="DC620" i="3"/>
  <c r="A621" i="3"/>
  <c r="CY621" i="3"/>
  <c r="CZ621" i="3"/>
  <c r="DB621" i="3" s="1"/>
  <c r="DA621" i="3"/>
  <c r="DC621" i="3"/>
  <c r="A622" i="3"/>
  <c r="CY622" i="3"/>
  <c r="CZ622" i="3"/>
  <c r="DA622" i="3"/>
  <c r="DB622" i="3"/>
  <c r="DC622" i="3"/>
  <c r="A623" i="3"/>
  <c r="CY623" i="3"/>
  <c r="CZ623" i="3"/>
  <c r="DA623" i="3"/>
  <c r="DB623" i="3"/>
  <c r="DC623" i="3"/>
  <c r="A624" i="3"/>
  <c r="CY624" i="3"/>
  <c r="CZ624" i="3"/>
  <c r="DB624" i="3" s="1"/>
  <c r="DA624" i="3"/>
  <c r="DC624" i="3"/>
  <c r="A625" i="3"/>
  <c r="CY625" i="3"/>
  <c r="CZ625" i="3"/>
  <c r="DB625" i="3" s="1"/>
  <c r="DA625" i="3"/>
  <c r="DC625" i="3"/>
  <c r="A626" i="3"/>
  <c r="CY626" i="3"/>
  <c r="CZ626" i="3"/>
  <c r="DB626" i="3" s="1"/>
  <c r="DA626" i="3"/>
  <c r="DC626" i="3"/>
  <c r="A627" i="3"/>
  <c r="CY627" i="3"/>
  <c r="CZ627" i="3"/>
  <c r="DA627" i="3"/>
  <c r="DB627" i="3"/>
  <c r="DC627" i="3"/>
  <c r="A628" i="3"/>
  <c r="CY628" i="3"/>
  <c r="CZ628" i="3"/>
  <c r="DA628" i="3"/>
  <c r="DB628" i="3"/>
  <c r="DC628" i="3"/>
  <c r="A629" i="3"/>
  <c r="CX629" i="3"/>
  <c r="CY629" i="3"/>
  <c r="CZ629" i="3"/>
  <c r="DB629" i="3" s="1"/>
  <c r="DA629" i="3"/>
  <c r="DC629" i="3"/>
  <c r="A630" i="3"/>
  <c r="CX630" i="3"/>
  <c r="CY630" i="3"/>
  <c r="CZ630" i="3"/>
  <c r="DB630" i="3" s="1"/>
  <c r="DA630" i="3"/>
  <c r="DC630" i="3"/>
  <c r="A631" i="3"/>
  <c r="CX631" i="3"/>
  <c r="CY631" i="3"/>
  <c r="CZ631" i="3"/>
  <c r="DA631" i="3"/>
  <c r="DB631" i="3"/>
  <c r="DC631" i="3"/>
  <c r="A632" i="3"/>
  <c r="CX632" i="3"/>
  <c r="CY632" i="3"/>
  <c r="CZ632" i="3"/>
  <c r="DA632" i="3"/>
  <c r="DB632" i="3"/>
  <c r="DC632" i="3"/>
  <c r="A633" i="3"/>
  <c r="CX633" i="3"/>
  <c r="CY633" i="3"/>
  <c r="CZ633" i="3"/>
  <c r="DB633" i="3" s="1"/>
  <c r="DA633" i="3"/>
  <c r="DC633" i="3"/>
  <c r="A634" i="3"/>
  <c r="CX634" i="3"/>
  <c r="CY634" i="3"/>
  <c r="CZ634" i="3"/>
  <c r="DA634" i="3"/>
  <c r="DB634" i="3"/>
  <c r="DC634" i="3"/>
  <c r="A635" i="3"/>
  <c r="CX635" i="3"/>
  <c r="CY635" i="3"/>
  <c r="CZ635" i="3"/>
  <c r="DA635" i="3"/>
  <c r="DB635" i="3"/>
  <c r="DC635" i="3"/>
  <c r="A636" i="3"/>
  <c r="CX636" i="3"/>
  <c r="CY636" i="3"/>
  <c r="CZ636" i="3"/>
  <c r="DB636" i="3" s="1"/>
  <c r="DA636" i="3"/>
  <c r="DC636" i="3"/>
  <c r="A637" i="3"/>
  <c r="CX637" i="3"/>
  <c r="CY637" i="3"/>
  <c r="CZ637" i="3"/>
  <c r="DB637" i="3" s="1"/>
  <c r="DA637" i="3"/>
  <c r="DC637" i="3"/>
  <c r="A638" i="3"/>
  <c r="CX638" i="3"/>
  <c r="CY638" i="3"/>
  <c r="CZ638" i="3"/>
  <c r="DA638" i="3"/>
  <c r="DB638" i="3"/>
  <c r="DC638" i="3"/>
  <c r="A639" i="3"/>
  <c r="CX639" i="3"/>
  <c r="CY639" i="3"/>
  <c r="CZ639" i="3"/>
  <c r="DA639" i="3"/>
  <c r="DB639" i="3"/>
  <c r="DC639" i="3"/>
  <c r="A640" i="3"/>
  <c r="CX640" i="3"/>
  <c r="CY640" i="3"/>
  <c r="CZ640" i="3"/>
  <c r="DB640" i="3" s="1"/>
  <c r="DA640" i="3"/>
  <c r="DC640" i="3"/>
  <c r="A641" i="3"/>
  <c r="CX641" i="3"/>
  <c r="CY641" i="3"/>
  <c r="CZ641" i="3"/>
  <c r="DB641" i="3" s="1"/>
  <c r="DA641" i="3"/>
  <c r="DC641" i="3"/>
  <c r="A642" i="3"/>
  <c r="CX642" i="3"/>
  <c r="CY642" i="3"/>
  <c r="CZ642" i="3"/>
  <c r="DB642" i="3" s="1"/>
  <c r="DA642" i="3"/>
  <c r="DC642" i="3"/>
  <c r="A643" i="3"/>
  <c r="CX643" i="3"/>
  <c r="CY643" i="3"/>
  <c r="CZ643" i="3"/>
  <c r="DA643" i="3"/>
  <c r="DB643" i="3"/>
  <c r="DC643" i="3"/>
  <c r="A644" i="3"/>
  <c r="CX644" i="3"/>
  <c r="CY644" i="3"/>
  <c r="CZ644" i="3"/>
  <c r="DA644" i="3"/>
  <c r="DB644" i="3"/>
  <c r="DC644" i="3"/>
  <c r="A645" i="3"/>
  <c r="CX645" i="3"/>
  <c r="CY645" i="3"/>
  <c r="CZ645" i="3"/>
  <c r="DB645" i="3" s="1"/>
  <c r="DA645" i="3"/>
  <c r="DC645" i="3"/>
  <c r="A646" i="3"/>
  <c r="CX646" i="3"/>
  <c r="CY646" i="3"/>
  <c r="CZ646" i="3"/>
  <c r="DB646" i="3" s="1"/>
  <c r="DA646" i="3"/>
  <c r="DC646" i="3"/>
  <c r="A647" i="3"/>
  <c r="CX647" i="3"/>
  <c r="CY647" i="3"/>
  <c r="CZ647" i="3"/>
  <c r="DA647" i="3"/>
  <c r="DB647" i="3"/>
  <c r="DC647" i="3"/>
  <c r="A648" i="3"/>
  <c r="CX648" i="3"/>
  <c r="CY648" i="3"/>
  <c r="CZ648" i="3"/>
  <c r="DA648" i="3"/>
  <c r="DB648" i="3"/>
  <c r="DC648" i="3"/>
  <c r="A649" i="3"/>
  <c r="CY649" i="3"/>
  <c r="CZ649" i="3"/>
  <c r="DB649" i="3" s="1"/>
  <c r="DA649" i="3"/>
  <c r="DC649" i="3"/>
  <c r="A650" i="3"/>
  <c r="CY650" i="3"/>
  <c r="CZ650" i="3"/>
  <c r="DA650" i="3"/>
  <c r="DB650" i="3"/>
  <c r="DC650" i="3"/>
  <c r="A651" i="3"/>
  <c r="CY651" i="3"/>
  <c r="CZ651" i="3"/>
  <c r="DA651" i="3"/>
  <c r="DB651" i="3"/>
  <c r="DC651" i="3"/>
  <c r="A652" i="3"/>
  <c r="CY652" i="3"/>
  <c r="CZ652" i="3"/>
  <c r="DB652" i="3" s="1"/>
  <c r="DA652" i="3"/>
  <c r="DC652" i="3"/>
  <c r="A653" i="3"/>
  <c r="CY653" i="3"/>
  <c r="CZ653" i="3"/>
  <c r="DB653" i="3" s="1"/>
  <c r="DA653" i="3"/>
  <c r="DC653" i="3"/>
  <c r="A654" i="3"/>
  <c r="CY654" i="3"/>
  <c r="CZ654" i="3"/>
  <c r="DB654" i="3" s="1"/>
  <c r="DA654" i="3"/>
  <c r="DC654" i="3"/>
  <c r="A655" i="3"/>
  <c r="CX655" i="3"/>
  <c r="CY655" i="3"/>
  <c r="CZ655" i="3"/>
  <c r="DA655" i="3"/>
  <c r="DB655" i="3"/>
  <c r="DC655" i="3"/>
  <c r="A656" i="3"/>
  <c r="CX656" i="3"/>
  <c r="CY656" i="3"/>
  <c r="CZ656" i="3"/>
  <c r="DA656" i="3"/>
  <c r="DB656" i="3"/>
  <c r="DC656" i="3"/>
  <c r="A657" i="3"/>
  <c r="CX657" i="3"/>
  <c r="CY657" i="3"/>
  <c r="CZ657" i="3"/>
  <c r="DB657" i="3" s="1"/>
  <c r="DA657" i="3"/>
  <c r="DC657" i="3"/>
  <c r="A658" i="3"/>
  <c r="CX658" i="3"/>
  <c r="CY658" i="3"/>
  <c r="CZ658" i="3"/>
  <c r="DA658" i="3"/>
  <c r="DB658" i="3"/>
  <c r="DC658" i="3"/>
  <c r="A659" i="3"/>
  <c r="CX659" i="3"/>
  <c r="CY659" i="3"/>
  <c r="CZ659" i="3"/>
  <c r="DA659" i="3"/>
  <c r="DB659" i="3"/>
  <c r="DC659" i="3"/>
  <c r="A660" i="3"/>
  <c r="CX660" i="3"/>
  <c r="CY660" i="3"/>
  <c r="CZ660" i="3"/>
  <c r="DB660" i="3" s="1"/>
  <c r="DA660" i="3"/>
  <c r="DC660" i="3"/>
  <c r="A661" i="3"/>
  <c r="CX661" i="3"/>
  <c r="CY661" i="3"/>
  <c r="CZ661" i="3"/>
  <c r="DB661" i="3" s="1"/>
  <c r="DA661" i="3"/>
  <c r="DC661" i="3"/>
  <c r="A662" i="3"/>
  <c r="CX662" i="3"/>
  <c r="CY662" i="3"/>
  <c r="CZ662" i="3"/>
  <c r="DA662" i="3"/>
  <c r="DB662" i="3"/>
  <c r="DC662" i="3"/>
  <c r="A663" i="3"/>
  <c r="CX663" i="3"/>
  <c r="CY663" i="3"/>
  <c r="CZ663" i="3"/>
  <c r="DA663" i="3"/>
  <c r="DB663" i="3"/>
  <c r="DC663" i="3"/>
  <c r="A664" i="3"/>
  <c r="CX664" i="3"/>
  <c r="CY664" i="3"/>
  <c r="CZ664" i="3"/>
  <c r="DB664" i="3" s="1"/>
  <c r="DA664" i="3"/>
  <c r="DC664" i="3"/>
  <c r="A665" i="3"/>
  <c r="CY665" i="3"/>
  <c r="CZ665" i="3"/>
  <c r="DB665" i="3" s="1"/>
  <c r="DA665" i="3"/>
  <c r="DC665" i="3"/>
  <c r="A666" i="3"/>
  <c r="CY666" i="3"/>
  <c r="CZ666" i="3"/>
  <c r="DA666" i="3"/>
  <c r="DB666" i="3"/>
  <c r="DC666" i="3"/>
  <c r="A667" i="3"/>
  <c r="CY667" i="3"/>
  <c r="CZ667" i="3"/>
  <c r="DA667" i="3"/>
  <c r="DB667" i="3"/>
  <c r="DC667" i="3"/>
  <c r="A668" i="3"/>
  <c r="CY668" i="3"/>
  <c r="CZ668" i="3"/>
  <c r="DB668" i="3" s="1"/>
  <c r="DA668" i="3"/>
  <c r="DC668" i="3"/>
  <c r="A669" i="3"/>
  <c r="CY669" i="3"/>
  <c r="CZ669" i="3"/>
  <c r="DB669" i="3" s="1"/>
  <c r="DA669" i="3"/>
  <c r="DC669" i="3"/>
  <c r="A670" i="3"/>
  <c r="CY670" i="3"/>
  <c r="CZ670" i="3"/>
  <c r="DA670" i="3"/>
  <c r="DB670" i="3"/>
  <c r="DC670" i="3"/>
  <c r="A671" i="3"/>
  <c r="CY671" i="3"/>
  <c r="CZ671" i="3"/>
  <c r="DA671" i="3"/>
  <c r="DB671" i="3"/>
  <c r="DC671" i="3"/>
  <c r="A672" i="3"/>
  <c r="CY672" i="3"/>
  <c r="CZ672" i="3"/>
  <c r="DB672" i="3" s="1"/>
  <c r="DA672" i="3"/>
  <c r="DC672" i="3"/>
  <c r="A673" i="3"/>
  <c r="CY673" i="3"/>
  <c r="CZ673" i="3"/>
  <c r="DB673" i="3" s="1"/>
  <c r="DA673" i="3"/>
  <c r="DC673" i="3"/>
  <c r="A674" i="3"/>
  <c r="CY674" i="3"/>
  <c r="CZ674" i="3"/>
  <c r="DA674" i="3"/>
  <c r="DB674" i="3"/>
  <c r="DC674" i="3"/>
  <c r="A675" i="3"/>
  <c r="CY675" i="3"/>
  <c r="CZ675" i="3"/>
  <c r="DA675" i="3"/>
  <c r="DB675" i="3"/>
  <c r="DC675" i="3"/>
  <c r="A676" i="3"/>
  <c r="CY676" i="3"/>
  <c r="CZ676" i="3"/>
  <c r="DB676" i="3" s="1"/>
  <c r="DA676" i="3"/>
  <c r="DC676" i="3"/>
  <c r="A677" i="3"/>
  <c r="CY677" i="3"/>
  <c r="CZ677" i="3"/>
  <c r="DB677" i="3" s="1"/>
  <c r="DA677" i="3"/>
  <c r="DC677" i="3"/>
  <c r="A678" i="3"/>
  <c r="CY678" i="3"/>
  <c r="CZ678" i="3"/>
  <c r="DA678" i="3"/>
  <c r="DB678" i="3"/>
  <c r="DC678" i="3"/>
  <c r="A679" i="3"/>
  <c r="CY679" i="3"/>
  <c r="CZ679" i="3"/>
  <c r="DA679" i="3"/>
  <c r="DB679" i="3"/>
  <c r="DC679" i="3"/>
  <c r="A680" i="3"/>
  <c r="CY680" i="3"/>
  <c r="CZ680" i="3"/>
  <c r="DB680" i="3" s="1"/>
  <c r="DA680" i="3"/>
  <c r="DC680" i="3"/>
  <c r="A681" i="3"/>
  <c r="CY681" i="3"/>
  <c r="CZ681" i="3"/>
  <c r="DB681" i="3" s="1"/>
  <c r="DA681" i="3"/>
  <c r="DC681" i="3"/>
  <c r="A682" i="3"/>
  <c r="CY682" i="3"/>
  <c r="CZ682" i="3"/>
  <c r="DA682" i="3"/>
  <c r="DB682" i="3"/>
  <c r="DC682" i="3"/>
  <c r="A683" i="3"/>
  <c r="CY683" i="3"/>
  <c r="CZ683" i="3"/>
  <c r="DA683" i="3"/>
  <c r="DB683" i="3"/>
  <c r="DC683" i="3"/>
  <c r="A684" i="3"/>
  <c r="CY684" i="3"/>
  <c r="CZ684" i="3"/>
  <c r="DB684" i="3" s="1"/>
  <c r="DA684" i="3"/>
  <c r="DC684" i="3"/>
  <c r="A685" i="3"/>
  <c r="CY685" i="3"/>
  <c r="CZ685" i="3"/>
  <c r="DB685" i="3" s="1"/>
  <c r="DA685" i="3"/>
  <c r="DC685" i="3"/>
  <c r="A686" i="3"/>
  <c r="CY686" i="3"/>
  <c r="CZ686" i="3"/>
  <c r="DA686" i="3"/>
  <c r="DB686" i="3"/>
  <c r="DC686" i="3"/>
  <c r="A687" i="3"/>
  <c r="CY687" i="3"/>
  <c r="CZ687" i="3"/>
  <c r="DA687" i="3"/>
  <c r="DB687" i="3"/>
  <c r="DC687" i="3"/>
  <c r="A688" i="3"/>
  <c r="CY688" i="3"/>
  <c r="CZ688" i="3"/>
  <c r="DB688" i="3" s="1"/>
  <c r="DA688" i="3"/>
  <c r="DC688" i="3"/>
  <c r="A689" i="3"/>
  <c r="CY689" i="3"/>
  <c r="CZ689" i="3"/>
  <c r="DB689" i="3" s="1"/>
  <c r="DA689" i="3"/>
  <c r="DC689" i="3"/>
  <c r="A690" i="3"/>
  <c r="CY690" i="3"/>
  <c r="CZ690" i="3"/>
  <c r="DA690" i="3"/>
  <c r="DB690" i="3"/>
  <c r="DC690" i="3"/>
  <c r="A691" i="3"/>
  <c r="CY691" i="3"/>
  <c r="CZ691" i="3"/>
  <c r="DA691" i="3"/>
  <c r="DB691" i="3"/>
  <c r="DC691" i="3"/>
  <c r="A692" i="3"/>
  <c r="CY692" i="3"/>
  <c r="CZ692" i="3"/>
  <c r="DB692" i="3" s="1"/>
  <c r="DA692" i="3"/>
  <c r="DC692" i="3"/>
  <c r="A693" i="3"/>
  <c r="CY693" i="3"/>
  <c r="CZ693" i="3"/>
  <c r="DB693" i="3" s="1"/>
  <c r="DA693" i="3"/>
  <c r="DC693" i="3"/>
  <c r="A694" i="3"/>
  <c r="CY694" i="3"/>
  <c r="CZ694" i="3"/>
  <c r="DA694" i="3"/>
  <c r="DB694" i="3"/>
  <c r="DC694" i="3"/>
  <c r="A695" i="3"/>
  <c r="CY695" i="3"/>
  <c r="CZ695" i="3"/>
  <c r="DA695" i="3"/>
  <c r="DB695" i="3"/>
  <c r="DC695" i="3"/>
  <c r="A696" i="3"/>
  <c r="CY696" i="3"/>
  <c r="CZ696" i="3"/>
  <c r="DB696" i="3" s="1"/>
  <c r="DA696" i="3"/>
  <c r="DC696" i="3"/>
  <c r="A697" i="3"/>
  <c r="CY697" i="3"/>
  <c r="CZ697" i="3"/>
  <c r="DB697" i="3" s="1"/>
  <c r="DA697" i="3"/>
  <c r="DC697" i="3"/>
  <c r="A698" i="3"/>
  <c r="CY698" i="3"/>
  <c r="CZ698" i="3"/>
  <c r="DA698" i="3"/>
  <c r="DB698" i="3"/>
  <c r="DC698" i="3"/>
  <c r="A699" i="3"/>
  <c r="CY699" i="3"/>
  <c r="CZ699" i="3"/>
  <c r="DA699" i="3"/>
  <c r="DB699" i="3"/>
  <c r="DC699" i="3"/>
  <c r="A700" i="3"/>
  <c r="CY700" i="3"/>
  <c r="CZ700" i="3"/>
  <c r="DB700" i="3" s="1"/>
  <c r="DA700" i="3"/>
  <c r="DC700" i="3"/>
  <c r="A701" i="3"/>
  <c r="CY701" i="3"/>
  <c r="CZ701" i="3"/>
  <c r="DB701" i="3" s="1"/>
  <c r="DA701" i="3"/>
  <c r="DC701" i="3"/>
  <c r="A702" i="3"/>
  <c r="CY702" i="3"/>
  <c r="CZ702" i="3"/>
  <c r="DA702" i="3"/>
  <c r="DB702" i="3"/>
  <c r="DC702" i="3"/>
  <c r="A703" i="3"/>
  <c r="CY703" i="3"/>
  <c r="CZ703" i="3"/>
  <c r="DA703" i="3"/>
  <c r="DB703" i="3"/>
  <c r="DC703" i="3"/>
  <c r="A704" i="3"/>
  <c r="CY704" i="3"/>
  <c r="CZ704" i="3"/>
  <c r="DB704" i="3" s="1"/>
  <c r="DA704" i="3"/>
  <c r="DC704" i="3"/>
  <c r="A705" i="3"/>
  <c r="CY705" i="3"/>
  <c r="CZ705" i="3"/>
  <c r="DB705" i="3" s="1"/>
  <c r="DA705" i="3"/>
  <c r="DC705" i="3"/>
  <c r="A706" i="3"/>
  <c r="CY706" i="3"/>
  <c r="CZ706" i="3"/>
  <c r="DA706" i="3"/>
  <c r="DB706" i="3"/>
  <c r="DC706" i="3"/>
  <c r="A707" i="3"/>
  <c r="CY707" i="3"/>
  <c r="CZ707" i="3"/>
  <c r="DA707" i="3"/>
  <c r="DB707" i="3"/>
  <c r="DC707" i="3"/>
  <c r="A708" i="3"/>
  <c r="CY708" i="3"/>
  <c r="CZ708" i="3"/>
  <c r="DB708" i="3" s="1"/>
  <c r="DA708" i="3"/>
  <c r="DC708" i="3"/>
  <c r="A709" i="3"/>
  <c r="CY709" i="3"/>
  <c r="CZ709" i="3"/>
  <c r="DB709" i="3" s="1"/>
  <c r="DA709" i="3"/>
  <c r="DC709" i="3"/>
  <c r="A710" i="3"/>
  <c r="CY710" i="3"/>
  <c r="CZ710" i="3"/>
  <c r="DA710" i="3"/>
  <c r="DB710" i="3"/>
  <c r="DC710" i="3"/>
  <c r="A711" i="3"/>
  <c r="CY711" i="3"/>
  <c r="CZ711" i="3"/>
  <c r="DA711" i="3"/>
  <c r="DB711" i="3"/>
  <c r="DC711" i="3"/>
  <c r="A712" i="3"/>
  <c r="CY712" i="3"/>
  <c r="CZ712" i="3"/>
  <c r="DB712" i="3" s="1"/>
  <c r="DA712" i="3"/>
  <c r="DC712" i="3"/>
  <c r="A713" i="3"/>
  <c r="CY713" i="3"/>
  <c r="CZ713" i="3"/>
  <c r="DB713" i="3" s="1"/>
  <c r="DA713" i="3"/>
  <c r="DC713" i="3"/>
  <c r="A714" i="3"/>
  <c r="CY714" i="3"/>
  <c r="CZ714" i="3"/>
  <c r="DA714" i="3"/>
  <c r="DB714" i="3"/>
  <c r="DC714" i="3"/>
  <c r="A715" i="3"/>
  <c r="CY715" i="3"/>
  <c r="CZ715" i="3"/>
  <c r="DA715" i="3"/>
  <c r="DB715" i="3"/>
  <c r="DC715" i="3"/>
  <c r="A716" i="3"/>
  <c r="CY716" i="3"/>
  <c r="CZ716" i="3"/>
  <c r="DB716" i="3" s="1"/>
  <c r="DA716" i="3"/>
  <c r="DC716" i="3"/>
  <c r="A717" i="3"/>
  <c r="CY717" i="3"/>
  <c r="CZ717" i="3"/>
  <c r="DB717" i="3" s="1"/>
  <c r="DA717" i="3"/>
  <c r="DC717" i="3"/>
  <c r="A718" i="3"/>
  <c r="CY718" i="3"/>
  <c r="CZ718" i="3"/>
  <c r="DA718" i="3"/>
  <c r="DB718" i="3"/>
  <c r="DC718" i="3"/>
  <c r="A719" i="3"/>
  <c r="CY719" i="3"/>
  <c r="CZ719" i="3"/>
  <c r="DA719" i="3"/>
  <c r="DB719" i="3"/>
  <c r="DC719" i="3"/>
  <c r="A720" i="3"/>
  <c r="CY720" i="3"/>
  <c r="CZ720" i="3"/>
  <c r="DB720" i="3" s="1"/>
  <c r="DA720" i="3"/>
  <c r="DC720" i="3"/>
  <c r="A721" i="3"/>
  <c r="CY721" i="3"/>
  <c r="CZ721" i="3"/>
  <c r="DB721" i="3" s="1"/>
  <c r="DA721" i="3"/>
  <c r="DC721" i="3"/>
  <c r="A722" i="3"/>
  <c r="CY722" i="3"/>
  <c r="CZ722" i="3"/>
  <c r="DA722" i="3"/>
  <c r="DB722" i="3"/>
  <c r="DC722" i="3"/>
  <c r="A723" i="3"/>
  <c r="CY723" i="3"/>
  <c r="CZ723" i="3"/>
  <c r="DA723" i="3"/>
  <c r="DB723" i="3"/>
  <c r="DC723" i="3"/>
  <c r="A724" i="3"/>
  <c r="CY724" i="3"/>
  <c r="CZ724" i="3"/>
  <c r="DB724" i="3" s="1"/>
  <c r="DA724" i="3"/>
  <c r="DC724" i="3"/>
  <c r="A725" i="3"/>
  <c r="CY725" i="3"/>
  <c r="CZ725" i="3"/>
  <c r="DB725" i="3" s="1"/>
  <c r="DA725" i="3"/>
  <c r="DC725" i="3"/>
  <c r="A726" i="3"/>
  <c r="CY726" i="3"/>
  <c r="CZ726" i="3"/>
  <c r="DA726" i="3"/>
  <c r="DB726" i="3"/>
  <c r="DC726" i="3"/>
  <c r="A727" i="3"/>
  <c r="CY727" i="3"/>
  <c r="CZ727" i="3"/>
  <c r="DA727" i="3"/>
  <c r="DB727" i="3"/>
  <c r="DC727" i="3"/>
  <c r="A728" i="3"/>
  <c r="CY728" i="3"/>
  <c r="CZ728" i="3"/>
  <c r="DB728" i="3" s="1"/>
  <c r="DA728" i="3"/>
  <c r="DC728" i="3"/>
  <c r="A729" i="3"/>
  <c r="CY729" i="3"/>
  <c r="CZ729" i="3"/>
  <c r="DB729" i="3" s="1"/>
  <c r="DA729" i="3"/>
  <c r="DC729" i="3"/>
  <c r="A730" i="3"/>
  <c r="CY730" i="3"/>
  <c r="CZ730" i="3"/>
  <c r="DA730" i="3"/>
  <c r="DB730" i="3"/>
  <c r="DC730" i="3"/>
  <c r="A731" i="3"/>
  <c r="CY731" i="3"/>
  <c r="CZ731" i="3"/>
  <c r="DA731" i="3"/>
  <c r="DB731" i="3"/>
  <c r="DC731" i="3"/>
  <c r="A732" i="3"/>
  <c r="CY732" i="3"/>
  <c r="CZ732" i="3"/>
  <c r="DB732" i="3" s="1"/>
  <c r="DA732" i="3"/>
  <c r="DC732" i="3"/>
  <c r="A733" i="3"/>
  <c r="CY733" i="3"/>
  <c r="CZ733" i="3"/>
  <c r="DB733" i="3" s="1"/>
  <c r="DA733" i="3"/>
  <c r="DC733" i="3"/>
  <c r="A734" i="3"/>
  <c r="CY734" i="3"/>
  <c r="CZ734" i="3"/>
  <c r="DA734" i="3"/>
  <c r="DB734" i="3"/>
  <c r="DC734" i="3"/>
  <c r="A735" i="3"/>
  <c r="CY735" i="3"/>
  <c r="CZ735" i="3"/>
  <c r="DA735" i="3"/>
  <c r="DB735" i="3"/>
  <c r="DC735" i="3"/>
  <c r="A736" i="3"/>
  <c r="CY736" i="3"/>
  <c r="CZ736" i="3"/>
  <c r="DB736" i="3" s="1"/>
  <c r="DA736" i="3"/>
  <c r="DC736" i="3"/>
  <c r="A737" i="3"/>
  <c r="CY737" i="3"/>
  <c r="CZ737" i="3"/>
  <c r="DB737" i="3" s="1"/>
  <c r="DA737" i="3"/>
  <c r="DC737" i="3"/>
  <c r="A738" i="3"/>
  <c r="CY738" i="3"/>
  <c r="CZ738" i="3"/>
  <c r="DA738" i="3"/>
  <c r="DB738" i="3"/>
  <c r="DC738" i="3"/>
  <c r="A739" i="3"/>
  <c r="CY739" i="3"/>
  <c r="CZ739" i="3"/>
  <c r="DA739" i="3"/>
  <c r="DB739" i="3"/>
  <c r="DC739" i="3"/>
  <c r="A740" i="3"/>
  <c r="CY740" i="3"/>
  <c r="CZ740" i="3"/>
  <c r="DB740" i="3" s="1"/>
  <c r="DA740" i="3"/>
  <c r="DC740" i="3"/>
  <c r="A741" i="3"/>
  <c r="CY741" i="3"/>
  <c r="CZ741" i="3"/>
  <c r="DB741" i="3" s="1"/>
  <c r="DA741" i="3"/>
  <c r="DC741" i="3"/>
  <c r="A742" i="3"/>
  <c r="CY742" i="3"/>
  <c r="CZ742" i="3"/>
  <c r="DA742" i="3"/>
  <c r="DB742" i="3"/>
  <c r="DC742" i="3"/>
  <c r="A743" i="3"/>
  <c r="CY743" i="3"/>
  <c r="CZ743" i="3"/>
  <c r="DA743" i="3"/>
  <c r="DB743" i="3"/>
  <c r="DC743" i="3"/>
  <c r="A744" i="3"/>
  <c r="CY744" i="3"/>
  <c r="CZ744" i="3"/>
  <c r="DB744" i="3" s="1"/>
  <c r="DA744" i="3"/>
  <c r="DC744" i="3"/>
  <c r="A745" i="3"/>
  <c r="CY745" i="3"/>
  <c r="CZ745" i="3"/>
  <c r="DB745" i="3" s="1"/>
  <c r="DA745" i="3"/>
  <c r="DC745" i="3"/>
  <c r="A746" i="3"/>
  <c r="CY746" i="3"/>
  <c r="CZ746" i="3"/>
  <c r="DA746" i="3"/>
  <c r="DB746" i="3"/>
  <c r="DC746" i="3"/>
  <c r="A747" i="3"/>
  <c r="CY747" i="3"/>
  <c r="CZ747" i="3"/>
  <c r="DA747" i="3"/>
  <c r="DB747" i="3"/>
  <c r="DC747" i="3"/>
  <c r="A748" i="3"/>
  <c r="CY748" i="3"/>
  <c r="CZ748" i="3"/>
  <c r="DB748" i="3" s="1"/>
  <c r="DA748" i="3"/>
  <c r="DC748" i="3"/>
  <c r="A749" i="3"/>
  <c r="CY749" i="3"/>
  <c r="CZ749" i="3"/>
  <c r="DB749" i="3" s="1"/>
  <c r="DA749" i="3"/>
  <c r="DC749" i="3"/>
  <c r="A750" i="3"/>
  <c r="CY750" i="3"/>
  <c r="CZ750" i="3"/>
  <c r="DA750" i="3"/>
  <c r="DB750" i="3"/>
  <c r="DC750" i="3"/>
  <c r="A751" i="3"/>
  <c r="CY751" i="3"/>
  <c r="CZ751" i="3"/>
  <c r="DA751" i="3"/>
  <c r="DB751" i="3"/>
  <c r="DC751" i="3"/>
  <c r="A752" i="3"/>
  <c r="CY752" i="3"/>
  <c r="CZ752" i="3"/>
  <c r="DB752" i="3" s="1"/>
  <c r="DA752" i="3"/>
  <c r="DC752" i="3"/>
  <c r="A753" i="3"/>
  <c r="CX753" i="3"/>
  <c r="CY753" i="3"/>
  <c r="CZ753" i="3"/>
  <c r="DB753" i="3" s="1"/>
  <c r="DA753" i="3"/>
  <c r="DC753" i="3"/>
  <c r="A754" i="3"/>
  <c r="CX754" i="3"/>
  <c r="CY754" i="3"/>
  <c r="CZ754" i="3"/>
  <c r="DA754" i="3"/>
  <c r="DB754" i="3"/>
  <c r="DC754" i="3"/>
  <c r="A755" i="3"/>
  <c r="CX755" i="3"/>
  <c r="CY755" i="3"/>
  <c r="CZ755" i="3"/>
  <c r="DA755" i="3"/>
  <c r="DB755" i="3"/>
  <c r="DC755" i="3"/>
  <c r="A756" i="3"/>
  <c r="CX756" i="3"/>
  <c r="CY756" i="3"/>
  <c r="CZ756" i="3"/>
  <c r="DB756" i="3" s="1"/>
  <c r="DA756" i="3"/>
  <c r="DC756" i="3"/>
  <c r="A757" i="3"/>
  <c r="CX757" i="3"/>
  <c r="CY757" i="3"/>
  <c r="CZ757" i="3"/>
  <c r="DB757" i="3" s="1"/>
  <c r="DA757" i="3"/>
  <c r="DC757" i="3"/>
  <c r="A758" i="3"/>
  <c r="CX758" i="3"/>
  <c r="CY758" i="3"/>
  <c r="CZ758" i="3"/>
  <c r="DA758" i="3"/>
  <c r="DB758" i="3"/>
  <c r="DC758" i="3"/>
  <c r="A759" i="3"/>
  <c r="CX759" i="3"/>
  <c r="CY759" i="3"/>
  <c r="CZ759" i="3"/>
  <c r="DA759" i="3"/>
  <c r="DB759" i="3"/>
  <c r="DC759" i="3"/>
  <c r="A760" i="3"/>
  <c r="CX760" i="3"/>
  <c r="CY760" i="3"/>
  <c r="CZ760" i="3"/>
  <c r="DB760" i="3" s="1"/>
  <c r="DA760" i="3"/>
  <c r="DC760" i="3"/>
  <c r="A761" i="3"/>
  <c r="CX761" i="3"/>
  <c r="CY761" i="3"/>
  <c r="CZ761" i="3"/>
  <c r="DB761" i="3" s="1"/>
  <c r="DA761" i="3"/>
  <c r="DC761" i="3"/>
  <c r="A762" i="3"/>
  <c r="CX762" i="3"/>
  <c r="CY762" i="3"/>
  <c r="CZ762" i="3"/>
  <c r="DA762" i="3"/>
  <c r="DB762" i="3"/>
  <c r="DC762" i="3"/>
  <c r="A763" i="3"/>
  <c r="CX763" i="3"/>
  <c r="CY763" i="3"/>
  <c r="CZ763" i="3"/>
  <c r="DA763" i="3"/>
  <c r="DB763" i="3"/>
  <c r="DC763" i="3"/>
  <c r="A764" i="3"/>
  <c r="CX764" i="3"/>
  <c r="CY764" i="3"/>
  <c r="CZ764" i="3"/>
  <c r="DB764" i="3" s="1"/>
  <c r="DA764" i="3"/>
  <c r="DC764" i="3"/>
  <c r="A765" i="3"/>
  <c r="CX765" i="3"/>
  <c r="CY765" i="3"/>
  <c r="CZ765" i="3"/>
  <c r="DB765" i="3" s="1"/>
  <c r="DA765" i="3"/>
  <c r="DC765" i="3"/>
  <c r="A766" i="3"/>
  <c r="CX766" i="3"/>
  <c r="CY766" i="3"/>
  <c r="CZ766" i="3"/>
  <c r="DA766" i="3"/>
  <c r="DB766" i="3"/>
  <c r="DC766" i="3"/>
  <c r="A767" i="3"/>
  <c r="CX767" i="3"/>
  <c r="CY767" i="3"/>
  <c r="CZ767" i="3"/>
  <c r="DA767" i="3"/>
  <c r="DB767" i="3"/>
  <c r="DC767" i="3"/>
  <c r="A768" i="3"/>
  <c r="CX768" i="3"/>
  <c r="CY768" i="3"/>
  <c r="CZ768" i="3"/>
  <c r="DB768" i="3" s="1"/>
  <c r="DA768" i="3"/>
  <c r="DC768" i="3"/>
  <c r="A769" i="3"/>
  <c r="CY769" i="3"/>
  <c r="CZ769" i="3"/>
  <c r="DB769" i="3" s="1"/>
  <c r="DA769" i="3"/>
  <c r="DC769" i="3"/>
  <c r="A770" i="3"/>
  <c r="CY770" i="3"/>
  <c r="CZ770" i="3"/>
  <c r="DA770" i="3"/>
  <c r="DB770" i="3"/>
  <c r="DC770" i="3"/>
  <c r="A771" i="3"/>
  <c r="CY771" i="3"/>
  <c r="CZ771" i="3"/>
  <c r="DA771" i="3"/>
  <c r="DB771" i="3"/>
  <c r="DC771" i="3"/>
  <c r="A772" i="3"/>
  <c r="CY772" i="3"/>
  <c r="CZ772" i="3"/>
  <c r="DB772" i="3" s="1"/>
  <c r="DA772" i="3"/>
  <c r="DC772" i="3"/>
  <c r="A773" i="3"/>
  <c r="CY773" i="3"/>
  <c r="CZ773" i="3"/>
  <c r="DB773" i="3" s="1"/>
  <c r="DA773" i="3"/>
  <c r="DC773" i="3"/>
  <c r="A774" i="3"/>
  <c r="CY774" i="3"/>
  <c r="CZ774" i="3"/>
  <c r="DA774" i="3"/>
  <c r="DB774" i="3"/>
  <c r="DC774" i="3"/>
  <c r="A775" i="3"/>
  <c r="CY775" i="3"/>
  <c r="CZ775" i="3"/>
  <c r="DA775" i="3"/>
  <c r="DB775" i="3"/>
  <c r="DC775" i="3"/>
  <c r="A776" i="3"/>
  <c r="CY776" i="3"/>
  <c r="CZ776" i="3"/>
  <c r="DB776" i="3" s="1"/>
  <c r="DA776" i="3"/>
  <c r="DC776" i="3"/>
  <c r="A777" i="3"/>
  <c r="CY777" i="3"/>
  <c r="CZ777" i="3"/>
  <c r="DB777" i="3" s="1"/>
  <c r="DA777" i="3"/>
  <c r="DC777" i="3"/>
  <c r="A778" i="3"/>
  <c r="CY778" i="3"/>
  <c r="CZ778" i="3"/>
  <c r="DA778" i="3"/>
  <c r="DB778" i="3"/>
  <c r="DC778" i="3"/>
  <c r="A779" i="3"/>
  <c r="CY779" i="3"/>
  <c r="CZ779" i="3"/>
  <c r="DA779" i="3"/>
  <c r="DB779" i="3"/>
  <c r="DC779" i="3"/>
  <c r="A780" i="3"/>
  <c r="CY780" i="3"/>
  <c r="CZ780" i="3"/>
  <c r="DB780" i="3" s="1"/>
  <c r="DA780" i="3"/>
  <c r="DC780" i="3"/>
  <c r="A781" i="3"/>
  <c r="CY781" i="3"/>
  <c r="CZ781" i="3"/>
  <c r="DB781" i="3" s="1"/>
  <c r="DA781" i="3"/>
  <c r="DC781" i="3"/>
  <c r="A782" i="3"/>
  <c r="CY782" i="3"/>
  <c r="CZ782" i="3"/>
  <c r="DA782" i="3"/>
  <c r="DB782" i="3"/>
  <c r="DC782" i="3"/>
  <c r="A783" i="3"/>
  <c r="CY783" i="3"/>
  <c r="CZ783" i="3"/>
  <c r="DA783" i="3"/>
  <c r="DB783" i="3"/>
  <c r="DC783" i="3"/>
  <c r="A784" i="3"/>
  <c r="CY784" i="3"/>
  <c r="CZ784" i="3"/>
  <c r="DB784" i="3" s="1"/>
  <c r="DA784" i="3"/>
  <c r="DC784" i="3"/>
  <c r="A785" i="3"/>
  <c r="CY785" i="3"/>
  <c r="CZ785" i="3"/>
  <c r="DB785" i="3" s="1"/>
  <c r="DA785" i="3"/>
  <c r="DC785" i="3"/>
  <c r="A786" i="3"/>
  <c r="CY786" i="3"/>
  <c r="CZ786" i="3"/>
  <c r="DA786" i="3"/>
  <c r="DB786" i="3"/>
  <c r="DC786" i="3"/>
  <c r="A787" i="3"/>
  <c r="CY787" i="3"/>
  <c r="CZ787" i="3"/>
  <c r="DA787" i="3"/>
  <c r="DB787" i="3"/>
  <c r="DC787" i="3"/>
  <c r="A788" i="3"/>
  <c r="CY788" i="3"/>
  <c r="CZ788" i="3"/>
  <c r="DB788" i="3" s="1"/>
  <c r="DA788" i="3"/>
  <c r="DC788" i="3"/>
  <c r="A789" i="3"/>
  <c r="CY789" i="3"/>
  <c r="CZ789" i="3"/>
  <c r="DB789" i="3" s="1"/>
  <c r="DA789" i="3"/>
  <c r="DC789" i="3"/>
  <c r="A790" i="3"/>
  <c r="CY790" i="3"/>
  <c r="CZ790" i="3"/>
  <c r="DA790" i="3"/>
  <c r="DB790" i="3"/>
  <c r="DC790" i="3"/>
  <c r="A791" i="3"/>
  <c r="CY791" i="3"/>
  <c r="CZ791" i="3"/>
  <c r="DA791" i="3"/>
  <c r="DB791" i="3"/>
  <c r="DC791" i="3"/>
  <c r="A792" i="3"/>
  <c r="CY792" i="3"/>
  <c r="CZ792" i="3"/>
  <c r="DB792" i="3" s="1"/>
  <c r="DA792" i="3"/>
  <c r="DC792" i="3"/>
  <c r="A793" i="3"/>
  <c r="CY793" i="3"/>
  <c r="CZ793" i="3"/>
  <c r="DB793" i="3" s="1"/>
  <c r="DA793" i="3"/>
  <c r="DC793" i="3"/>
  <c r="A794" i="3"/>
  <c r="CY794" i="3"/>
  <c r="CZ794" i="3"/>
  <c r="DA794" i="3"/>
  <c r="DB794" i="3"/>
  <c r="DC794" i="3"/>
  <c r="A795" i="3"/>
  <c r="CY795" i="3"/>
  <c r="CZ795" i="3"/>
  <c r="DA795" i="3"/>
  <c r="DB795" i="3"/>
  <c r="DC795" i="3"/>
  <c r="A796" i="3"/>
  <c r="CY796" i="3"/>
  <c r="CZ796" i="3"/>
  <c r="DB796" i="3" s="1"/>
  <c r="DA796" i="3"/>
  <c r="DC796" i="3"/>
  <c r="A797" i="3"/>
  <c r="CY797" i="3"/>
  <c r="CZ797" i="3"/>
  <c r="DB797" i="3" s="1"/>
  <c r="DA797" i="3"/>
  <c r="DC797" i="3"/>
  <c r="A798" i="3"/>
  <c r="CY798" i="3"/>
  <c r="CZ798" i="3"/>
  <c r="DA798" i="3"/>
  <c r="DB798" i="3"/>
  <c r="DC798" i="3"/>
  <c r="A799" i="3"/>
  <c r="CY799" i="3"/>
  <c r="CZ799" i="3"/>
  <c r="DA799" i="3"/>
  <c r="DB799" i="3"/>
  <c r="DC799" i="3"/>
  <c r="A800" i="3"/>
  <c r="CY800" i="3"/>
  <c r="CZ800" i="3"/>
  <c r="DB800" i="3" s="1"/>
  <c r="DA800" i="3"/>
  <c r="DC800" i="3"/>
  <c r="A801" i="3"/>
  <c r="CY801" i="3"/>
  <c r="CZ801" i="3"/>
  <c r="DB801" i="3" s="1"/>
  <c r="DA801" i="3"/>
  <c r="DC801" i="3"/>
  <c r="A802" i="3"/>
  <c r="CY802" i="3"/>
  <c r="CZ802" i="3"/>
  <c r="DA802" i="3"/>
  <c r="DB802" i="3"/>
  <c r="DC802" i="3"/>
  <c r="A803" i="3"/>
  <c r="CY803" i="3"/>
  <c r="CZ803" i="3"/>
  <c r="DA803" i="3"/>
  <c r="DB803" i="3"/>
  <c r="DC803" i="3"/>
  <c r="A804" i="3"/>
  <c r="CY804" i="3"/>
  <c r="CZ804" i="3"/>
  <c r="DB804" i="3" s="1"/>
  <c r="DA804" i="3"/>
  <c r="DC804" i="3"/>
  <c r="A805" i="3"/>
  <c r="CY805" i="3"/>
  <c r="CZ805" i="3"/>
  <c r="DB805" i="3" s="1"/>
  <c r="DA805" i="3"/>
  <c r="DC805" i="3"/>
  <c r="A806" i="3"/>
  <c r="CY806" i="3"/>
  <c r="CZ806" i="3"/>
  <c r="DA806" i="3"/>
  <c r="DB806" i="3"/>
  <c r="DC806" i="3"/>
  <c r="A807" i="3"/>
  <c r="CY807" i="3"/>
  <c r="CZ807" i="3"/>
  <c r="DA807" i="3"/>
  <c r="DB807" i="3"/>
  <c r="DC807" i="3"/>
  <c r="A808" i="3"/>
  <c r="CY808" i="3"/>
  <c r="CZ808" i="3"/>
  <c r="DB808" i="3" s="1"/>
  <c r="DA808" i="3"/>
  <c r="DC808" i="3"/>
  <c r="A809" i="3"/>
  <c r="CY809" i="3"/>
  <c r="CZ809" i="3"/>
  <c r="DB809" i="3" s="1"/>
  <c r="DA809" i="3"/>
  <c r="DC809" i="3"/>
  <c r="A810" i="3"/>
  <c r="CY810" i="3"/>
  <c r="CZ810" i="3"/>
  <c r="DA810" i="3"/>
  <c r="DB810" i="3"/>
  <c r="DC810" i="3"/>
  <c r="A811" i="3"/>
  <c r="CY811" i="3"/>
  <c r="CZ811" i="3"/>
  <c r="DA811" i="3"/>
  <c r="DB811" i="3"/>
  <c r="DC811" i="3"/>
  <c r="A812" i="3"/>
  <c r="CY812" i="3"/>
  <c r="CZ812" i="3"/>
  <c r="DB812" i="3" s="1"/>
  <c r="DA812" i="3"/>
  <c r="DC812" i="3"/>
  <c r="A813" i="3"/>
  <c r="CY813" i="3"/>
  <c r="CZ813" i="3"/>
  <c r="DB813" i="3" s="1"/>
  <c r="DA813" i="3"/>
  <c r="DC813" i="3"/>
  <c r="A814" i="3"/>
  <c r="CY814" i="3"/>
  <c r="CZ814" i="3"/>
  <c r="DA814" i="3"/>
  <c r="DB814" i="3"/>
  <c r="DC814" i="3"/>
  <c r="A815" i="3"/>
  <c r="CY815" i="3"/>
  <c r="CZ815" i="3"/>
  <c r="DA815" i="3"/>
  <c r="DB815" i="3"/>
  <c r="DC815" i="3"/>
  <c r="A816" i="3"/>
  <c r="CY816" i="3"/>
  <c r="CZ816" i="3"/>
  <c r="DB816" i="3" s="1"/>
  <c r="DA816" i="3"/>
  <c r="DC816" i="3"/>
  <c r="A817" i="3"/>
  <c r="CX817" i="3"/>
  <c r="CY817" i="3"/>
  <c r="CZ817" i="3"/>
  <c r="DB817" i="3" s="1"/>
  <c r="DA817" i="3"/>
  <c r="DC817" i="3"/>
  <c r="A818" i="3"/>
  <c r="CX818" i="3"/>
  <c r="CY818" i="3"/>
  <c r="CZ818" i="3"/>
  <c r="DA818" i="3"/>
  <c r="DB818" i="3"/>
  <c r="DC818" i="3"/>
  <c r="A819" i="3"/>
  <c r="CX819" i="3"/>
  <c r="CY819" i="3"/>
  <c r="CZ819" i="3"/>
  <c r="DA819" i="3"/>
  <c r="DB819" i="3"/>
  <c r="DC819" i="3"/>
  <c r="A820" i="3"/>
  <c r="CX820" i="3"/>
  <c r="CY820" i="3"/>
  <c r="CZ820" i="3"/>
  <c r="DB820" i="3" s="1"/>
  <c r="DA820" i="3"/>
  <c r="DC820" i="3"/>
  <c r="A821" i="3"/>
  <c r="CX821" i="3"/>
  <c r="CY821" i="3"/>
  <c r="CZ821" i="3"/>
  <c r="DB821" i="3" s="1"/>
  <c r="DA821" i="3"/>
  <c r="DC821" i="3"/>
  <c r="A822" i="3"/>
  <c r="CX822" i="3"/>
  <c r="CY822" i="3"/>
  <c r="CZ822" i="3"/>
  <c r="DA822" i="3"/>
  <c r="DB822" i="3"/>
  <c r="DC822" i="3"/>
  <c r="A823" i="3"/>
  <c r="CX823" i="3"/>
  <c r="CY823" i="3"/>
  <c r="CZ823" i="3"/>
  <c r="DA823" i="3"/>
  <c r="DB823" i="3"/>
  <c r="DC823" i="3"/>
  <c r="A824" i="3"/>
  <c r="CX824" i="3"/>
  <c r="CY824" i="3"/>
  <c r="CZ824" i="3"/>
  <c r="DB824" i="3" s="1"/>
  <c r="DA824" i="3"/>
  <c r="DC824" i="3"/>
  <c r="A825" i="3"/>
  <c r="CX825" i="3"/>
  <c r="CY825" i="3"/>
  <c r="CZ825" i="3"/>
  <c r="DB825" i="3" s="1"/>
  <c r="DA825" i="3"/>
  <c r="DC825" i="3"/>
  <c r="A826" i="3"/>
  <c r="CY826" i="3"/>
  <c r="CZ826" i="3"/>
  <c r="DA826" i="3"/>
  <c r="DB826" i="3"/>
  <c r="DC826" i="3"/>
  <c r="A827" i="3"/>
  <c r="CY827" i="3"/>
  <c r="CZ827" i="3"/>
  <c r="DA827" i="3"/>
  <c r="DB827" i="3"/>
  <c r="DC827" i="3"/>
  <c r="A828" i="3"/>
  <c r="CY828" i="3"/>
  <c r="CZ828" i="3"/>
  <c r="DB828" i="3" s="1"/>
  <c r="DA828" i="3"/>
  <c r="DC828" i="3"/>
  <c r="A829" i="3"/>
  <c r="CY829" i="3"/>
  <c r="CZ829" i="3"/>
  <c r="DB829" i="3" s="1"/>
  <c r="DA829" i="3"/>
  <c r="DC829" i="3"/>
  <c r="A830" i="3"/>
  <c r="CY830" i="3"/>
  <c r="CZ830" i="3"/>
  <c r="DA830" i="3"/>
  <c r="DB830" i="3"/>
  <c r="DC830" i="3"/>
  <c r="A831" i="3"/>
  <c r="CY831" i="3"/>
  <c r="CZ831" i="3"/>
  <c r="DA831" i="3"/>
  <c r="DB831" i="3"/>
  <c r="DC831" i="3"/>
  <c r="A832" i="3"/>
  <c r="CY832" i="3"/>
  <c r="CZ832" i="3"/>
  <c r="DB832" i="3" s="1"/>
  <c r="DA832" i="3"/>
  <c r="DC832" i="3"/>
  <c r="A833" i="3"/>
  <c r="CY833" i="3"/>
  <c r="CZ833" i="3"/>
  <c r="DB833" i="3" s="1"/>
  <c r="DA833" i="3"/>
  <c r="DC833" i="3"/>
  <c r="A834" i="3"/>
  <c r="CY834" i="3"/>
  <c r="CZ834" i="3"/>
  <c r="DA834" i="3"/>
  <c r="DB834" i="3"/>
  <c r="DC834" i="3"/>
  <c r="A835" i="3"/>
  <c r="CY835" i="3"/>
  <c r="CZ835" i="3"/>
  <c r="DA835" i="3"/>
  <c r="DB835" i="3"/>
  <c r="DC835" i="3"/>
  <c r="A836" i="3"/>
  <c r="CY836" i="3"/>
  <c r="CZ836" i="3"/>
  <c r="DB836" i="3" s="1"/>
  <c r="DA836" i="3"/>
  <c r="DC836" i="3"/>
  <c r="A837" i="3"/>
  <c r="CY837" i="3"/>
  <c r="CZ837" i="3"/>
  <c r="DB837" i="3" s="1"/>
  <c r="DA837" i="3"/>
  <c r="DC837" i="3"/>
  <c r="A838" i="3"/>
  <c r="CY838" i="3"/>
  <c r="CZ838" i="3"/>
  <c r="DA838" i="3"/>
  <c r="DB838" i="3"/>
  <c r="DC838" i="3"/>
  <c r="A839" i="3"/>
  <c r="CY839" i="3"/>
  <c r="CZ839" i="3"/>
  <c r="DA839" i="3"/>
  <c r="DB839" i="3"/>
  <c r="DC839" i="3"/>
  <c r="A840" i="3"/>
  <c r="CY840" i="3"/>
  <c r="CZ840" i="3"/>
  <c r="DB840" i="3" s="1"/>
  <c r="DA840" i="3"/>
  <c r="DC840" i="3"/>
  <c r="A841" i="3"/>
  <c r="CY841" i="3"/>
  <c r="CZ841" i="3"/>
  <c r="DB841" i="3" s="1"/>
  <c r="DA841" i="3"/>
  <c r="DC841" i="3"/>
  <c r="A842" i="3"/>
  <c r="CY842" i="3"/>
  <c r="CZ842" i="3"/>
  <c r="DA842" i="3"/>
  <c r="DB842" i="3"/>
  <c r="DC842" i="3"/>
  <c r="A843" i="3"/>
  <c r="CY843" i="3"/>
  <c r="CZ843" i="3"/>
  <c r="DA843" i="3"/>
  <c r="DB843" i="3"/>
  <c r="DC843" i="3"/>
  <c r="A844" i="3"/>
  <c r="CY844" i="3"/>
  <c r="CZ844" i="3"/>
  <c r="DB844" i="3" s="1"/>
  <c r="DA844" i="3"/>
  <c r="DC844" i="3"/>
  <c r="A845" i="3"/>
  <c r="CY845" i="3"/>
  <c r="CZ845" i="3"/>
  <c r="DB845" i="3" s="1"/>
  <c r="DA845" i="3"/>
  <c r="DC845" i="3"/>
  <c r="A846" i="3"/>
  <c r="CX846" i="3"/>
  <c r="CY846" i="3"/>
  <c r="CZ846" i="3"/>
  <c r="DA846" i="3"/>
  <c r="DB846" i="3"/>
  <c r="DC846" i="3"/>
  <c r="A847" i="3"/>
  <c r="CX847" i="3"/>
  <c r="CY847" i="3"/>
  <c r="CZ847" i="3"/>
  <c r="DA847" i="3"/>
  <c r="DB847" i="3"/>
  <c r="DC847" i="3"/>
  <c r="A848" i="3"/>
  <c r="CX848" i="3"/>
  <c r="CY848" i="3"/>
  <c r="CZ848" i="3"/>
  <c r="DB848" i="3" s="1"/>
  <c r="DA848" i="3"/>
  <c r="DC848" i="3"/>
  <c r="A849" i="3"/>
  <c r="CX849" i="3"/>
  <c r="CY849" i="3"/>
  <c r="CZ849" i="3"/>
  <c r="DB849" i="3" s="1"/>
  <c r="DA849" i="3"/>
  <c r="DC849" i="3"/>
  <c r="A850" i="3"/>
  <c r="CX850" i="3"/>
  <c r="CY850" i="3"/>
  <c r="CZ850" i="3"/>
  <c r="DA850" i="3"/>
  <c r="DB850" i="3"/>
  <c r="DC850" i="3"/>
  <c r="A851" i="3"/>
  <c r="CX851" i="3"/>
  <c r="CY851" i="3"/>
  <c r="CZ851" i="3"/>
  <c r="DA851" i="3"/>
  <c r="DB851" i="3"/>
  <c r="DC851" i="3"/>
  <c r="A852" i="3"/>
  <c r="CX852" i="3"/>
  <c r="CY852" i="3"/>
  <c r="CZ852" i="3"/>
  <c r="DB852" i="3" s="1"/>
  <c r="DA852" i="3"/>
  <c r="DC852" i="3"/>
  <c r="A853" i="3"/>
  <c r="CX853" i="3"/>
  <c r="CY853" i="3"/>
  <c r="CZ853" i="3"/>
  <c r="DB853" i="3" s="1"/>
  <c r="DA853" i="3"/>
  <c r="DC853" i="3"/>
  <c r="A854" i="3"/>
  <c r="CX854" i="3"/>
  <c r="CY854" i="3"/>
  <c r="CZ854" i="3"/>
  <c r="DA854" i="3"/>
  <c r="DB854" i="3"/>
  <c r="DC854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P28" i="1"/>
  <c r="T28" i="1"/>
  <c r="AC28" i="1"/>
  <c r="AE28" i="1"/>
  <c r="AF28" i="1"/>
  <c r="AG28" i="1"/>
  <c r="AH28" i="1"/>
  <c r="AI28" i="1"/>
  <c r="CW28" i="1" s="1"/>
  <c r="V28" i="1" s="1"/>
  <c r="AJ28" i="1"/>
  <c r="CQ28" i="1"/>
  <c r="CT28" i="1"/>
  <c r="S28" i="1" s="1"/>
  <c r="CU28" i="1"/>
  <c r="CV28" i="1"/>
  <c r="U28" i="1" s="1"/>
  <c r="CX28" i="1"/>
  <c r="W28" i="1" s="1"/>
  <c r="FR28" i="1"/>
  <c r="GL28" i="1"/>
  <c r="GO28" i="1"/>
  <c r="GP28" i="1"/>
  <c r="GV28" i="1"/>
  <c r="HC28" i="1" s="1"/>
  <c r="GX28" i="1" s="1"/>
  <c r="C29" i="1"/>
  <c r="D29" i="1"/>
  <c r="I29" i="1"/>
  <c r="Q29" i="1"/>
  <c r="Y29" i="1"/>
  <c r="AC29" i="1"/>
  <c r="AD29" i="1"/>
  <c r="AE29" i="1"/>
  <c r="CS29" i="1" s="1"/>
  <c r="R29" i="1" s="1"/>
  <c r="GK29" i="1" s="1"/>
  <c r="AF29" i="1"/>
  <c r="AG29" i="1"/>
  <c r="AH29" i="1"/>
  <c r="CV29" i="1" s="1"/>
  <c r="U29" i="1" s="1"/>
  <c r="AI29" i="1"/>
  <c r="CW29" i="1" s="1"/>
  <c r="V29" i="1" s="1"/>
  <c r="AJ29" i="1"/>
  <c r="CQ29" i="1"/>
  <c r="P29" i="1" s="1"/>
  <c r="CP29" i="1" s="1"/>
  <c r="O29" i="1" s="1"/>
  <c r="CR29" i="1"/>
  <c r="CT29" i="1"/>
  <c r="S29" i="1" s="1"/>
  <c r="CU29" i="1"/>
  <c r="T29" i="1" s="1"/>
  <c r="CX29" i="1"/>
  <c r="W29" i="1" s="1"/>
  <c r="CY29" i="1"/>
  <c r="X29" i="1" s="1"/>
  <c r="CZ29" i="1"/>
  <c r="FR29" i="1"/>
  <c r="GL29" i="1"/>
  <c r="GO29" i="1"/>
  <c r="GP29" i="1"/>
  <c r="GV29" i="1"/>
  <c r="HC29" i="1" s="1"/>
  <c r="GX29" i="1" s="1"/>
  <c r="C30" i="1"/>
  <c r="D30" i="1"/>
  <c r="I30" i="1"/>
  <c r="CX11" i="3" s="1"/>
  <c r="T30" i="1"/>
  <c r="AC30" i="1"/>
  <c r="AE30" i="1"/>
  <c r="CS30" i="1" s="1"/>
  <c r="R30" i="1" s="1"/>
  <c r="GK30" i="1" s="1"/>
  <c r="AF30" i="1"/>
  <c r="AG30" i="1"/>
  <c r="AH30" i="1"/>
  <c r="AI30" i="1"/>
  <c r="CW30" i="1" s="1"/>
  <c r="V30" i="1" s="1"/>
  <c r="AJ30" i="1"/>
  <c r="CQ30" i="1"/>
  <c r="P30" i="1" s="1"/>
  <c r="CT30" i="1"/>
  <c r="S30" i="1" s="1"/>
  <c r="CZ30" i="1" s="1"/>
  <c r="Y30" i="1" s="1"/>
  <c r="CU30" i="1"/>
  <c r="CV30" i="1"/>
  <c r="U30" i="1" s="1"/>
  <c r="CX30" i="1"/>
  <c r="W30" i="1" s="1"/>
  <c r="CY30" i="1"/>
  <c r="X30" i="1" s="1"/>
  <c r="FR30" i="1"/>
  <c r="GL30" i="1"/>
  <c r="GO30" i="1"/>
  <c r="GP30" i="1"/>
  <c r="GV30" i="1"/>
  <c r="HC30" i="1" s="1"/>
  <c r="GX30" i="1" s="1"/>
  <c r="C31" i="1"/>
  <c r="D31" i="1"/>
  <c r="I31" i="1"/>
  <c r="P31" i="1"/>
  <c r="AC31" i="1"/>
  <c r="AD31" i="1"/>
  <c r="AE31" i="1"/>
  <c r="CS31" i="1" s="1"/>
  <c r="R31" i="1" s="1"/>
  <c r="GK31" i="1" s="1"/>
  <c r="AF31" i="1"/>
  <c r="AG31" i="1"/>
  <c r="AH31" i="1"/>
  <c r="CV31" i="1" s="1"/>
  <c r="U31" i="1" s="1"/>
  <c r="AI31" i="1"/>
  <c r="CW31" i="1" s="1"/>
  <c r="V31" i="1" s="1"/>
  <c r="AJ31" i="1"/>
  <c r="CQ31" i="1"/>
  <c r="CR31" i="1"/>
  <c r="Q31" i="1" s="1"/>
  <c r="CT31" i="1"/>
  <c r="S31" i="1" s="1"/>
  <c r="CU31" i="1"/>
  <c r="T31" i="1" s="1"/>
  <c r="CX31" i="1"/>
  <c r="W31" i="1" s="1"/>
  <c r="CY31" i="1"/>
  <c r="X31" i="1" s="1"/>
  <c r="CZ31" i="1"/>
  <c r="Y31" i="1" s="1"/>
  <c r="FR31" i="1"/>
  <c r="GL31" i="1"/>
  <c r="GO31" i="1"/>
  <c r="GP31" i="1"/>
  <c r="GV31" i="1"/>
  <c r="HC31" i="1" s="1"/>
  <c r="GX31" i="1" s="1"/>
  <c r="C32" i="1"/>
  <c r="D32" i="1"/>
  <c r="I32" i="1"/>
  <c r="P32" i="1"/>
  <c r="T32" i="1"/>
  <c r="AC32" i="1"/>
  <c r="AE32" i="1"/>
  <c r="AF32" i="1"/>
  <c r="AG32" i="1"/>
  <c r="AH32" i="1"/>
  <c r="AI32" i="1"/>
  <c r="CW32" i="1" s="1"/>
  <c r="V32" i="1" s="1"/>
  <c r="AJ32" i="1"/>
  <c r="CQ32" i="1"/>
  <c r="CT32" i="1"/>
  <c r="S32" i="1" s="1"/>
  <c r="CU32" i="1"/>
  <c r="CV32" i="1"/>
  <c r="U32" i="1" s="1"/>
  <c r="CX32" i="1"/>
  <c r="W32" i="1" s="1"/>
  <c r="FR32" i="1"/>
  <c r="GL32" i="1"/>
  <c r="GO32" i="1"/>
  <c r="GP32" i="1"/>
  <c r="GV32" i="1"/>
  <c r="HC32" i="1" s="1"/>
  <c r="GX32" i="1" s="1"/>
  <c r="C33" i="1"/>
  <c r="D33" i="1"/>
  <c r="I33" i="1"/>
  <c r="T33" i="1"/>
  <c r="AC33" i="1"/>
  <c r="AD33" i="1"/>
  <c r="AB33" i="1" s="1"/>
  <c r="AE33" i="1"/>
  <c r="AF33" i="1"/>
  <c r="AG33" i="1"/>
  <c r="AH33" i="1"/>
  <c r="AI33" i="1"/>
  <c r="AJ33" i="1"/>
  <c r="CQ33" i="1"/>
  <c r="P33" i="1" s="1"/>
  <c r="CR33" i="1"/>
  <c r="Q33" i="1" s="1"/>
  <c r="CS33" i="1"/>
  <c r="R33" i="1" s="1"/>
  <c r="CT33" i="1"/>
  <c r="S33" i="1" s="1"/>
  <c r="CY33" i="1" s="1"/>
  <c r="X33" i="1" s="1"/>
  <c r="CU33" i="1"/>
  <c r="CV33" i="1"/>
  <c r="U33" i="1" s="1"/>
  <c r="CW33" i="1"/>
  <c r="V33" i="1" s="1"/>
  <c r="CX33" i="1"/>
  <c r="W33" i="1" s="1"/>
  <c r="CZ33" i="1"/>
  <c r="Y33" i="1" s="1"/>
  <c r="FR33" i="1"/>
  <c r="GK33" i="1"/>
  <c r="GL33" i="1"/>
  <c r="GO33" i="1"/>
  <c r="GP33" i="1"/>
  <c r="GV33" i="1"/>
  <c r="HC33" i="1" s="1"/>
  <c r="GX33" i="1" s="1"/>
  <c r="C34" i="1"/>
  <c r="D34" i="1"/>
  <c r="I34" i="1"/>
  <c r="CX23" i="3" s="1"/>
  <c r="AC34" i="1"/>
  <c r="CQ34" i="1" s="1"/>
  <c r="P34" i="1" s="1"/>
  <c r="AE34" i="1"/>
  <c r="AF34" i="1"/>
  <c r="CT34" i="1" s="1"/>
  <c r="S34" i="1" s="1"/>
  <c r="AG34" i="1"/>
  <c r="CU34" i="1" s="1"/>
  <c r="T34" i="1" s="1"/>
  <c r="AH34" i="1"/>
  <c r="AI34" i="1"/>
  <c r="CW34" i="1" s="1"/>
  <c r="V34" i="1" s="1"/>
  <c r="AJ34" i="1"/>
  <c r="CX34" i="1" s="1"/>
  <c r="W34" i="1" s="1"/>
  <c r="CV34" i="1"/>
  <c r="U34" i="1" s="1"/>
  <c r="FR34" i="1"/>
  <c r="GL34" i="1"/>
  <c r="GO34" i="1"/>
  <c r="GP34" i="1"/>
  <c r="GV34" i="1"/>
  <c r="HC34" i="1" s="1"/>
  <c r="GX34" i="1" s="1"/>
  <c r="C35" i="1"/>
  <c r="D35" i="1"/>
  <c r="I35" i="1"/>
  <c r="CX24" i="3" s="1"/>
  <c r="U35" i="1"/>
  <c r="AC35" i="1"/>
  <c r="CQ35" i="1" s="1"/>
  <c r="P35" i="1" s="1"/>
  <c r="AE35" i="1"/>
  <c r="AF35" i="1"/>
  <c r="CT35" i="1" s="1"/>
  <c r="S35" i="1" s="1"/>
  <c r="AG35" i="1"/>
  <c r="CU35" i="1" s="1"/>
  <c r="T35" i="1" s="1"/>
  <c r="AH35" i="1"/>
  <c r="AI35" i="1"/>
  <c r="CW35" i="1" s="1"/>
  <c r="V35" i="1" s="1"/>
  <c r="AJ35" i="1"/>
  <c r="CX35" i="1" s="1"/>
  <c r="W35" i="1" s="1"/>
  <c r="CV35" i="1"/>
  <c r="FR35" i="1"/>
  <c r="GL35" i="1"/>
  <c r="GO35" i="1"/>
  <c r="GP35" i="1"/>
  <c r="GV35" i="1"/>
  <c r="HC35" i="1" s="1"/>
  <c r="GX35" i="1" s="1"/>
  <c r="C36" i="1"/>
  <c r="D36" i="1"/>
  <c r="I36" i="1"/>
  <c r="AC36" i="1"/>
  <c r="CQ36" i="1" s="1"/>
  <c r="P36" i="1" s="1"/>
  <c r="AE36" i="1"/>
  <c r="AF36" i="1"/>
  <c r="CT36" i="1" s="1"/>
  <c r="S36" i="1" s="1"/>
  <c r="AG36" i="1"/>
  <c r="CU36" i="1" s="1"/>
  <c r="T36" i="1" s="1"/>
  <c r="AH36" i="1"/>
  <c r="AI36" i="1"/>
  <c r="CW36" i="1" s="1"/>
  <c r="V36" i="1" s="1"/>
  <c r="AJ36" i="1"/>
  <c r="CX36" i="1" s="1"/>
  <c r="W36" i="1" s="1"/>
  <c r="CV36" i="1"/>
  <c r="U36" i="1" s="1"/>
  <c r="FR36" i="1"/>
  <c r="GL36" i="1"/>
  <c r="GO36" i="1"/>
  <c r="GP36" i="1"/>
  <c r="GV36" i="1"/>
  <c r="HC36" i="1" s="1"/>
  <c r="GX36" i="1" s="1"/>
  <c r="C37" i="1"/>
  <c r="D37" i="1"/>
  <c r="I37" i="1"/>
  <c r="CX30" i="3" s="1"/>
  <c r="U37" i="1"/>
  <c r="AC37" i="1"/>
  <c r="CQ37" i="1" s="1"/>
  <c r="P37" i="1" s="1"/>
  <c r="AE37" i="1"/>
  <c r="AF37" i="1"/>
  <c r="CT37" i="1" s="1"/>
  <c r="S37" i="1" s="1"/>
  <c r="AG37" i="1"/>
  <c r="CU37" i="1" s="1"/>
  <c r="T37" i="1" s="1"/>
  <c r="AH37" i="1"/>
  <c r="AI37" i="1"/>
  <c r="CW37" i="1" s="1"/>
  <c r="V37" i="1" s="1"/>
  <c r="AJ37" i="1"/>
  <c r="CX37" i="1" s="1"/>
  <c r="W37" i="1" s="1"/>
  <c r="CV37" i="1"/>
  <c r="FR37" i="1"/>
  <c r="GL37" i="1"/>
  <c r="GO37" i="1"/>
  <c r="GP37" i="1"/>
  <c r="GV37" i="1"/>
  <c r="HC37" i="1" s="1"/>
  <c r="GX37" i="1" s="1"/>
  <c r="C38" i="1"/>
  <c r="D38" i="1"/>
  <c r="I38" i="1"/>
  <c r="CX31" i="3" s="1"/>
  <c r="AC38" i="1"/>
  <c r="CQ38" i="1" s="1"/>
  <c r="P38" i="1" s="1"/>
  <c r="AE38" i="1"/>
  <c r="AF38" i="1"/>
  <c r="CT38" i="1" s="1"/>
  <c r="S38" i="1" s="1"/>
  <c r="AG38" i="1"/>
  <c r="CU38" i="1" s="1"/>
  <c r="T38" i="1" s="1"/>
  <c r="AH38" i="1"/>
  <c r="AI38" i="1"/>
  <c r="CW38" i="1" s="1"/>
  <c r="V38" i="1" s="1"/>
  <c r="AJ38" i="1"/>
  <c r="CX38" i="1" s="1"/>
  <c r="W38" i="1" s="1"/>
  <c r="CV38" i="1"/>
  <c r="U38" i="1" s="1"/>
  <c r="FR38" i="1"/>
  <c r="GL38" i="1"/>
  <c r="GO38" i="1"/>
  <c r="GP38" i="1"/>
  <c r="GV38" i="1"/>
  <c r="HC38" i="1" s="1"/>
  <c r="GX38" i="1" s="1"/>
  <c r="C39" i="1"/>
  <c r="D39" i="1"/>
  <c r="I39" i="1"/>
  <c r="U39" i="1"/>
  <c r="AC39" i="1"/>
  <c r="CQ39" i="1" s="1"/>
  <c r="P39" i="1" s="1"/>
  <c r="AE39" i="1"/>
  <c r="AF39" i="1"/>
  <c r="CT39" i="1" s="1"/>
  <c r="S39" i="1" s="1"/>
  <c r="AG39" i="1"/>
  <c r="CU39" i="1" s="1"/>
  <c r="T39" i="1" s="1"/>
  <c r="AH39" i="1"/>
  <c r="AI39" i="1"/>
  <c r="CW39" i="1" s="1"/>
  <c r="V39" i="1" s="1"/>
  <c r="AJ39" i="1"/>
  <c r="CX39" i="1" s="1"/>
  <c r="W39" i="1" s="1"/>
  <c r="CV39" i="1"/>
  <c r="FR39" i="1"/>
  <c r="GL39" i="1"/>
  <c r="GO39" i="1"/>
  <c r="GP39" i="1"/>
  <c r="GV39" i="1"/>
  <c r="HC39" i="1" s="1"/>
  <c r="GX39" i="1"/>
  <c r="AC40" i="1"/>
  <c r="AD40" i="1"/>
  <c r="CR40" i="1" s="1"/>
  <c r="AE40" i="1"/>
  <c r="CS40" i="1" s="1"/>
  <c r="AF40" i="1"/>
  <c r="AG40" i="1"/>
  <c r="AH40" i="1"/>
  <c r="CV40" i="1" s="1"/>
  <c r="AI40" i="1"/>
  <c r="CW40" i="1" s="1"/>
  <c r="AJ40" i="1"/>
  <c r="CQ40" i="1"/>
  <c r="CT40" i="1"/>
  <c r="CU40" i="1"/>
  <c r="CX40" i="1"/>
  <c r="FR40" i="1"/>
  <c r="GL40" i="1"/>
  <c r="GO40" i="1"/>
  <c r="GP40" i="1"/>
  <c r="GV40" i="1"/>
  <c r="HC40" i="1"/>
  <c r="C41" i="1"/>
  <c r="D41" i="1"/>
  <c r="I41" i="1"/>
  <c r="S41" i="1"/>
  <c r="CZ41" i="1" s="1"/>
  <c r="Y41" i="1" s="1"/>
  <c r="AC41" i="1"/>
  <c r="AB41" i="1" s="1"/>
  <c r="AD41" i="1"/>
  <c r="CR41" i="1" s="1"/>
  <c r="Q41" i="1" s="1"/>
  <c r="AE41" i="1"/>
  <c r="AF41" i="1"/>
  <c r="AG41" i="1"/>
  <c r="AH41" i="1"/>
  <c r="CV41" i="1" s="1"/>
  <c r="U41" i="1" s="1"/>
  <c r="AI41" i="1"/>
  <c r="AJ41" i="1"/>
  <c r="CS41" i="1"/>
  <c r="R41" i="1" s="1"/>
  <c r="CT41" i="1"/>
  <c r="CU41" i="1"/>
  <c r="T41" i="1" s="1"/>
  <c r="CW41" i="1"/>
  <c r="V41" i="1" s="1"/>
  <c r="CX41" i="1"/>
  <c r="W41" i="1" s="1"/>
  <c r="FR41" i="1"/>
  <c r="GK41" i="1"/>
  <c r="GL41" i="1"/>
  <c r="GO41" i="1"/>
  <c r="GP41" i="1"/>
  <c r="GV41" i="1"/>
  <c r="HC41" i="1"/>
  <c r="GX41" i="1" s="1"/>
  <c r="I42" i="1"/>
  <c r="T42" i="1"/>
  <c r="AC42" i="1"/>
  <c r="AE42" i="1"/>
  <c r="AD42" i="1" s="1"/>
  <c r="AF42" i="1"/>
  <c r="CT42" i="1" s="1"/>
  <c r="S42" i="1" s="1"/>
  <c r="AG42" i="1"/>
  <c r="AH42" i="1"/>
  <c r="AI42" i="1"/>
  <c r="CW42" i="1" s="1"/>
  <c r="V42" i="1" s="1"/>
  <c r="AJ42" i="1"/>
  <c r="CX42" i="1" s="1"/>
  <c r="W42" i="1" s="1"/>
  <c r="CQ42" i="1"/>
  <c r="P42" i="1" s="1"/>
  <c r="CU42" i="1"/>
  <c r="CV42" i="1"/>
  <c r="U42" i="1" s="1"/>
  <c r="FR42" i="1"/>
  <c r="GL42" i="1"/>
  <c r="GO42" i="1"/>
  <c r="GP42" i="1"/>
  <c r="GV42" i="1"/>
  <c r="HC42" i="1" s="1"/>
  <c r="GX42" i="1" s="1"/>
  <c r="I43" i="1"/>
  <c r="AC43" i="1"/>
  <c r="AB43" i="1" s="1"/>
  <c r="AD43" i="1"/>
  <c r="CR43" i="1" s="1"/>
  <c r="Q43" i="1" s="1"/>
  <c r="AE43" i="1"/>
  <c r="AF43" i="1"/>
  <c r="AG43" i="1"/>
  <c r="CU43" i="1" s="1"/>
  <c r="T43" i="1" s="1"/>
  <c r="AH43" i="1"/>
  <c r="CV43" i="1" s="1"/>
  <c r="U43" i="1" s="1"/>
  <c r="AI43" i="1"/>
  <c r="AJ43" i="1"/>
  <c r="CS43" i="1"/>
  <c r="R43" i="1" s="1"/>
  <c r="GK43" i="1" s="1"/>
  <c r="CT43" i="1"/>
  <c r="S43" i="1" s="1"/>
  <c r="CW43" i="1"/>
  <c r="V43" i="1" s="1"/>
  <c r="CX43" i="1"/>
  <c r="W43" i="1" s="1"/>
  <c r="FR43" i="1"/>
  <c r="GL43" i="1"/>
  <c r="GO43" i="1"/>
  <c r="GP43" i="1"/>
  <c r="GV43" i="1"/>
  <c r="HC43" i="1"/>
  <c r="GX43" i="1" s="1"/>
  <c r="C44" i="1"/>
  <c r="D44" i="1"/>
  <c r="I44" i="1"/>
  <c r="AC44" i="1"/>
  <c r="AB44" i="1" s="1"/>
  <c r="AD44" i="1"/>
  <c r="CR44" i="1" s="1"/>
  <c r="Q44" i="1" s="1"/>
  <c r="AE44" i="1"/>
  <c r="AF44" i="1"/>
  <c r="AG44" i="1"/>
  <c r="CU44" i="1" s="1"/>
  <c r="T44" i="1" s="1"/>
  <c r="AH44" i="1"/>
  <c r="CV44" i="1" s="1"/>
  <c r="U44" i="1" s="1"/>
  <c r="AI44" i="1"/>
  <c r="AJ44" i="1"/>
  <c r="CS44" i="1"/>
  <c r="R44" i="1" s="1"/>
  <c r="GK44" i="1" s="1"/>
  <c r="CT44" i="1"/>
  <c r="S44" i="1" s="1"/>
  <c r="CW44" i="1"/>
  <c r="V44" i="1" s="1"/>
  <c r="CX44" i="1"/>
  <c r="W44" i="1" s="1"/>
  <c r="FR44" i="1"/>
  <c r="GL44" i="1"/>
  <c r="GO44" i="1"/>
  <c r="GP44" i="1"/>
  <c r="GV44" i="1"/>
  <c r="HC44" i="1"/>
  <c r="GX44" i="1" s="1"/>
  <c r="I45" i="1"/>
  <c r="AC45" i="1"/>
  <c r="AE45" i="1"/>
  <c r="AD45" i="1" s="1"/>
  <c r="AF45" i="1"/>
  <c r="CT45" i="1" s="1"/>
  <c r="S45" i="1" s="1"/>
  <c r="AG45" i="1"/>
  <c r="AH45" i="1"/>
  <c r="AI45" i="1"/>
  <c r="CW45" i="1" s="1"/>
  <c r="V45" i="1" s="1"/>
  <c r="AJ45" i="1"/>
  <c r="CX45" i="1" s="1"/>
  <c r="W45" i="1" s="1"/>
  <c r="CQ45" i="1"/>
  <c r="P45" i="1" s="1"/>
  <c r="CU45" i="1"/>
  <c r="T45" i="1" s="1"/>
  <c r="CV45" i="1"/>
  <c r="U45" i="1" s="1"/>
  <c r="FR45" i="1"/>
  <c r="GL45" i="1"/>
  <c r="GO45" i="1"/>
  <c r="GP45" i="1"/>
  <c r="GV45" i="1"/>
  <c r="HC45" i="1" s="1"/>
  <c r="GX45" i="1" s="1"/>
  <c r="C46" i="1"/>
  <c r="D46" i="1"/>
  <c r="I46" i="1"/>
  <c r="AC46" i="1"/>
  <c r="AE46" i="1"/>
  <c r="AD46" i="1" s="1"/>
  <c r="AF46" i="1"/>
  <c r="CT46" i="1" s="1"/>
  <c r="S46" i="1" s="1"/>
  <c r="AG46" i="1"/>
  <c r="AH46" i="1"/>
  <c r="AI46" i="1"/>
  <c r="CW46" i="1" s="1"/>
  <c r="V46" i="1" s="1"/>
  <c r="AJ46" i="1"/>
  <c r="CX46" i="1" s="1"/>
  <c r="W46" i="1" s="1"/>
  <c r="CQ46" i="1"/>
  <c r="P46" i="1" s="1"/>
  <c r="CU46" i="1"/>
  <c r="T46" i="1" s="1"/>
  <c r="CV46" i="1"/>
  <c r="U46" i="1" s="1"/>
  <c r="FR46" i="1"/>
  <c r="GL46" i="1"/>
  <c r="GO46" i="1"/>
  <c r="GP46" i="1"/>
  <c r="GV46" i="1"/>
  <c r="HC46" i="1" s="1"/>
  <c r="GX46" i="1" s="1"/>
  <c r="I47" i="1"/>
  <c r="AC47" i="1"/>
  <c r="AB47" i="1" s="1"/>
  <c r="AD47" i="1"/>
  <c r="CR47" i="1" s="1"/>
  <c r="Q47" i="1" s="1"/>
  <c r="AE47" i="1"/>
  <c r="AF47" i="1"/>
  <c r="AG47" i="1"/>
  <c r="CU47" i="1" s="1"/>
  <c r="T47" i="1" s="1"/>
  <c r="AH47" i="1"/>
  <c r="CV47" i="1" s="1"/>
  <c r="U47" i="1" s="1"/>
  <c r="AI47" i="1"/>
  <c r="AJ47" i="1"/>
  <c r="CS47" i="1"/>
  <c r="R47" i="1" s="1"/>
  <c r="GK47" i="1" s="1"/>
  <c r="CT47" i="1"/>
  <c r="S47" i="1" s="1"/>
  <c r="CW47" i="1"/>
  <c r="V47" i="1" s="1"/>
  <c r="CX47" i="1"/>
  <c r="W47" i="1" s="1"/>
  <c r="FR47" i="1"/>
  <c r="GL47" i="1"/>
  <c r="GO47" i="1"/>
  <c r="GP47" i="1"/>
  <c r="GV47" i="1"/>
  <c r="HC47" i="1"/>
  <c r="GX47" i="1" s="1"/>
  <c r="C48" i="1"/>
  <c r="D48" i="1"/>
  <c r="AC48" i="1"/>
  <c r="AB48" i="1" s="1"/>
  <c r="AD48" i="1"/>
  <c r="CR48" i="1" s="1"/>
  <c r="Q48" i="1" s="1"/>
  <c r="AE48" i="1"/>
  <c r="CS48" i="1" s="1"/>
  <c r="R48" i="1" s="1"/>
  <c r="GK48" i="1" s="1"/>
  <c r="AF48" i="1"/>
  <c r="AG48" i="1"/>
  <c r="AH48" i="1"/>
  <c r="CV48" i="1" s="1"/>
  <c r="U48" i="1" s="1"/>
  <c r="AI48" i="1"/>
  <c r="CW48" i="1" s="1"/>
  <c r="V48" i="1" s="1"/>
  <c r="AJ48" i="1"/>
  <c r="CQ48" i="1"/>
  <c r="P48" i="1" s="1"/>
  <c r="CT48" i="1"/>
  <c r="S48" i="1" s="1"/>
  <c r="CU48" i="1"/>
  <c r="T48" i="1" s="1"/>
  <c r="CX48" i="1"/>
  <c r="W48" i="1" s="1"/>
  <c r="FR48" i="1"/>
  <c r="GL48" i="1"/>
  <c r="GO48" i="1"/>
  <c r="GP48" i="1"/>
  <c r="GV48" i="1"/>
  <c r="HC48" i="1" s="1"/>
  <c r="GX48" i="1" s="1"/>
  <c r="I49" i="1"/>
  <c r="AC49" i="1"/>
  <c r="CQ49" i="1" s="1"/>
  <c r="P49" i="1" s="1"/>
  <c r="AE49" i="1"/>
  <c r="AD49" i="1" s="1"/>
  <c r="AF49" i="1"/>
  <c r="CT49" i="1" s="1"/>
  <c r="S49" i="1" s="1"/>
  <c r="AG49" i="1"/>
  <c r="CU49" i="1" s="1"/>
  <c r="T49" i="1" s="1"/>
  <c r="AH49" i="1"/>
  <c r="AI49" i="1"/>
  <c r="AJ49" i="1"/>
  <c r="CX49" i="1" s="1"/>
  <c r="W49" i="1" s="1"/>
  <c r="CS49" i="1"/>
  <c r="R49" i="1" s="1"/>
  <c r="GK49" i="1" s="1"/>
  <c r="CV49" i="1"/>
  <c r="U49" i="1" s="1"/>
  <c r="CW49" i="1"/>
  <c r="V49" i="1" s="1"/>
  <c r="FR49" i="1"/>
  <c r="GL49" i="1"/>
  <c r="GO49" i="1"/>
  <c r="GP49" i="1"/>
  <c r="GV49" i="1"/>
  <c r="GX49" i="1"/>
  <c r="HC49" i="1"/>
  <c r="C50" i="1"/>
  <c r="D50" i="1"/>
  <c r="I50" i="1"/>
  <c r="I51" i="1" s="1"/>
  <c r="AC50" i="1"/>
  <c r="CQ50" i="1" s="1"/>
  <c r="P50" i="1" s="1"/>
  <c r="AE50" i="1"/>
  <c r="AD50" i="1" s="1"/>
  <c r="AF50" i="1"/>
  <c r="CT50" i="1" s="1"/>
  <c r="S50" i="1" s="1"/>
  <c r="AG50" i="1"/>
  <c r="CU50" i="1" s="1"/>
  <c r="T50" i="1" s="1"/>
  <c r="AH50" i="1"/>
  <c r="AI50" i="1"/>
  <c r="AJ50" i="1"/>
  <c r="CX50" i="1" s="1"/>
  <c r="W50" i="1" s="1"/>
  <c r="CS50" i="1"/>
  <c r="R50" i="1" s="1"/>
  <c r="GK50" i="1" s="1"/>
  <c r="CV50" i="1"/>
  <c r="U50" i="1" s="1"/>
  <c r="CW50" i="1"/>
  <c r="V50" i="1" s="1"/>
  <c r="FR50" i="1"/>
  <c r="GL50" i="1"/>
  <c r="GO50" i="1"/>
  <c r="GP50" i="1"/>
  <c r="GV50" i="1"/>
  <c r="GX50" i="1"/>
  <c r="HC50" i="1"/>
  <c r="AC51" i="1"/>
  <c r="AB51" i="1" s="1"/>
  <c r="AD51" i="1"/>
  <c r="CR51" i="1" s="1"/>
  <c r="AE51" i="1"/>
  <c r="CS51" i="1" s="1"/>
  <c r="R51" i="1" s="1"/>
  <c r="GK51" i="1" s="1"/>
  <c r="AF51" i="1"/>
  <c r="AG51" i="1"/>
  <c r="AH51" i="1"/>
  <c r="CV51" i="1" s="1"/>
  <c r="AI51" i="1"/>
  <c r="CW51" i="1" s="1"/>
  <c r="V51" i="1" s="1"/>
  <c r="AJ51" i="1"/>
  <c r="CQ51" i="1"/>
  <c r="CT51" i="1"/>
  <c r="CU51" i="1"/>
  <c r="T51" i="1" s="1"/>
  <c r="CX51" i="1"/>
  <c r="FR51" i="1"/>
  <c r="GL51" i="1"/>
  <c r="GO51" i="1"/>
  <c r="GP51" i="1"/>
  <c r="GV51" i="1"/>
  <c r="HC51" i="1" s="1"/>
  <c r="C52" i="1"/>
  <c r="D52" i="1"/>
  <c r="I52" i="1"/>
  <c r="AC52" i="1"/>
  <c r="AB52" i="1" s="1"/>
  <c r="AD52" i="1"/>
  <c r="CR52" i="1" s="1"/>
  <c r="Q52" i="1" s="1"/>
  <c r="AE52" i="1"/>
  <c r="CS52" i="1" s="1"/>
  <c r="R52" i="1" s="1"/>
  <c r="GK52" i="1" s="1"/>
  <c r="AF52" i="1"/>
  <c r="AG52" i="1"/>
  <c r="AH52" i="1"/>
  <c r="CV52" i="1" s="1"/>
  <c r="U52" i="1" s="1"/>
  <c r="AI52" i="1"/>
  <c r="CW52" i="1" s="1"/>
  <c r="V52" i="1" s="1"/>
  <c r="AJ52" i="1"/>
  <c r="CQ52" i="1"/>
  <c r="P52" i="1" s="1"/>
  <c r="CP52" i="1" s="1"/>
  <c r="O52" i="1" s="1"/>
  <c r="CT52" i="1"/>
  <c r="S52" i="1" s="1"/>
  <c r="CU52" i="1"/>
  <c r="T52" i="1" s="1"/>
  <c r="CX52" i="1"/>
  <c r="W52" i="1" s="1"/>
  <c r="FR52" i="1"/>
  <c r="GL52" i="1"/>
  <c r="GO52" i="1"/>
  <c r="GP52" i="1"/>
  <c r="GV52" i="1"/>
  <c r="HC52" i="1"/>
  <c r="GX52" i="1" s="1"/>
  <c r="I53" i="1"/>
  <c r="AC53" i="1"/>
  <c r="CQ53" i="1" s="1"/>
  <c r="P53" i="1" s="1"/>
  <c r="AE53" i="1"/>
  <c r="AD53" i="1" s="1"/>
  <c r="AF53" i="1"/>
  <c r="CT53" i="1" s="1"/>
  <c r="S53" i="1" s="1"/>
  <c r="AG53" i="1"/>
  <c r="CU53" i="1" s="1"/>
  <c r="T53" i="1" s="1"/>
  <c r="AH53" i="1"/>
  <c r="AI53" i="1"/>
  <c r="AJ53" i="1"/>
  <c r="CX53" i="1" s="1"/>
  <c r="W53" i="1" s="1"/>
  <c r="CS53" i="1"/>
  <c r="R53" i="1" s="1"/>
  <c r="GK53" i="1" s="1"/>
  <c r="CV53" i="1"/>
  <c r="U53" i="1" s="1"/>
  <c r="CW53" i="1"/>
  <c r="V53" i="1" s="1"/>
  <c r="FR53" i="1"/>
  <c r="GL53" i="1"/>
  <c r="GO53" i="1"/>
  <c r="GP53" i="1"/>
  <c r="GV53" i="1"/>
  <c r="HC53" i="1" s="1"/>
  <c r="GX53" i="1" s="1"/>
  <c r="I54" i="1"/>
  <c r="AC54" i="1"/>
  <c r="AB54" i="1" s="1"/>
  <c r="AD54" i="1"/>
  <c r="CR54" i="1" s="1"/>
  <c r="Q54" i="1" s="1"/>
  <c r="AE54" i="1"/>
  <c r="CS54" i="1" s="1"/>
  <c r="R54" i="1" s="1"/>
  <c r="GK54" i="1" s="1"/>
  <c r="AF54" i="1"/>
  <c r="AG54" i="1"/>
  <c r="AH54" i="1"/>
  <c r="CV54" i="1" s="1"/>
  <c r="U54" i="1" s="1"/>
  <c r="AI54" i="1"/>
  <c r="CW54" i="1" s="1"/>
  <c r="V54" i="1" s="1"/>
  <c r="AJ54" i="1"/>
  <c r="CQ54" i="1"/>
  <c r="P54" i="1" s="1"/>
  <c r="CT54" i="1"/>
  <c r="S54" i="1" s="1"/>
  <c r="CU54" i="1"/>
  <c r="T54" i="1" s="1"/>
  <c r="CX54" i="1"/>
  <c r="W54" i="1" s="1"/>
  <c r="FR54" i="1"/>
  <c r="GL54" i="1"/>
  <c r="GO54" i="1"/>
  <c r="GP54" i="1"/>
  <c r="GV54" i="1"/>
  <c r="HC54" i="1"/>
  <c r="GX54" i="1" s="1"/>
  <c r="C55" i="1"/>
  <c r="D55" i="1"/>
  <c r="I55" i="1"/>
  <c r="AC55" i="1"/>
  <c r="AB55" i="1" s="1"/>
  <c r="AD55" i="1"/>
  <c r="CR55" i="1" s="1"/>
  <c r="Q55" i="1" s="1"/>
  <c r="AE55" i="1"/>
  <c r="CS55" i="1" s="1"/>
  <c r="R55" i="1" s="1"/>
  <c r="GK55" i="1" s="1"/>
  <c r="AF55" i="1"/>
  <c r="AG55" i="1"/>
  <c r="AH55" i="1"/>
  <c r="CV55" i="1" s="1"/>
  <c r="U55" i="1" s="1"/>
  <c r="AI55" i="1"/>
  <c r="CW55" i="1" s="1"/>
  <c r="V55" i="1" s="1"/>
  <c r="AJ55" i="1"/>
  <c r="CQ55" i="1"/>
  <c r="P55" i="1" s="1"/>
  <c r="CP55" i="1" s="1"/>
  <c r="O55" i="1" s="1"/>
  <c r="CT55" i="1"/>
  <c r="S55" i="1" s="1"/>
  <c r="CU55" i="1"/>
  <c r="T55" i="1" s="1"/>
  <c r="CX55" i="1"/>
  <c r="W55" i="1" s="1"/>
  <c r="FR55" i="1"/>
  <c r="GL55" i="1"/>
  <c r="GO55" i="1"/>
  <c r="GP55" i="1"/>
  <c r="GV55" i="1"/>
  <c r="HC55" i="1"/>
  <c r="GX55" i="1" s="1"/>
  <c r="I56" i="1"/>
  <c r="AC56" i="1"/>
  <c r="CQ56" i="1" s="1"/>
  <c r="P56" i="1" s="1"/>
  <c r="AE56" i="1"/>
  <c r="AD56" i="1" s="1"/>
  <c r="AF56" i="1"/>
  <c r="CT56" i="1" s="1"/>
  <c r="S56" i="1" s="1"/>
  <c r="AG56" i="1"/>
  <c r="CU56" i="1" s="1"/>
  <c r="T56" i="1" s="1"/>
  <c r="AH56" i="1"/>
  <c r="AI56" i="1"/>
  <c r="AJ56" i="1"/>
  <c r="CX56" i="1" s="1"/>
  <c r="W56" i="1" s="1"/>
  <c r="CS56" i="1"/>
  <c r="R56" i="1" s="1"/>
  <c r="GK56" i="1" s="1"/>
  <c r="CV56" i="1"/>
  <c r="U56" i="1" s="1"/>
  <c r="CW56" i="1"/>
  <c r="V56" i="1" s="1"/>
  <c r="FR56" i="1"/>
  <c r="GL56" i="1"/>
  <c r="GO56" i="1"/>
  <c r="GP56" i="1"/>
  <c r="GV56" i="1"/>
  <c r="HC56" i="1" s="1"/>
  <c r="GX56" i="1" s="1"/>
  <c r="I57" i="1"/>
  <c r="AC57" i="1"/>
  <c r="AB57" i="1" s="1"/>
  <c r="AD57" i="1"/>
  <c r="CR57" i="1" s="1"/>
  <c r="Q57" i="1" s="1"/>
  <c r="AE57" i="1"/>
  <c r="CS57" i="1" s="1"/>
  <c r="R57" i="1" s="1"/>
  <c r="GK57" i="1" s="1"/>
  <c r="AF57" i="1"/>
  <c r="AG57" i="1"/>
  <c r="AH57" i="1"/>
  <c r="CV57" i="1" s="1"/>
  <c r="U57" i="1" s="1"/>
  <c r="AI57" i="1"/>
  <c r="CW57" i="1" s="1"/>
  <c r="V57" i="1" s="1"/>
  <c r="AJ57" i="1"/>
  <c r="CQ57" i="1"/>
  <c r="P57" i="1" s="1"/>
  <c r="CT57" i="1"/>
  <c r="S57" i="1" s="1"/>
  <c r="CU57" i="1"/>
  <c r="T57" i="1" s="1"/>
  <c r="CX57" i="1"/>
  <c r="W57" i="1" s="1"/>
  <c r="FR57" i="1"/>
  <c r="GL57" i="1"/>
  <c r="GO57" i="1"/>
  <c r="GP57" i="1"/>
  <c r="GV57" i="1"/>
  <c r="HC57" i="1"/>
  <c r="GX57" i="1" s="1"/>
  <c r="I58" i="1"/>
  <c r="AB58" i="1"/>
  <c r="AC58" i="1"/>
  <c r="CQ58" i="1" s="1"/>
  <c r="P58" i="1" s="1"/>
  <c r="AE58" i="1"/>
  <c r="AD58" i="1" s="1"/>
  <c r="CR58" i="1" s="1"/>
  <c r="Q58" i="1" s="1"/>
  <c r="AF58" i="1"/>
  <c r="CT58" i="1" s="1"/>
  <c r="S58" i="1" s="1"/>
  <c r="AG58" i="1"/>
  <c r="CU58" i="1" s="1"/>
  <c r="T58" i="1" s="1"/>
  <c r="AH58" i="1"/>
  <c r="AI58" i="1"/>
  <c r="AJ58" i="1"/>
  <c r="CX58" i="1" s="1"/>
  <c r="W58" i="1" s="1"/>
  <c r="CS58" i="1"/>
  <c r="R58" i="1" s="1"/>
  <c r="GK58" i="1" s="1"/>
  <c r="CV58" i="1"/>
  <c r="U58" i="1" s="1"/>
  <c r="CW58" i="1"/>
  <c r="V58" i="1" s="1"/>
  <c r="FR58" i="1"/>
  <c r="GL58" i="1"/>
  <c r="GO58" i="1"/>
  <c r="GP58" i="1"/>
  <c r="GV58" i="1"/>
  <c r="HC58" i="1" s="1"/>
  <c r="GX58" i="1" s="1"/>
  <c r="C59" i="1"/>
  <c r="D59" i="1"/>
  <c r="I59" i="1"/>
  <c r="AC59" i="1"/>
  <c r="CQ59" i="1" s="1"/>
  <c r="P59" i="1" s="1"/>
  <c r="AE59" i="1"/>
  <c r="AD59" i="1" s="1"/>
  <c r="CR59" i="1" s="1"/>
  <c r="AF59" i="1"/>
  <c r="CT59" i="1" s="1"/>
  <c r="AG59" i="1"/>
  <c r="CU59" i="1" s="1"/>
  <c r="AH59" i="1"/>
  <c r="AI59" i="1"/>
  <c r="AJ59" i="1"/>
  <c r="CX59" i="1" s="1"/>
  <c r="CS59" i="1"/>
  <c r="R59" i="1" s="1"/>
  <c r="GK59" i="1" s="1"/>
  <c r="CV59" i="1"/>
  <c r="U59" i="1" s="1"/>
  <c r="CW59" i="1"/>
  <c r="FR59" i="1"/>
  <c r="GL59" i="1"/>
  <c r="GO59" i="1"/>
  <c r="GP59" i="1"/>
  <c r="GV59" i="1"/>
  <c r="HC59" i="1" s="1"/>
  <c r="GX59" i="1"/>
  <c r="AC60" i="1"/>
  <c r="AB60" i="1" s="1"/>
  <c r="AD60" i="1"/>
  <c r="CR60" i="1" s="1"/>
  <c r="AE60" i="1"/>
  <c r="CS60" i="1" s="1"/>
  <c r="AF60" i="1"/>
  <c r="AG60" i="1"/>
  <c r="AH60" i="1"/>
  <c r="CV60" i="1" s="1"/>
  <c r="AI60" i="1"/>
  <c r="CW60" i="1" s="1"/>
  <c r="AJ60" i="1"/>
  <c r="CQ60" i="1"/>
  <c r="CT60" i="1"/>
  <c r="CU60" i="1"/>
  <c r="CX60" i="1"/>
  <c r="FR60" i="1"/>
  <c r="GL60" i="1"/>
  <c r="GO60" i="1"/>
  <c r="GP60" i="1"/>
  <c r="GV60" i="1"/>
  <c r="HC60" i="1"/>
  <c r="AC61" i="1"/>
  <c r="CQ61" i="1" s="1"/>
  <c r="AE61" i="1"/>
  <c r="AD61" i="1" s="1"/>
  <c r="CR61" i="1" s="1"/>
  <c r="AF61" i="1"/>
  <c r="CT61" i="1" s="1"/>
  <c r="AG61" i="1"/>
  <c r="CU61" i="1" s="1"/>
  <c r="AH61" i="1"/>
  <c r="AI61" i="1"/>
  <c r="AJ61" i="1"/>
  <c r="CX61" i="1" s="1"/>
  <c r="CS61" i="1"/>
  <c r="CV61" i="1"/>
  <c r="CW61" i="1"/>
  <c r="FR61" i="1"/>
  <c r="GL61" i="1"/>
  <c r="GO61" i="1"/>
  <c r="GP61" i="1"/>
  <c r="GV61" i="1"/>
  <c r="HC61" i="1"/>
  <c r="AC62" i="1"/>
  <c r="AB62" i="1" s="1"/>
  <c r="AD62" i="1"/>
  <c r="CR62" i="1" s="1"/>
  <c r="AE62" i="1"/>
  <c r="CS62" i="1" s="1"/>
  <c r="AF62" i="1"/>
  <c r="AG62" i="1"/>
  <c r="AH62" i="1"/>
  <c r="CV62" i="1" s="1"/>
  <c r="AI62" i="1"/>
  <c r="CW62" i="1" s="1"/>
  <c r="AJ62" i="1"/>
  <c r="CQ62" i="1"/>
  <c r="CT62" i="1"/>
  <c r="CU62" i="1"/>
  <c r="CX62" i="1"/>
  <c r="FR62" i="1"/>
  <c r="GL62" i="1"/>
  <c r="GO62" i="1"/>
  <c r="GP62" i="1"/>
  <c r="GV62" i="1"/>
  <c r="HC62" i="1"/>
  <c r="C63" i="1"/>
  <c r="D63" i="1"/>
  <c r="T63" i="1"/>
  <c r="AC63" i="1"/>
  <c r="AE63" i="1"/>
  <c r="AD63" i="1" s="1"/>
  <c r="AF63" i="1"/>
  <c r="CT63" i="1" s="1"/>
  <c r="S63" i="1" s="1"/>
  <c r="AG63" i="1"/>
  <c r="AH63" i="1"/>
  <c r="AI63" i="1"/>
  <c r="CW63" i="1" s="1"/>
  <c r="V63" i="1" s="1"/>
  <c r="AJ63" i="1"/>
  <c r="CX63" i="1" s="1"/>
  <c r="W63" i="1" s="1"/>
  <c r="CQ63" i="1"/>
  <c r="P63" i="1" s="1"/>
  <c r="CS63" i="1"/>
  <c r="R63" i="1" s="1"/>
  <c r="CU63" i="1"/>
  <c r="CV63" i="1"/>
  <c r="U63" i="1" s="1"/>
  <c r="FR63" i="1"/>
  <c r="GL63" i="1"/>
  <c r="GO63" i="1"/>
  <c r="GP63" i="1"/>
  <c r="GV63" i="1"/>
  <c r="HC63" i="1" s="1"/>
  <c r="GX63" i="1" s="1"/>
  <c r="I64" i="1"/>
  <c r="V64" i="1" s="1"/>
  <c r="S64" i="1"/>
  <c r="AC64" i="1"/>
  <c r="CQ64" i="1" s="1"/>
  <c r="AD64" i="1"/>
  <c r="CR64" i="1" s="1"/>
  <c r="AE64" i="1"/>
  <c r="AF64" i="1"/>
  <c r="AG64" i="1"/>
  <c r="AH64" i="1"/>
  <c r="CV64" i="1" s="1"/>
  <c r="AI64" i="1"/>
  <c r="AJ64" i="1"/>
  <c r="CS64" i="1"/>
  <c r="CT64" i="1"/>
  <c r="CU64" i="1"/>
  <c r="T64" i="1" s="1"/>
  <c r="CW64" i="1"/>
  <c r="CX64" i="1"/>
  <c r="FR64" i="1"/>
  <c r="GL64" i="1"/>
  <c r="GO64" i="1"/>
  <c r="GP64" i="1"/>
  <c r="GV64" i="1"/>
  <c r="HC64" i="1"/>
  <c r="GX64" i="1" s="1"/>
  <c r="C65" i="1"/>
  <c r="D65" i="1"/>
  <c r="I65" i="1"/>
  <c r="R65" i="1"/>
  <c r="GK65" i="1" s="1"/>
  <c r="T65" i="1"/>
  <c r="AC65" i="1"/>
  <c r="AD65" i="1"/>
  <c r="AE65" i="1"/>
  <c r="AF65" i="1"/>
  <c r="AG65" i="1"/>
  <c r="AH65" i="1"/>
  <c r="CV65" i="1" s="1"/>
  <c r="U65" i="1" s="1"/>
  <c r="AI65" i="1"/>
  <c r="AJ65" i="1"/>
  <c r="CX65" i="1" s="1"/>
  <c r="W65" i="1" s="1"/>
  <c r="CQ65" i="1"/>
  <c r="P65" i="1" s="1"/>
  <c r="CS65" i="1"/>
  <c r="CT65" i="1"/>
  <c r="S65" i="1" s="1"/>
  <c r="CU65" i="1"/>
  <c r="CW65" i="1"/>
  <c r="V65" i="1" s="1"/>
  <c r="FR65" i="1"/>
  <c r="GL65" i="1"/>
  <c r="GO65" i="1"/>
  <c r="GP65" i="1"/>
  <c r="GV65" i="1"/>
  <c r="GX65" i="1"/>
  <c r="HC65" i="1"/>
  <c r="I66" i="1"/>
  <c r="T66" i="1" s="1"/>
  <c r="AC66" i="1"/>
  <c r="AE66" i="1"/>
  <c r="AD66" i="1" s="1"/>
  <c r="AF66" i="1"/>
  <c r="CT66" i="1" s="1"/>
  <c r="AG66" i="1"/>
  <c r="AH66" i="1"/>
  <c r="AI66" i="1"/>
  <c r="CW66" i="1" s="1"/>
  <c r="V66" i="1" s="1"/>
  <c r="AJ66" i="1"/>
  <c r="CX66" i="1" s="1"/>
  <c r="CQ66" i="1"/>
  <c r="CU66" i="1"/>
  <c r="CV66" i="1"/>
  <c r="FR66" i="1"/>
  <c r="GL66" i="1"/>
  <c r="GO66" i="1"/>
  <c r="GP66" i="1"/>
  <c r="GV66" i="1"/>
  <c r="HC66" i="1" s="1"/>
  <c r="GX66" i="1" s="1"/>
  <c r="C67" i="1"/>
  <c r="D67" i="1"/>
  <c r="I67" i="1"/>
  <c r="T67" i="1"/>
  <c r="AC67" i="1"/>
  <c r="AE67" i="1"/>
  <c r="AD67" i="1" s="1"/>
  <c r="AF67" i="1"/>
  <c r="CT67" i="1" s="1"/>
  <c r="AG67" i="1"/>
  <c r="AH67" i="1"/>
  <c r="AI67" i="1"/>
  <c r="CW67" i="1" s="1"/>
  <c r="V67" i="1" s="1"/>
  <c r="AJ67" i="1"/>
  <c r="CX67" i="1" s="1"/>
  <c r="CQ67" i="1"/>
  <c r="CU67" i="1"/>
  <c r="CV67" i="1"/>
  <c r="U67" i="1" s="1"/>
  <c r="FR67" i="1"/>
  <c r="GL67" i="1"/>
  <c r="GO67" i="1"/>
  <c r="GP67" i="1"/>
  <c r="GV67" i="1"/>
  <c r="HC67" i="1" s="1"/>
  <c r="GX67" i="1" s="1"/>
  <c r="C68" i="1"/>
  <c r="D68" i="1"/>
  <c r="I68" i="1"/>
  <c r="T68" i="1"/>
  <c r="AC68" i="1"/>
  <c r="AE68" i="1"/>
  <c r="AD68" i="1" s="1"/>
  <c r="AF68" i="1"/>
  <c r="CT68" i="1" s="1"/>
  <c r="AG68" i="1"/>
  <c r="AH68" i="1"/>
  <c r="AI68" i="1"/>
  <c r="CW68" i="1" s="1"/>
  <c r="V68" i="1" s="1"/>
  <c r="AJ68" i="1"/>
  <c r="CX68" i="1" s="1"/>
  <c r="CQ68" i="1"/>
  <c r="P68" i="1" s="1"/>
  <c r="CS68" i="1"/>
  <c r="R68" i="1" s="1"/>
  <c r="GK68" i="1" s="1"/>
  <c r="CU68" i="1"/>
  <c r="CV68" i="1"/>
  <c r="U68" i="1" s="1"/>
  <c r="FR68" i="1"/>
  <c r="GL68" i="1"/>
  <c r="GO68" i="1"/>
  <c r="GP68" i="1"/>
  <c r="GV68" i="1"/>
  <c r="HC68" i="1" s="1"/>
  <c r="GX68" i="1" s="1"/>
  <c r="AC69" i="1"/>
  <c r="AD69" i="1"/>
  <c r="CR69" i="1" s="1"/>
  <c r="AE69" i="1"/>
  <c r="AF69" i="1"/>
  <c r="AG69" i="1"/>
  <c r="AH69" i="1"/>
  <c r="CV69" i="1" s="1"/>
  <c r="AI69" i="1"/>
  <c r="AJ69" i="1"/>
  <c r="CS69" i="1"/>
  <c r="CT69" i="1"/>
  <c r="CU69" i="1"/>
  <c r="CW69" i="1"/>
  <c r="CX69" i="1"/>
  <c r="FR69" i="1"/>
  <c r="GL69" i="1"/>
  <c r="GO69" i="1"/>
  <c r="GP69" i="1"/>
  <c r="GV69" i="1"/>
  <c r="HC69" i="1"/>
  <c r="C70" i="1"/>
  <c r="D70" i="1"/>
  <c r="I70" i="1"/>
  <c r="R70" i="1"/>
  <c r="T70" i="1"/>
  <c r="AC70" i="1"/>
  <c r="AD70" i="1"/>
  <c r="CR70" i="1" s="1"/>
  <c r="Q70" i="1" s="1"/>
  <c r="AE70" i="1"/>
  <c r="AF70" i="1"/>
  <c r="AB70" i="1" s="1"/>
  <c r="AG70" i="1"/>
  <c r="AH70" i="1"/>
  <c r="CV70" i="1" s="1"/>
  <c r="U70" i="1" s="1"/>
  <c r="AI70" i="1"/>
  <c r="AJ70" i="1"/>
  <c r="CX70" i="1" s="1"/>
  <c r="W70" i="1" s="1"/>
  <c r="CQ70" i="1"/>
  <c r="P70" i="1" s="1"/>
  <c r="CS70" i="1"/>
  <c r="CU70" i="1"/>
  <c r="CW70" i="1"/>
  <c r="V70" i="1" s="1"/>
  <c r="FR70" i="1"/>
  <c r="GK70" i="1"/>
  <c r="GL70" i="1"/>
  <c r="GO70" i="1"/>
  <c r="GP70" i="1"/>
  <c r="GV70" i="1"/>
  <c r="GX70" i="1"/>
  <c r="HC70" i="1"/>
  <c r="I71" i="1"/>
  <c r="T71" i="1" s="1"/>
  <c r="AC71" i="1"/>
  <c r="AE71" i="1"/>
  <c r="AD71" i="1" s="1"/>
  <c r="AF71" i="1"/>
  <c r="CT71" i="1" s="1"/>
  <c r="AG71" i="1"/>
  <c r="AH71" i="1"/>
  <c r="AI71" i="1"/>
  <c r="CW71" i="1" s="1"/>
  <c r="V71" i="1" s="1"/>
  <c r="AJ71" i="1"/>
  <c r="CX71" i="1" s="1"/>
  <c r="CQ71" i="1"/>
  <c r="P71" i="1" s="1"/>
  <c r="CS71" i="1"/>
  <c r="R71" i="1" s="1"/>
  <c r="GK71" i="1" s="1"/>
  <c r="CU71" i="1"/>
  <c r="CV71" i="1"/>
  <c r="FR71" i="1"/>
  <c r="GL71" i="1"/>
  <c r="GO71" i="1"/>
  <c r="GP71" i="1"/>
  <c r="GV71" i="1"/>
  <c r="HC71" i="1" s="1"/>
  <c r="C72" i="1"/>
  <c r="D72" i="1"/>
  <c r="I72" i="1"/>
  <c r="T72" i="1" s="1"/>
  <c r="AC72" i="1"/>
  <c r="AE72" i="1"/>
  <c r="AD72" i="1" s="1"/>
  <c r="AF72" i="1"/>
  <c r="CT72" i="1" s="1"/>
  <c r="AG72" i="1"/>
  <c r="AH72" i="1"/>
  <c r="AI72" i="1"/>
  <c r="CW72" i="1" s="1"/>
  <c r="AJ72" i="1"/>
  <c r="CX72" i="1" s="1"/>
  <c r="CQ72" i="1"/>
  <c r="P72" i="1" s="1"/>
  <c r="CS72" i="1"/>
  <c r="CU72" i="1"/>
  <c r="CV72" i="1"/>
  <c r="FR72" i="1"/>
  <c r="GL72" i="1"/>
  <c r="GO72" i="1"/>
  <c r="GP72" i="1"/>
  <c r="GV72" i="1"/>
  <c r="HC72" i="1" s="1"/>
  <c r="C73" i="1"/>
  <c r="D73" i="1"/>
  <c r="I73" i="1"/>
  <c r="I78" i="1" s="1"/>
  <c r="T73" i="1"/>
  <c r="V73" i="1"/>
  <c r="AC73" i="1"/>
  <c r="AE73" i="1"/>
  <c r="AD73" i="1" s="1"/>
  <c r="AF73" i="1"/>
  <c r="CT73" i="1" s="1"/>
  <c r="AG73" i="1"/>
  <c r="AH73" i="1"/>
  <c r="AI73" i="1"/>
  <c r="CW73" i="1" s="1"/>
  <c r="AJ73" i="1"/>
  <c r="CX73" i="1" s="1"/>
  <c r="CQ73" i="1"/>
  <c r="P73" i="1" s="1"/>
  <c r="CU73" i="1"/>
  <c r="CV73" i="1"/>
  <c r="U73" i="1" s="1"/>
  <c r="FR73" i="1"/>
  <c r="GL73" i="1"/>
  <c r="GO73" i="1"/>
  <c r="GP73" i="1"/>
  <c r="GV73" i="1"/>
  <c r="HC73" i="1" s="1"/>
  <c r="GX73" i="1" s="1"/>
  <c r="I74" i="1"/>
  <c r="V74" i="1" s="1"/>
  <c r="AC74" i="1"/>
  <c r="AD74" i="1"/>
  <c r="CR74" i="1" s="1"/>
  <c r="AE74" i="1"/>
  <c r="AF74" i="1"/>
  <c r="AG74" i="1"/>
  <c r="AH74" i="1"/>
  <c r="CV74" i="1" s="1"/>
  <c r="AI74" i="1"/>
  <c r="AJ74" i="1"/>
  <c r="CS74" i="1"/>
  <c r="CT74" i="1"/>
  <c r="CU74" i="1"/>
  <c r="T74" i="1" s="1"/>
  <c r="CW74" i="1"/>
  <c r="CX74" i="1"/>
  <c r="FR74" i="1"/>
  <c r="GL74" i="1"/>
  <c r="GO74" i="1"/>
  <c r="GP74" i="1"/>
  <c r="GV74" i="1"/>
  <c r="HC74" i="1"/>
  <c r="GX74" i="1" s="1"/>
  <c r="AC75" i="1"/>
  <c r="AD75" i="1"/>
  <c r="AB75" i="1" s="1"/>
  <c r="AE75" i="1"/>
  <c r="AF75" i="1"/>
  <c r="CT75" i="1" s="1"/>
  <c r="AG75" i="1"/>
  <c r="AH75" i="1"/>
  <c r="CV75" i="1" s="1"/>
  <c r="AI75" i="1"/>
  <c r="AJ75" i="1"/>
  <c r="CX75" i="1" s="1"/>
  <c r="CQ75" i="1"/>
  <c r="CR75" i="1"/>
  <c r="CS75" i="1"/>
  <c r="CU75" i="1"/>
  <c r="CW75" i="1"/>
  <c r="FR75" i="1"/>
  <c r="GL75" i="1"/>
  <c r="GO75" i="1"/>
  <c r="GP75" i="1"/>
  <c r="GV75" i="1"/>
  <c r="HC75" i="1" s="1"/>
  <c r="AC76" i="1"/>
  <c r="AD76" i="1"/>
  <c r="CR76" i="1" s="1"/>
  <c r="AE76" i="1"/>
  <c r="AF76" i="1"/>
  <c r="AB76" i="1" s="1"/>
  <c r="AG76" i="1"/>
  <c r="AH76" i="1"/>
  <c r="CV76" i="1" s="1"/>
  <c r="AI76" i="1"/>
  <c r="AJ76" i="1"/>
  <c r="CX76" i="1" s="1"/>
  <c r="CQ76" i="1"/>
  <c r="CS76" i="1"/>
  <c r="CU76" i="1"/>
  <c r="CW76" i="1"/>
  <c r="FR76" i="1"/>
  <c r="GL76" i="1"/>
  <c r="GO76" i="1"/>
  <c r="GP76" i="1"/>
  <c r="GV76" i="1"/>
  <c r="HC76" i="1"/>
  <c r="I77" i="1"/>
  <c r="T77" i="1" s="1"/>
  <c r="AC77" i="1"/>
  <c r="AE77" i="1"/>
  <c r="AD77" i="1" s="1"/>
  <c r="AF77" i="1"/>
  <c r="CT77" i="1" s="1"/>
  <c r="AG77" i="1"/>
  <c r="AH77" i="1"/>
  <c r="AI77" i="1"/>
  <c r="CW77" i="1" s="1"/>
  <c r="V77" i="1" s="1"/>
  <c r="AJ77" i="1"/>
  <c r="CX77" i="1" s="1"/>
  <c r="CQ77" i="1"/>
  <c r="P77" i="1" s="1"/>
  <c r="CS77" i="1"/>
  <c r="R77" i="1" s="1"/>
  <c r="GK77" i="1" s="1"/>
  <c r="CU77" i="1"/>
  <c r="CV77" i="1"/>
  <c r="FR77" i="1"/>
  <c r="GL77" i="1"/>
  <c r="GO77" i="1"/>
  <c r="GP77" i="1"/>
  <c r="GV77" i="1"/>
  <c r="HC77" i="1" s="1"/>
  <c r="AC78" i="1"/>
  <c r="AD78" i="1"/>
  <c r="CR78" i="1" s="1"/>
  <c r="AE78" i="1"/>
  <c r="AF78" i="1"/>
  <c r="AG78" i="1"/>
  <c r="CU78" i="1" s="1"/>
  <c r="T78" i="1" s="1"/>
  <c r="AH78" i="1"/>
  <c r="CV78" i="1" s="1"/>
  <c r="AI78" i="1"/>
  <c r="AJ78" i="1"/>
  <c r="CS78" i="1"/>
  <c r="CT78" i="1"/>
  <c r="CW78" i="1"/>
  <c r="CX78" i="1"/>
  <c r="FR78" i="1"/>
  <c r="GL78" i="1"/>
  <c r="GO78" i="1"/>
  <c r="GP78" i="1"/>
  <c r="GV78" i="1"/>
  <c r="HC78" i="1"/>
  <c r="AC79" i="1"/>
  <c r="AD79" i="1"/>
  <c r="AE79" i="1"/>
  <c r="AF79" i="1"/>
  <c r="CT79" i="1" s="1"/>
  <c r="AG79" i="1"/>
  <c r="AH79" i="1"/>
  <c r="CV79" i="1" s="1"/>
  <c r="AI79" i="1"/>
  <c r="AJ79" i="1"/>
  <c r="CX79" i="1" s="1"/>
  <c r="CQ79" i="1"/>
  <c r="CR79" i="1"/>
  <c r="CS79" i="1"/>
  <c r="CU79" i="1"/>
  <c r="CW79" i="1"/>
  <c r="FR79" i="1"/>
  <c r="GL79" i="1"/>
  <c r="GO79" i="1"/>
  <c r="GP79" i="1"/>
  <c r="GV79" i="1"/>
  <c r="HC79" i="1" s="1"/>
  <c r="AC80" i="1"/>
  <c r="AD80" i="1"/>
  <c r="CR80" i="1" s="1"/>
  <c r="AE80" i="1"/>
  <c r="AF80" i="1"/>
  <c r="AG80" i="1"/>
  <c r="AH80" i="1"/>
  <c r="CV80" i="1" s="1"/>
  <c r="AI80" i="1"/>
  <c r="AJ80" i="1"/>
  <c r="CX80" i="1" s="1"/>
  <c r="CQ80" i="1"/>
  <c r="CS80" i="1"/>
  <c r="CT80" i="1"/>
  <c r="CU80" i="1"/>
  <c r="CW80" i="1"/>
  <c r="FR80" i="1"/>
  <c r="GL80" i="1"/>
  <c r="GO80" i="1"/>
  <c r="GP80" i="1"/>
  <c r="GV80" i="1"/>
  <c r="HC80" i="1"/>
  <c r="C81" i="1"/>
  <c r="D81" i="1"/>
  <c r="I81" i="1"/>
  <c r="S81" i="1"/>
  <c r="AC81" i="1"/>
  <c r="AE81" i="1"/>
  <c r="AF81" i="1"/>
  <c r="AG81" i="1"/>
  <c r="CU81" i="1" s="1"/>
  <c r="T81" i="1" s="1"/>
  <c r="AH81" i="1"/>
  <c r="AI81" i="1"/>
  <c r="CW81" i="1" s="1"/>
  <c r="V81" i="1" s="1"/>
  <c r="AJ81" i="1"/>
  <c r="CT81" i="1"/>
  <c r="CV81" i="1"/>
  <c r="U81" i="1" s="1"/>
  <c r="CX81" i="1"/>
  <c r="W81" i="1" s="1"/>
  <c r="FR81" i="1"/>
  <c r="GL81" i="1"/>
  <c r="GO81" i="1"/>
  <c r="GP81" i="1"/>
  <c r="GV81" i="1"/>
  <c r="HC81" i="1" s="1"/>
  <c r="GX81" i="1" s="1"/>
  <c r="C82" i="1"/>
  <c r="D82" i="1"/>
  <c r="I82" i="1"/>
  <c r="U82" i="1"/>
  <c r="W82" i="1"/>
  <c r="AC82" i="1"/>
  <c r="AE82" i="1"/>
  <c r="AF82" i="1"/>
  <c r="AG82" i="1"/>
  <c r="CU82" i="1" s="1"/>
  <c r="T82" i="1" s="1"/>
  <c r="AH82" i="1"/>
  <c r="AI82" i="1"/>
  <c r="CW82" i="1" s="1"/>
  <c r="V82" i="1" s="1"/>
  <c r="AJ82" i="1"/>
  <c r="CT82" i="1"/>
  <c r="S82" i="1" s="1"/>
  <c r="CV82" i="1"/>
  <c r="CX82" i="1"/>
  <c r="FR82" i="1"/>
  <c r="GL82" i="1"/>
  <c r="GO82" i="1"/>
  <c r="GP82" i="1"/>
  <c r="GV82" i="1"/>
  <c r="HC82" i="1"/>
  <c r="GX82" i="1" s="1"/>
  <c r="C83" i="1"/>
  <c r="D83" i="1"/>
  <c r="R83" i="1"/>
  <c r="GK83" i="1" s="1"/>
  <c r="T83" i="1"/>
  <c r="AC83" i="1"/>
  <c r="AD83" i="1"/>
  <c r="CR83" i="1" s="1"/>
  <c r="Q83" i="1" s="1"/>
  <c r="AE83" i="1"/>
  <c r="AF83" i="1"/>
  <c r="CT83" i="1" s="1"/>
  <c r="S83" i="1" s="1"/>
  <c r="CZ83" i="1" s="1"/>
  <c r="Y83" i="1" s="1"/>
  <c r="AG83" i="1"/>
  <c r="AH83" i="1"/>
  <c r="CV83" i="1" s="1"/>
  <c r="U83" i="1" s="1"/>
  <c r="AI83" i="1"/>
  <c r="AJ83" i="1"/>
  <c r="CX83" i="1" s="1"/>
  <c r="W83" i="1" s="1"/>
  <c r="CQ83" i="1"/>
  <c r="P83" i="1" s="1"/>
  <c r="CP83" i="1" s="1"/>
  <c r="O83" i="1" s="1"/>
  <c r="CS83" i="1"/>
  <c r="CU83" i="1"/>
  <c r="CW83" i="1"/>
  <c r="V83" i="1" s="1"/>
  <c r="CY83" i="1"/>
  <c r="X83" i="1" s="1"/>
  <c r="FR83" i="1"/>
  <c r="GL83" i="1"/>
  <c r="GO83" i="1"/>
  <c r="GP83" i="1"/>
  <c r="GV83" i="1"/>
  <c r="HC83" i="1" s="1"/>
  <c r="GX83" i="1"/>
  <c r="I84" i="1"/>
  <c r="T84" i="1" s="1"/>
  <c r="V84" i="1"/>
  <c r="AC84" i="1"/>
  <c r="AD84" i="1"/>
  <c r="CR84" i="1" s="1"/>
  <c r="Q84" i="1" s="1"/>
  <c r="AE84" i="1"/>
  <c r="AF84" i="1"/>
  <c r="CT84" i="1" s="1"/>
  <c r="AG84" i="1"/>
  <c r="AH84" i="1"/>
  <c r="CV84" i="1" s="1"/>
  <c r="U84" i="1" s="1"/>
  <c r="AI84" i="1"/>
  <c r="AJ84" i="1"/>
  <c r="CX84" i="1" s="1"/>
  <c r="CQ84" i="1"/>
  <c r="P84" i="1" s="1"/>
  <c r="CS84" i="1"/>
  <c r="R84" i="1" s="1"/>
  <c r="GK84" i="1" s="1"/>
  <c r="CU84" i="1"/>
  <c r="CW84" i="1"/>
  <c r="FR84" i="1"/>
  <c r="GL84" i="1"/>
  <c r="GO84" i="1"/>
  <c r="GP84" i="1"/>
  <c r="GV84" i="1"/>
  <c r="HC84" i="1"/>
  <c r="C85" i="1"/>
  <c r="D85" i="1"/>
  <c r="I85" i="1"/>
  <c r="P85" i="1"/>
  <c r="R85" i="1"/>
  <c r="GK85" i="1" s="1"/>
  <c r="AC85" i="1"/>
  <c r="AD85" i="1"/>
  <c r="CR85" i="1" s="1"/>
  <c r="Q85" i="1" s="1"/>
  <c r="AE85" i="1"/>
  <c r="AF85" i="1"/>
  <c r="CT85" i="1" s="1"/>
  <c r="S85" i="1" s="1"/>
  <c r="CZ85" i="1" s="1"/>
  <c r="Y85" i="1" s="1"/>
  <c r="AG85" i="1"/>
  <c r="AH85" i="1"/>
  <c r="CV85" i="1" s="1"/>
  <c r="U85" i="1" s="1"/>
  <c r="AI85" i="1"/>
  <c r="AJ85" i="1"/>
  <c r="CX85" i="1" s="1"/>
  <c r="W85" i="1" s="1"/>
  <c r="CQ85" i="1"/>
  <c r="CS85" i="1"/>
  <c r="CU85" i="1"/>
  <c r="T85" i="1" s="1"/>
  <c r="CW85" i="1"/>
  <c r="V85" i="1" s="1"/>
  <c r="FR85" i="1"/>
  <c r="GL85" i="1"/>
  <c r="GO85" i="1"/>
  <c r="GP85" i="1"/>
  <c r="GV85" i="1"/>
  <c r="GX85" i="1"/>
  <c r="HC85" i="1"/>
  <c r="I86" i="1"/>
  <c r="P86" i="1"/>
  <c r="R86" i="1"/>
  <c r="GK86" i="1" s="1"/>
  <c r="AC86" i="1"/>
  <c r="AD86" i="1"/>
  <c r="CR86" i="1" s="1"/>
  <c r="Q86" i="1" s="1"/>
  <c r="AE86" i="1"/>
  <c r="AF86" i="1"/>
  <c r="CT86" i="1" s="1"/>
  <c r="S86" i="1" s="1"/>
  <c r="CZ86" i="1" s="1"/>
  <c r="Y86" i="1" s="1"/>
  <c r="AG86" i="1"/>
  <c r="AH86" i="1"/>
  <c r="CV86" i="1" s="1"/>
  <c r="U86" i="1" s="1"/>
  <c r="AI86" i="1"/>
  <c r="AJ86" i="1"/>
  <c r="CX86" i="1" s="1"/>
  <c r="W86" i="1" s="1"/>
  <c r="CQ86" i="1"/>
  <c r="CS86" i="1"/>
  <c r="CU86" i="1"/>
  <c r="T86" i="1" s="1"/>
  <c r="CW86" i="1"/>
  <c r="V86" i="1" s="1"/>
  <c r="FR86" i="1"/>
  <c r="GL86" i="1"/>
  <c r="GO86" i="1"/>
  <c r="GP86" i="1"/>
  <c r="GV86" i="1"/>
  <c r="HC86" i="1" s="1"/>
  <c r="GX86" i="1"/>
  <c r="I87" i="1"/>
  <c r="R87" i="1"/>
  <c r="GK87" i="1" s="1"/>
  <c r="T87" i="1"/>
  <c r="AC87" i="1"/>
  <c r="AD87" i="1"/>
  <c r="CR87" i="1" s="1"/>
  <c r="Q87" i="1" s="1"/>
  <c r="AE87" i="1"/>
  <c r="AF87" i="1"/>
  <c r="CT87" i="1" s="1"/>
  <c r="S87" i="1" s="1"/>
  <c r="CZ87" i="1" s="1"/>
  <c r="Y87" i="1" s="1"/>
  <c r="AG87" i="1"/>
  <c r="AH87" i="1"/>
  <c r="CV87" i="1" s="1"/>
  <c r="U87" i="1" s="1"/>
  <c r="AI87" i="1"/>
  <c r="AJ87" i="1"/>
  <c r="CX87" i="1" s="1"/>
  <c r="W87" i="1" s="1"/>
  <c r="CQ87" i="1"/>
  <c r="P87" i="1" s="1"/>
  <c r="CP87" i="1" s="1"/>
  <c r="O87" i="1" s="1"/>
  <c r="CS87" i="1"/>
  <c r="CU87" i="1"/>
  <c r="CW87" i="1"/>
  <c r="V87" i="1" s="1"/>
  <c r="CY87" i="1"/>
  <c r="X87" i="1" s="1"/>
  <c r="FR87" i="1"/>
  <c r="GL87" i="1"/>
  <c r="GO87" i="1"/>
  <c r="GP87" i="1"/>
  <c r="GV87" i="1"/>
  <c r="GX87" i="1"/>
  <c r="HC87" i="1"/>
  <c r="C88" i="1"/>
  <c r="D88" i="1"/>
  <c r="I88" i="1"/>
  <c r="GX88" i="1" s="1"/>
  <c r="P88" i="1"/>
  <c r="V88" i="1"/>
  <c r="AC88" i="1"/>
  <c r="AD88" i="1"/>
  <c r="CR88" i="1" s="1"/>
  <c r="Q88" i="1" s="1"/>
  <c r="AE88" i="1"/>
  <c r="AF88" i="1"/>
  <c r="CT88" i="1" s="1"/>
  <c r="AG88" i="1"/>
  <c r="AH88" i="1"/>
  <c r="CV88" i="1" s="1"/>
  <c r="U88" i="1" s="1"/>
  <c r="AI88" i="1"/>
  <c r="AJ88" i="1"/>
  <c r="CX88" i="1" s="1"/>
  <c r="CQ88" i="1"/>
  <c r="CS88" i="1"/>
  <c r="R88" i="1" s="1"/>
  <c r="GK88" i="1" s="1"/>
  <c r="CU88" i="1"/>
  <c r="T88" i="1" s="1"/>
  <c r="CW88" i="1"/>
  <c r="FR88" i="1"/>
  <c r="GL88" i="1"/>
  <c r="GO88" i="1"/>
  <c r="GP88" i="1"/>
  <c r="GV88" i="1"/>
  <c r="HC88" i="1"/>
  <c r="I89" i="1"/>
  <c r="R89" i="1" s="1"/>
  <c r="V89" i="1"/>
  <c r="AC89" i="1"/>
  <c r="AD89" i="1"/>
  <c r="AE89" i="1"/>
  <c r="AF89" i="1"/>
  <c r="CT89" i="1" s="1"/>
  <c r="S89" i="1" s="1"/>
  <c r="CY89" i="1" s="1"/>
  <c r="X89" i="1" s="1"/>
  <c r="AG89" i="1"/>
  <c r="AH89" i="1"/>
  <c r="AI89" i="1"/>
  <c r="AJ89" i="1"/>
  <c r="CX89" i="1" s="1"/>
  <c r="W89" i="1" s="1"/>
  <c r="CQ89" i="1"/>
  <c r="P89" i="1" s="1"/>
  <c r="CR89" i="1"/>
  <c r="CS89" i="1"/>
  <c r="CU89" i="1"/>
  <c r="T89" i="1" s="1"/>
  <c r="CV89" i="1"/>
  <c r="U89" i="1" s="1"/>
  <c r="CW89" i="1"/>
  <c r="FR89" i="1"/>
  <c r="GL89" i="1"/>
  <c r="GO89" i="1"/>
  <c r="GP89" i="1"/>
  <c r="GV89" i="1"/>
  <c r="HC89" i="1"/>
  <c r="GX89" i="1" s="1"/>
  <c r="C90" i="1"/>
  <c r="D90" i="1"/>
  <c r="I90" i="1"/>
  <c r="AC90" i="1"/>
  <c r="AB90" i="1" s="1"/>
  <c r="AD90" i="1"/>
  <c r="CR90" i="1" s="1"/>
  <c r="Q90" i="1" s="1"/>
  <c r="AE90" i="1"/>
  <c r="AF90" i="1"/>
  <c r="AG90" i="1"/>
  <c r="CU90" i="1" s="1"/>
  <c r="T90" i="1" s="1"/>
  <c r="AH90" i="1"/>
  <c r="CV90" i="1" s="1"/>
  <c r="U90" i="1" s="1"/>
  <c r="AI90" i="1"/>
  <c r="AJ90" i="1"/>
  <c r="CS90" i="1"/>
  <c r="R90" i="1" s="1"/>
  <c r="GK90" i="1" s="1"/>
  <c r="CT90" i="1"/>
  <c r="S90" i="1" s="1"/>
  <c r="CW90" i="1"/>
  <c r="V90" i="1" s="1"/>
  <c r="CX90" i="1"/>
  <c r="W90" i="1" s="1"/>
  <c r="FR90" i="1"/>
  <c r="GL90" i="1"/>
  <c r="GO90" i="1"/>
  <c r="GP90" i="1"/>
  <c r="GV90" i="1"/>
  <c r="HC90" i="1"/>
  <c r="GX90" i="1" s="1"/>
  <c r="C91" i="1"/>
  <c r="D91" i="1"/>
  <c r="I91" i="1"/>
  <c r="I92" i="1" s="1"/>
  <c r="AC91" i="1"/>
  <c r="AB91" i="1" s="1"/>
  <c r="AD91" i="1"/>
  <c r="CR91" i="1" s="1"/>
  <c r="Q91" i="1" s="1"/>
  <c r="AE91" i="1"/>
  <c r="AF91" i="1"/>
  <c r="AG91" i="1"/>
  <c r="CU91" i="1" s="1"/>
  <c r="T91" i="1" s="1"/>
  <c r="AH91" i="1"/>
  <c r="CV91" i="1" s="1"/>
  <c r="U91" i="1" s="1"/>
  <c r="AI91" i="1"/>
  <c r="AJ91" i="1"/>
  <c r="CS91" i="1"/>
  <c r="R91" i="1" s="1"/>
  <c r="GK91" i="1" s="1"/>
  <c r="CT91" i="1"/>
  <c r="S91" i="1" s="1"/>
  <c r="CW91" i="1"/>
  <c r="V91" i="1" s="1"/>
  <c r="CX91" i="1"/>
  <c r="W91" i="1" s="1"/>
  <c r="FR91" i="1"/>
  <c r="GL91" i="1"/>
  <c r="GO91" i="1"/>
  <c r="GP91" i="1"/>
  <c r="GV91" i="1"/>
  <c r="HC91" i="1"/>
  <c r="GX91" i="1" s="1"/>
  <c r="AC92" i="1"/>
  <c r="AE92" i="1"/>
  <c r="AD92" i="1" s="1"/>
  <c r="AF92" i="1"/>
  <c r="CT92" i="1" s="1"/>
  <c r="S92" i="1" s="1"/>
  <c r="AG92" i="1"/>
  <c r="AH92" i="1"/>
  <c r="AI92" i="1"/>
  <c r="CW92" i="1" s="1"/>
  <c r="V92" i="1" s="1"/>
  <c r="AJ92" i="1"/>
  <c r="CX92" i="1" s="1"/>
  <c r="W92" i="1" s="1"/>
  <c r="CQ92" i="1"/>
  <c r="CU92" i="1"/>
  <c r="CV92" i="1"/>
  <c r="U92" i="1" s="1"/>
  <c r="FR92" i="1"/>
  <c r="GL92" i="1"/>
  <c r="GO92" i="1"/>
  <c r="GP92" i="1"/>
  <c r="GV92" i="1"/>
  <c r="HC92" i="1" s="1"/>
  <c r="GX92" i="1" s="1"/>
  <c r="C93" i="1"/>
  <c r="D93" i="1"/>
  <c r="I93" i="1"/>
  <c r="AC93" i="1"/>
  <c r="AE93" i="1"/>
  <c r="AD93" i="1" s="1"/>
  <c r="AF93" i="1"/>
  <c r="CT93" i="1" s="1"/>
  <c r="S93" i="1" s="1"/>
  <c r="AG93" i="1"/>
  <c r="AH93" i="1"/>
  <c r="AI93" i="1"/>
  <c r="CW93" i="1" s="1"/>
  <c r="V93" i="1" s="1"/>
  <c r="AJ93" i="1"/>
  <c r="CX93" i="1" s="1"/>
  <c r="W93" i="1" s="1"/>
  <c r="CQ93" i="1"/>
  <c r="P93" i="1" s="1"/>
  <c r="CU93" i="1"/>
  <c r="T93" i="1" s="1"/>
  <c r="CV93" i="1"/>
  <c r="U93" i="1" s="1"/>
  <c r="FR93" i="1"/>
  <c r="GL93" i="1"/>
  <c r="GO93" i="1"/>
  <c r="GP93" i="1"/>
  <c r="GV93" i="1"/>
  <c r="HC93" i="1" s="1"/>
  <c r="GX93" i="1" s="1"/>
  <c r="I94" i="1"/>
  <c r="AC94" i="1"/>
  <c r="AB94" i="1" s="1"/>
  <c r="AD94" i="1"/>
  <c r="CR94" i="1" s="1"/>
  <c r="Q94" i="1" s="1"/>
  <c r="AE94" i="1"/>
  <c r="AF94" i="1"/>
  <c r="AG94" i="1"/>
  <c r="CU94" i="1" s="1"/>
  <c r="T94" i="1" s="1"/>
  <c r="AH94" i="1"/>
  <c r="CV94" i="1" s="1"/>
  <c r="U94" i="1" s="1"/>
  <c r="AI94" i="1"/>
  <c r="AJ94" i="1"/>
  <c r="CS94" i="1"/>
  <c r="R94" i="1" s="1"/>
  <c r="GK94" i="1" s="1"/>
  <c r="CT94" i="1"/>
  <c r="S94" i="1" s="1"/>
  <c r="CW94" i="1"/>
  <c r="V94" i="1" s="1"/>
  <c r="CX94" i="1"/>
  <c r="W94" i="1" s="1"/>
  <c r="FR94" i="1"/>
  <c r="GL94" i="1"/>
  <c r="GO94" i="1"/>
  <c r="GP94" i="1"/>
  <c r="GV94" i="1"/>
  <c r="HC94" i="1"/>
  <c r="GX94" i="1" s="1"/>
  <c r="I95" i="1"/>
  <c r="AC95" i="1"/>
  <c r="AE95" i="1"/>
  <c r="AD95" i="1" s="1"/>
  <c r="AF95" i="1"/>
  <c r="CT95" i="1" s="1"/>
  <c r="S95" i="1" s="1"/>
  <c r="AG95" i="1"/>
  <c r="AH95" i="1"/>
  <c r="AI95" i="1"/>
  <c r="CW95" i="1" s="1"/>
  <c r="V95" i="1" s="1"/>
  <c r="AJ95" i="1"/>
  <c r="CX95" i="1" s="1"/>
  <c r="W95" i="1" s="1"/>
  <c r="CQ95" i="1"/>
  <c r="P95" i="1" s="1"/>
  <c r="CU95" i="1"/>
  <c r="T95" i="1" s="1"/>
  <c r="CV95" i="1"/>
  <c r="U95" i="1" s="1"/>
  <c r="FR95" i="1"/>
  <c r="GL95" i="1"/>
  <c r="GO95" i="1"/>
  <c r="GP95" i="1"/>
  <c r="GV95" i="1"/>
  <c r="HC95" i="1" s="1"/>
  <c r="GX95" i="1" s="1"/>
  <c r="C96" i="1"/>
  <c r="D96" i="1"/>
  <c r="I96" i="1"/>
  <c r="AC96" i="1"/>
  <c r="AE96" i="1"/>
  <c r="AD96" i="1" s="1"/>
  <c r="AF96" i="1"/>
  <c r="CT96" i="1" s="1"/>
  <c r="S96" i="1" s="1"/>
  <c r="AG96" i="1"/>
  <c r="AH96" i="1"/>
  <c r="AI96" i="1"/>
  <c r="CW96" i="1" s="1"/>
  <c r="V96" i="1" s="1"/>
  <c r="AJ96" i="1"/>
  <c r="CX96" i="1" s="1"/>
  <c r="W96" i="1" s="1"/>
  <c r="CQ96" i="1"/>
  <c r="P96" i="1" s="1"/>
  <c r="CU96" i="1"/>
  <c r="T96" i="1" s="1"/>
  <c r="CV96" i="1"/>
  <c r="U96" i="1" s="1"/>
  <c r="FR96" i="1"/>
  <c r="GL96" i="1"/>
  <c r="GO96" i="1"/>
  <c r="GP96" i="1"/>
  <c r="GV96" i="1"/>
  <c r="HC96" i="1" s="1"/>
  <c r="GX96" i="1" s="1"/>
  <c r="I97" i="1"/>
  <c r="AC97" i="1"/>
  <c r="AB97" i="1" s="1"/>
  <c r="AD97" i="1"/>
  <c r="CR97" i="1" s="1"/>
  <c r="Q97" i="1" s="1"/>
  <c r="AE97" i="1"/>
  <c r="AF97" i="1"/>
  <c r="AG97" i="1"/>
  <c r="CU97" i="1" s="1"/>
  <c r="T97" i="1" s="1"/>
  <c r="AH97" i="1"/>
  <c r="CV97" i="1" s="1"/>
  <c r="U97" i="1" s="1"/>
  <c r="AI97" i="1"/>
  <c r="AJ97" i="1"/>
  <c r="CS97" i="1"/>
  <c r="R97" i="1" s="1"/>
  <c r="GK97" i="1" s="1"/>
  <c r="CT97" i="1"/>
  <c r="S97" i="1" s="1"/>
  <c r="CW97" i="1"/>
  <c r="V97" i="1" s="1"/>
  <c r="CX97" i="1"/>
  <c r="W97" i="1" s="1"/>
  <c r="FR97" i="1"/>
  <c r="GL97" i="1"/>
  <c r="GO97" i="1"/>
  <c r="GP97" i="1"/>
  <c r="GV97" i="1"/>
  <c r="HC97" i="1"/>
  <c r="GX97" i="1" s="1"/>
  <c r="I98" i="1"/>
  <c r="AC98" i="1"/>
  <c r="AE98" i="1"/>
  <c r="AD98" i="1" s="1"/>
  <c r="AF98" i="1"/>
  <c r="CT98" i="1" s="1"/>
  <c r="S98" i="1" s="1"/>
  <c r="AG98" i="1"/>
  <c r="AH98" i="1"/>
  <c r="AI98" i="1"/>
  <c r="CW98" i="1" s="1"/>
  <c r="V98" i="1" s="1"/>
  <c r="AJ98" i="1"/>
  <c r="CX98" i="1" s="1"/>
  <c r="W98" i="1" s="1"/>
  <c r="CQ98" i="1"/>
  <c r="P98" i="1" s="1"/>
  <c r="CU98" i="1"/>
  <c r="T98" i="1" s="1"/>
  <c r="CV98" i="1"/>
  <c r="U98" i="1" s="1"/>
  <c r="FR98" i="1"/>
  <c r="GL98" i="1"/>
  <c r="GO98" i="1"/>
  <c r="GP98" i="1"/>
  <c r="GV98" i="1"/>
  <c r="HC98" i="1" s="1"/>
  <c r="GX98" i="1" s="1"/>
  <c r="C99" i="1"/>
  <c r="D99" i="1"/>
  <c r="I99" i="1"/>
  <c r="AC99" i="1"/>
  <c r="AE99" i="1"/>
  <c r="AD99" i="1" s="1"/>
  <c r="AF99" i="1"/>
  <c r="CT99" i="1" s="1"/>
  <c r="S99" i="1" s="1"/>
  <c r="AG99" i="1"/>
  <c r="AH99" i="1"/>
  <c r="AI99" i="1"/>
  <c r="CW99" i="1" s="1"/>
  <c r="V99" i="1" s="1"/>
  <c r="AJ99" i="1"/>
  <c r="CX99" i="1" s="1"/>
  <c r="W99" i="1" s="1"/>
  <c r="CQ99" i="1"/>
  <c r="P99" i="1" s="1"/>
  <c r="CU99" i="1"/>
  <c r="T99" i="1" s="1"/>
  <c r="CV99" i="1"/>
  <c r="U99" i="1" s="1"/>
  <c r="FR99" i="1"/>
  <c r="GL99" i="1"/>
  <c r="GO99" i="1"/>
  <c r="GP99" i="1"/>
  <c r="GV99" i="1"/>
  <c r="HC99" i="1" s="1"/>
  <c r="GX99" i="1" s="1"/>
  <c r="I100" i="1"/>
  <c r="AC100" i="1"/>
  <c r="AB100" i="1" s="1"/>
  <c r="AD100" i="1"/>
  <c r="CR100" i="1" s="1"/>
  <c r="Q100" i="1" s="1"/>
  <c r="AE100" i="1"/>
  <c r="AF100" i="1"/>
  <c r="AG100" i="1"/>
  <c r="CU100" i="1" s="1"/>
  <c r="T100" i="1" s="1"/>
  <c r="AH100" i="1"/>
  <c r="CV100" i="1" s="1"/>
  <c r="U100" i="1" s="1"/>
  <c r="AI100" i="1"/>
  <c r="AJ100" i="1"/>
  <c r="CS100" i="1"/>
  <c r="R100" i="1" s="1"/>
  <c r="GK100" i="1" s="1"/>
  <c r="CT100" i="1"/>
  <c r="S100" i="1" s="1"/>
  <c r="CW100" i="1"/>
  <c r="V100" i="1" s="1"/>
  <c r="CX100" i="1"/>
  <c r="W100" i="1" s="1"/>
  <c r="FR100" i="1"/>
  <c r="GL100" i="1"/>
  <c r="GO100" i="1"/>
  <c r="GP100" i="1"/>
  <c r="GV100" i="1"/>
  <c r="HC100" i="1"/>
  <c r="GX100" i="1" s="1"/>
  <c r="C101" i="1"/>
  <c r="D101" i="1"/>
  <c r="I101" i="1"/>
  <c r="I102" i="1" s="1"/>
  <c r="AC101" i="1"/>
  <c r="AB101" i="1" s="1"/>
  <c r="AD101" i="1"/>
  <c r="CR101" i="1" s="1"/>
  <c r="Q101" i="1" s="1"/>
  <c r="AE101" i="1"/>
  <c r="AF101" i="1"/>
  <c r="AG101" i="1"/>
  <c r="CU101" i="1" s="1"/>
  <c r="T101" i="1" s="1"/>
  <c r="AH101" i="1"/>
  <c r="CV101" i="1" s="1"/>
  <c r="U101" i="1" s="1"/>
  <c r="AI101" i="1"/>
  <c r="AJ101" i="1"/>
  <c r="CS101" i="1"/>
  <c r="R101" i="1" s="1"/>
  <c r="GK101" i="1" s="1"/>
  <c r="CT101" i="1"/>
  <c r="S101" i="1" s="1"/>
  <c r="CW101" i="1"/>
  <c r="V101" i="1" s="1"/>
  <c r="CX101" i="1"/>
  <c r="W101" i="1" s="1"/>
  <c r="FR101" i="1"/>
  <c r="GL101" i="1"/>
  <c r="GO101" i="1"/>
  <c r="GP101" i="1"/>
  <c r="GV101" i="1"/>
  <c r="HC101" i="1"/>
  <c r="GX101" i="1" s="1"/>
  <c r="AC102" i="1"/>
  <c r="AE102" i="1"/>
  <c r="AD102" i="1" s="1"/>
  <c r="AF102" i="1"/>
  <c r="CT102" i="1" s="1"/>
  <c r="S102" i="1" s="1"/>
  <c r="AG102" i="1"/>
  <c r="AH102" i="1"/>
  <c r="AI102" i="1"/>
  <c r="CW102" i="1" s="1"/>
  <c r="V102" i="1" s="1"/>
  <c r="AJ102" i="1"/>
  <c r="CX102" i="1" s="1"/>
  <c r="W102" i="1" s="1"/>
  <c r="CQ102" i="1"/>
  <c r="P102" i="1" s="1"/>
  <c r="CU102" i="1"/>
  <c r="T102" i="1" s="1"/>
  <c r="CV102" i="1"/>
  <c r="U102" i="1" s="1"/>
  <c r="FR102" i="1"/>
  <c r="GL102" i="1"/>
  <c r="GO102" i="1"/>
  <c r="GP102" i="1"/>
  <c r="GV102" i="1"/>
  <c r="HC102" i="1" s="1"/>
  <c r="GX102" i="1" s="1"/>
  <c r="I103" i="1"/>
  <c r="AC103" i="1"/>
  <c r="AB103" i="1" s="1"/>
  <c r="AD103" i="1"/>
  <c r="CR103" i="1" s="1"/>
  <c r="Q103" i="1" s="1"/>
  <c r="AE103" i="1"/>
  <c r="AF103" i="1"/>
  <c r="AG103" i="1"/>
  <c r="CU103" i="1" s="1"/>
  <c r="T103" i="1" s="1"/>
  <c r="AH103" i="1"/>
  <c r="CV103" i="1" s="1"/>
  <c r="U103" i="1" s="1"/>
  <c r="AI103" i="1"/>
  <c r="AJ103" i="1"/>
  <c r="CS103" i="1"/>
  <c r="R103" i="1" s="1"/>
  <c r="GK103" i="1" s="1"/>
  <c r="CT103" i="1"/>
  <c r="S103" i="1" s="1"/>
  <c r="CW103" i="1"/>
  <c r="V103" i="1" s="1"/>
  <c r="CX103" i="1"/>
  <c r="W103" i="1" s="1"/>
  <c r="FR103" i="1"/>
  <c r="GL103" i="1"/>
  <c r="GO103" i="1"/>
  <c r="GP103" i="1"/>
  <c r="GV103" i="1"/>
  <c r="HC103" i="1"/>
  <c r="GX103" i="1" s="1"/>
  <c r="C104" i="1"/>
  <c r="D104" i="1"/>
  <c r="I104" i="1"/>
  <c r="I105" i="1" s="1"/>
  <c r="AC104" i="1"/>
  <c r="AB104" i="1" s="1"/>
  <c r="AD104" i="1"/>
  <c r="CR104" i="1" s="1"/>
  <c r="Q104" i="1" s="1"/>
  <c r="AE104" i="1"/>
  <c r="AF104" i="1"/>
  <c r="AG104" i="1"/>
  <c r="CU104" i="1" s="1"/>
  <c r="T104" i="1" s="1"/>
  <c r="AH104" i="1"/>
  <c r="CV104" i="1" s="1"/>
  <c r="U104" i="1" s="1"/>
  <c r="AI104" i="1"/>
  <c r="AJ104" i="1"/>
  <c r="CS104" i="1"/>
  <c r="R104" i="1" s="1"/>
  <c r="GK104" i="1" s="1"/>
  <c r="CT104" i="1"/>
  <c r="S104" i="1" s="1"/>
  <c r="CW104" i="1"/>
  <c r="V104" i="1" s="1"/>
  <c r="CX104" i="1"/>
  <c r="W104" i="1" s="1"/>
  <c r="FR104" i="1"/>
  <c r="GL104" i="1"/>
  <c r="GO104" i="1"/>
  <c r="GP104" i="1"/>
  <c r="GV104" i="1"/>
  <c r="HC104" i="1"/>
  <c r="GX104" i="1" s="1"/>
  <c r="AC105" i="1"/>
  <c r="AE105" i="1"/>
  <c r="AD105" i="1" s="1"/>
  <c r="AF105" i="1"/>
  <c r="CT105" i="1" s="1"/>
  <c r="AG105" i="1"/>
  <c r="AH105" i="1"/>
  <c r="AI105" i="1"/>
  <c r="CW105" i="1" s="1"/>
  <c r="V105" i="1" s="1"/>
  <c r="AJ105" i="1"/>
  <c r="CX105" i="1" s="1"/>
  <c r="CQ105" i="1"/>
  <c r="P105" i="1" s="1"/>
  <c r="CU105" i="1"/>
  <c r="T105" i="1" s="1"/>
  <c r="CV105" i="1"/>
  <c r="U105" i="1" s="1"/>
  <c r="FR105" i="1"/>
  <c r="GL105" i="1"/>
  <c r="GO105" i="1"/>
  <c r="GP105" i="1"/>
  <c r="GV105" i="1"/>
  <c r="HC105" i="1" s="1"/>
  <c r="I106" i="1"/>
  <c r="AC106" i="1"/>
  <c r="AB106" i="1" s="1"/>
  <c r="AD106" i="1"/>
  <c r="CR106" i="1" s="1"/>
  <c r="Q106" i="1" s="1"/>
  <c r="AE106" i="1"/>
  <c r="AF106" i="1"/>
  <c r="AG106" i="1"/>
  <c r="CU106" i="1" s="1"/>
  <c r="T106" i="1" s="1"/>
  <c r="AH106" i="1"/>
  <c r="CV106" i="1" s="1"/>
  <c r="U106" i="1" s="1"/>
  <c r="AI106" i="1"/>
  <c r="AJ106" i="1"/>
  <c r="CS106" i="1"/>
  <c r="R106" i="1" s="1"/>
  <c r="GK106" i="1" s="1"/>
  <c r="CT106" i="1"/>
  <c r="S106" i="1" s="1"/>
  <c r="CW106" i="1"/>
  <c r="V106" i="1" s="1"/>
  <c r="CX106" i="1"/>
  <c r="W106" i="1" s="1"/>
  <c r="FR106" i="1"/>
  <c r="GL106" i="1"/>
  <c r="GO106" i="1"/>
  <c r="GP106" i="1"/>
  <c r="GV106" i="1"/>
  <c r="HC106" i="1"/>
  <c r="GX106" i="1" s="1"/>
  <c r="C107" i="1"/>
  <c r="D107" i="1"/>
  <c r="I107" i="1"/>
  <c r="I108" i="1" s="1"/>
  <c r="AC107" i="1"/>
  <c r="AB107" i="1" s="1"/>
  <c r="AD107" i="1"/>
  <c r="CR107" i="1" s="1"/>
  <c r="Q107" i="1" s="1"/>
  <c r="AE107" i="1"/>
  <c r="AF107" i="1"/>
  <c r="AG107" i="1"/>
  <c r="CU107" i="1" s="1"/>
  <c r="T107" i="1" s="1"/>
  <c r="AH107" i="1"/>
  <c r="CV107" i="1" s="1"/>
  <c r="U107" i="1" s="1"/>
  <c r="AI107" i="1"/>
  <c r="AJ107" i="1"/>
  <c r="CS107" i="1"/>
  <c r="R107" i="1" s="1"/>
  <c r="GK107" i="1" s="1"/>
  <c r="CT107" i="1"/>
  <c r="S107" i="1" s="1"/>
  <c r="CW107" i="1"/>
  <c r="V107" i="1" s="1"/>
  <c r="CX107" i="1"/>
  <c r="W107" i="1" s="1"/>
  <c r="FR107" i="1"/>
  <c r="GL107" i="1"/>
  <c r="GO107" i="1"/>
  <c r="GP107" i="1"/>
  <c r="GV107" i="1"/>
  <c r="GX107" i="1"/>
  <c r="HC107" i="1"/>
  <c r="AC108" i="1"/>
  <c r="AD108" i="1"/>
  <c r="CR108" i="1" s="1"/>
  <c r="AE108" i="1"/>
  <c r="CS108" i="1" s="1"/>
  <c r="AF108" i="1"/>
  <c r="CT108" i="1" s="1"/>
  <c r="AG108" i="1"/>
  <c r="AH108" i="1"/>
  <c r="CV108" i="1" s="1"/>
  <c r="AI108" i="1"/>
  <c r="CW108" i="1" s="1"/>
  <c r="AJ108" i="1"/>
  <c r="CX108" i="1" s="1"/>
  <c r="CQ108" i="1"/>
  <c r="P108" i="1" s="1"/>
  <c r="CU108" i="1"/>
  <c r="FR108" i="1"/>
  <c r="GL108" i="1"/>
  <c r="GO108" i="1"/>
  <c r="GP108" i="1"/>
  <c r="GV108" i="1"/>
  <c r="HC108" i="1" s="1"/>
  <c r="C109" i="1"/>
  <c r="D109" i="1"/>
  <c r="I109" i="1"/>
  <c r="AC109" i="1"/>
  <c r="AD109" i="1"/>
  <c r="CR109" i="1" s="1"/>
  <c r="Q109" i="1" s="1"/>
  <c r="AE109" i="1"/>
  <c r="CS109" i="1" s="1"/>
  <c r="R109" i="1" s="1"/>
  <c r="GK109" i="1" s="1"/>
  <c r="AF109" i="1"/>
  <c r="CT109" i="1" s="1"/>
  <c r="S109" i="1" s="1"/>
  <c r="AG109" i="1"/>
  <c r="AH109" i="1"/>
  <c r="CV109" i="1" s="1"/>
  <c r="U109" i="1" s="1"/>
  <c r="AI109" i="1"/>
  <c r="CW109" i="1" s="1"/>
  <c r="V109" i="1" s="1"/>
  <c r="AJ109" i="1"/>
  <c r="CX109" i="1" s="1"/>
  <c r="W109" i="1" s="1"/>
  <c r="CQ109" i="1"/>
  <c r="P109" i="1" s="1"/>
  <c r="CU109" i="1"/>
  <c r="T109" i="1" s="1"/>
  <c r="FR109" i="1"/>
  <c r="GL109" i="1"/>
  <c r="GO109" i="1"/>
  <c r="GP109" i="1"/>
  <c r="GV109" i="1"/>
  <c r="HC109" i="1" s="1"/>
  <c r="GX109" i="1" s="1"/>
  <c r="I110" i="1"/>
  <c r="AC110" i="1"/>
  <c r="CQ110" i="1" s="1"/>
  <c r="P110" i="1" s="1"/>
  <c r="AD110" i="1"/>
  <c r="CR110" i="1" s="1"/>
  <c r="Q110" i="1" s="1"/>
  <c r="AE110" i="1"/>
  <c r="AF110" i="1"/>
  <c r="AB110" i="1" s="1"/>
  <c r="AG110" i="1"/>
  <c r="CU110" i="1" s="1"/>
  <c r="T110" i="1" s="1"/>
  <c r="AH110" i="1"/>
  <c r="CV110" i="1" s="1"/>
  <c r="U110" i="1" s="1"/>
  <c r="AI110" i="1"/>
  <c r="AJ110" i="1"/>
  <c r="CX110" i="1" s="1"/>
  <c r="W110" i="1" s="1"/>
  <c r="CS110" i="1"/>
  <c r="R110" i="1" s="1"/>
  <c r="GK110" i="1" s="1"/>
  <c r="CW110" i="1"/>
  <c r="V110" i="1" s="1"/>
  <c r="FR110" i="1"/>
  <c r="GL110" i="1"/>
  <c r="GO110" i="1"/>
  <c r="GP110" i="1"/>
  <c r="GV110" i="1"/>
  <c r="GX110" i="1"/>
  <c r="HC110" i="1"/>
  <c r="C111" i="1"/>
  <c r="D111" i="1"/>
  <c r="I111" i="1"/>
  <c r="I112" i="1" s="1"/>
  <c r="AC111" i="1"/>
  <c r="AD111" i="1"/>
  <c r="CR111" i="1" s="1"/>
  <c r="Q111" i="1" s="1"/>
  <c r="AE111" i="1"/>
  <c r="AF111" i="1"/>
  <c r="AB111" i="1" s="1"/>
  <c r="AG111" i="1"/>
  <c r="AH111" i="1"/>
  <c r="CV111" i="1" s="1"/>
  <c r="U111" i="1" s="1"/>
  <c r="AI111" i="1"/>
  <c r="AJ111" i="1"/>
  <c r="CX111" i="1" s="1"/>
  <c r="W111" i="1" s="1"/>
  <c r="CQ111" i="1"/>
  <c r="P111" i="1" s="1"/>
  <c r="CS111" i="1"/>
  <c r="R111" i="1" s="1"/>
  <c r="GK111" i="1" s="1"/>
  <c r="CU111" i="1"/>
  <c r="T111" i="1" s="1"/>
  <c r="CW111" i="1"/>
  <c r="V111" i="1" s="1"/>
  <c r="FR111" i="1"/>
  <c r="GL111" i="1"/>
  <c r="GO111" i="1"/>
  <c r="GP111" i="1"/>
  <c r="GV111" i="1"/>
  <c r="GX111" i="1"/>
  <c r="HC111" i="1"/>
  <c r="T112" i="1"/>
  <c r="AC112" i="1"/>
  <c r="AD112" i="1"/>
  <c r="AE112" i="1"/>
  <c r="CS112" i="1" s="1"/>
  <c r="R112" i="1" s="1"/>
  <c r="GK112" i="1" s="1"/>
  <c r="AF112" i="1"/>
  <c r="CT112" i="1" s="1"/>
  <c r="S112" i="1" s="1"/>
  <c r="CZ112" i="1" s="1"/>
  <c r="Y112" i="1" s="1"/>
  <c r="AG112" i="1"/>
  <c r="AH112" i="1"/>
  <c r="AI112" i="1"/>
  <c r="CW112" i="1" s="1"/>
  <c r="V112" i="1" s="1"/>
  <c r="AJ112" i="1"/>
  <c r="CX112" i="1" s="1"/>
  <c r="W112" i="1" s="1"/>
  <c r="CQ112" i="1"/>
  <c r="P112" i="1" s="1"/>
  <c r="CU112" i="1"/>
  <c r="CV112" i="1"/>
  <c r="U112" i="1" s="1"/>
  <c r="CY112" i="1"/>
  <c r="X112" i="1" s="1"/>
  <c r="FR112" i="1"/>
  <c r="GL112" i="1"/>
  <c r="GO112" i="1"/>
  <c r="GP112" i="1"/>
  <c r="GV112" i="1"/>
  <c r="HC112" i="1" s="1"/>
  <c r="GX112" i="1"/>
  <c r="I113" i="1"/>
  <c r="R113" i="1"/>
  <c r="S113" i="1"/>
  <c r="CY113" i="1" s="1"/>
  <c r="X113" i="1" s="1"/>
  <c r="W113" i="1"/>
  <c r="AC113" i="1"/>
  <c r="AB113" i="1" s="1"/>
  <c r="AD113" i="1"/>
  <c r="CR113" i="1" s="1"/>
  <c r="Q113" i="1" s="1"/>
  <c r="AE113" i="1"/>
  <c r="AF113" i="1"/>
  <c r="AG113" i="1"/>
  <c r="AH113" i="1"/>
  <c r="CV113" i="1" s="1"/>
  <c r="U113" i="1" s="1"/>
  <c r="AI113" i="1"/>
  <c r="AJ113" i="1"/>
  <c r="CQ113" i="1"/>
  <c r="P113" i="1" s="1"/>
  <c r="CP113" i="1" s="1"/>
  <c r="O113" i="1" s="1"/>
  <c r="CS113" i="1"/>
  <c r="CT113" i="1"/>
  <c r="CU113" i="1"/>
  <c r="T113" i="1" s="1"/>
  <c r="CW113" i="1"/>
  <c r="V113" i="1" s="1"/>
  <c r="CX113" i="1"/>
  <c r="FR113" i="1"/>
  <c r="GK113" i="1"/>
  <c r="GL113" i="1"/>
  <c r="GO113" i="1"/>
  <c r="CC123" i="1" s="1"/>
  <c r="GP113" i="1"/>
  <c r="GV113" i="1"/>
  <c r="HC113" i="1"/>
  <c r="GX113" i="1" s="1"/>
  <c r="C114" i="1"/>
  <c r="D114" i="1"/>
  <c r="I114" i="1"/>
  <c r="R114" i="1"/>
  <c r="V114" i="1"/>
  <c r="AC114" i="1"/>
  <c r="AB114" i="1" s="1"/>
  <c r="AD114" i="1"/>
  <c r="CR114" i="1" s="1"/>
  <c r="Q114" i="1" s="1"/>
  <c r="AE114" i="1"/>
  <c r="AF114" i="1"/>
  <c r="AG114" i="1"/>
  <c r="AH114" i="1"/>
  <c r="CV114" i="1" s="1"/>
  <c r="U114" i="1" s="1"/>
  <c r="AI114" i="1"/>
  <c r="AJ114" i="1"/>
  <c r="CX114" i="1" s="1"/>
  <c r="W114" i="1" s="1"/>
  <c r="CS114" i="1"/>
  <c r="CT114" i="1"/>
  <c r="S114" i="1" s="1"/>
  <c r="CU114" i="1"/>
  <c r="T114" i="1" s="1"/>
  <c r="CW114" i="1"/>
  <c r="FR114" i="1"/>
  <c r="GK114" i="1"/>
  <c r="GL114" i="1"/>
  <c r="GO114" i="1"/>
  <c r="GP114" i="1"/>
  <c r="GV114" i="1"/>
  <c r="HC114" i="1"/>
  <c r="GX114" i="1" s="1"/>
  <c r="C115" i="1"/>
  <c r="D115" i="1"/>
  <c r="I115" i="1"/>
  <c r="V115" i="1" s="1"/>
  <c r="T115" i="1"/>
  <c r="AC115" i="1"/>
  <c r="CQ115" i="1" s="1"/>
  <c r="P115" i="1" s="1"/>
  <c r="AD115" i="1"/>
  <c r="CR115" i="1" s="1"/>
  <c r="AE115" i="1"/>
  <c r="AF115" i="1"/>
  <c r="AB115" i="1" s="1"/>
  <c r="AG115" i="1"/>
  <c r="AH115" i="1"/>
  <c r="CV115" i="1" s="1"/>
  <c r="AI115" i="1"/>
  <c r="AJ115" i="1"/>
  <c r="CX115" i="1" s="1"/>
  <c r="W115" i="1" s="1"/>
  <c r="CS115" i="1"/>
  <c r="R115" i="1" s="1"/>
  <c r="GK115" i="1" s="1"/>
  <c r="CT115" i="1"/>
  <c r="S115" i="1" s="1"/>
  <c r="CU115" i="1"/>
  <c r="CW115" i="1"/>
  <c r="FR115" i="1"/>
  <c r="GL115" i="1"/>
  <c r="GO115" i="1"/>
  <c r="GP115" i="1"/>
  <c r="GV115" i="1"/>
  <c r="GX115" i="1"/>
  <c r="HC115" i="1"/>
  <c r="AC116" i="1"/>
  <c r="AD116" i="1"/>
  <c r="AE116" i="1"/>
  <c r="AF116" i="1"/>
  <c r="CT116" i="1" s="1"/>
  <c r="AG116" i="1"/>
  <c r="AH116" i="1"/>
  <c r="AI116" i="1"/>
  <c r="AJ116" i="1"/>
  <c r="CX116" i="1" s="1"/>
  <c r="CQ116" i="1"/>
  <c r="CR116" i="1"/>
  <c r="CS116" i="1"/>
  <c r="CU116" i="1"/>
  <c r="CV116" i="1"/>
  <c r="CW116" i="1"/>
  <c r="FR116" i="1"/>
  <c r="GL116" i="1"/>
  <c r="GO116" i="1"/>
  <c r="GP116" i="1"/>
  <c r="GV116" i="1"/>
  <c r="HC116" i="1" s="1"/>
  <c r="I117" i="1"/>
  <c r="T117" i="1" s="1"/>
  <c r="S117" i="1"/>
  <c r="CY117" i="1" s="1"/>
  <c r="X117" i="1" s="1"/>
  <c r="AC117" i="1"/>
  <c r="AD117" i="1"/>
  <c r="CR117" i="1" s="1"/>
  <c r="AE117" i="1"/>
  <c r="AF117" i="1"/>
  <c r="AG117" i="1"/>
  <c r="AH117" i="1"/>
  <c r="CV117" i="1" s="1"/>
  <c r="AI117" i="1"/>
  <c r="AJ117" i="1"/>
  <c r="CQ117" i="1"/>
  <c r="P117" i="1" s="1"/>
  <c r="CS117" i="1"/>
  <c r="R117" i="1" s="1"/>
  <c r="GK117" i="1" s="1"/>
  <c r="CT117" i="1"/>
  <c r="CU117" i="1"/>
  <c r="CW117" i="1"/>
  <c r="V117" i="1" s="1"/>
  <c r="CX117" i="1"/>
  <c r="W117" i="1" s="1"/>
  <c r="FR117" i="1"/>
  <c r="GL117" i="1"/>
  <c r="GO117" i="1"/>
  <c r="GP117" i="1"/>
  <c r="GV117" i="1"/>
  <c r="HC117" i="1"/>
  <c r="C118" i="1"/>
  <c r="D118" i="1"/>
  <c r="I118" i="1"/>
  <c r="R118" i="1"/>
  <c r="S118" i="1"/>
  <c r="CY118" i="1" s="1"/>
  <c r="X118" i="1" s="1"/>
  <c r="W118" i="1"/>
  <c r="AC118" i="1"/>
  <c r="AB118" i="1" s="1"/>
  <c r="AD118" i="1"/>
  <c r="CR118" i="1" s="1"/>
  <c r="Q118" i="1" s="1"/>
  <c r="AE118" i="1"/>
  <c r="AF118" i="1"/>
  <c r="AG118" i="1"/>
  <c r="AH118" i="1"/>
  <c r="CV118" i="1" s="1"/>
  <c r="U118" i="1" s="1"/>
  <c r="AI118" i="1"/>
  <c r="AJ118" i="1"/>
  <c r="CQ118" i="1"/>
  <c r="P118" i="1" s="1"/>
  <c r="CP118" i="1" s="1"/>
  <c r="O118" i="1" s="1"/>
  <c r="CS118" i="1"/>
  <c r="CT118" i="1"/>
  <c r="CU118" i="1"/>
  <c r="T118" i="1" s="1"/>
  <c r="CW118" i="1"/>
  <c r="V118" i="1" s="1"/>
  <c r="CX118" i="1"/>
  <c r="FR118" i="1"/>
  <c r="GK118" i="1"/>
  <c r="GL118" i="1"/>
  <c r="GO118" i="1"/>
  <c r="GP118" i="1"/>
  <c r="GV118" i="1"/>
  <c r="HC118" i="1"/>
  <c r="GX118" i="1" s="1"/>
  <c r="C119" i="1"/>
  <c r="D119" i="1"/>
  <c r="S119" i="1"/>
  <c r="CY119" i="1" s="1"/>
  <c r="X119" i="1" s="1"/>
  <c r="W119" i="1"/>
  <c r="AC119" i="1"/>
  <c r="AD119" i="1"/>
  <c r="CR119" i="1" s="1"/>
  <c r="Q119" i="1" s="1"/>
  <c r="AE119" i="1"/>
  <c r="CS119" i="1" s="1"/>
  <c r="R119" i="1" s="1"/>
  <c r="AF119" i="1"/>
  <c r="AG119" i="1"/>
  <c r="AH119" i="1"/>
  <c r="AI119" i="1"/>
  <c r="CW119" i="1" s="1"/>
  <c r="V119" i="1" s="1"/>
  <c r="AJ119" i="1"/>
  <c r="CQ119" i="1"/>
  <c r="P119" i="1" s="1"/>
  <c r="CP119" i="1" s="1"/>
  <c r="O119" i="1" s="1"/>
  <c r="CT119" i="1"/>
  <c r="CU119" i="1"/>
  <c r="T119" i="1" s="1"/>
  <c r="CV119" i="1"/>
  <c r="U119" i="1" s="1"/>
  <c r="CX119" i="1"/>
  <c r="CZ119" i="1"/>
  <c r="Y119" i="1" s="1"/>
  <c r="FR119" i="1"/>
  <c r="GK119" i="1"/>
  <c r="GL119" i="1"/>
  <c r="GO119" i="1"/>
  <c r="GP119" i="1"/>
  <c r="GV119" i="1"/>
  <c r="HC119" i="1"/>
  <c r="GX119" i="1" s="1"/>
  <c r="O120" i="1"/>
  <c r="P120" i="1"/>
  <c r="Q120" i="1"/>
  <c r="R120" i="1"/>
  <c r="GK120" i="1" s="1"/>
  <c r="S120" i="1"/>
  <c r="T120" i="1"/>
  <c r="U120" i="1"/>
  <c r="V120" i="1"/>
  <c r="W120" i="1"/>
  <c r="X120" i="1"/>
  <c r="Y120" i="1"/>
  <c r="AB120" i="1"/>
  <c r="AC120" i="1"/>
  <c r="AD120" i="1"/>
  <c r="AE120" i="1"/>
  <c r="AF120" i="1"/>
  <c r="AG120" i="1"/>
  <c r="AH120" i="1"/>
  <c r="AI120" i="1"/>
  <c r="AJ120" i="1"/>
  <c r="CP120" i="1"/>
  <c r="GM120" i="1" s="1"/>
  <c r="FR120" i="1"/>
  <c r="GL120" i="1"/>
  <c r="GN120" i="1"/>
  <c r="GO120" i="1"/>
  <c r="GP120" i="1"/>
  <c r="GV120" i="1"/>
  <c r="GX120" i="1"/>
  <c r="O121" i="1"/>
  <c r="P121" i="1"/>
  <c r="Q121" i="1"/>
  <c r="R121" i="1"/>
  <c r="GK121" i="1" s="1"/>
  <c r="S121" i="1"/>
  <c r="T121" i="1"/>
  <c r="U121" i="1"/>
  <c r="V121" i="1"/>
  <c r="W121" i="1"/>
  <c r="X121" i="1"/>
  <c r="Y121" i="1"/>
  <c r="AB121" i="1"/>
  <c r="CP121" i="1" s="1"/>
  <c r="GM121" i="1" s="1"/>
  <c r="AC121" i="1"/>
  <c r="AD121" i="1"/>
  <c r="AE121" i="1"/>
  <c r="AF121" i="1"/>
  <c r="AG121" i="1"/>
  <c r="AH121" i="1"/>
  <c r="AI121" i="1"/>
  <c r="AJ121" i="1"/>
  <c r="FR121" i="1"/>
  <c r="GL121" i="1"/>
  <c r="GN121" i="1"/>
  <c r="GO121" i="1"/>
  <c r="GP121" i="1"/>
  <c r="GV121" i="1"/>
  <c r="GX121" i="1"/>
  <c r="B123" i="1"/>
  <c r="B26" i="1" s="1"/>
  <c r="C123" i="1"/>
  <c r="C26" i="1" s="1"/>
  <c r="D123" i="1"/>
  <c r="D26" i="1" s="1"/>
  <c r="F123" i="1"/>
  <c r="F26" i="1" s="1"/>
  <c r="G123" i="1"/>
  <c r="G26" i="1" s="1"/>
  <c r="AO123" i="1"/>
  <c r="AO26" i="1" s="1"/>
  <c r="BX123" i="1"/>
  <c r="BX26" i="1" s="1"/>
  <c r="BY123" i="1"/>
  <c r="BY26" i="1" s="1"/>
  <c r="BZ123" i="1"/>
  <c r="BZ26" i="1" s="1"/>
  <c r="CD123" i="1"/>
  <c r="CD26" i="1" s="1"/>
  <c r="CK123" i="1"/>
  <c r="CK26" i="1" s="1"/>
  <c r="CL123" i="1"/>
  <c r="CL26" i="1" s="1"/>
  <c r="F127" i="1"/>
  <c r="D155" i="1"/>
  <c r="E157" i="1"/>
  <c r="Z157" i="1"/>
  <c r="AA157" i="1"/>
  <c r="AM157" i="1"/>
  <c r="AN157" i="1"/>
  <c r="BD157" i="1"/>
  <c r="BE157" i="1"/>
  <c r="BF157" i="1"/>
  <c r="BG157" i="1"/>
  <c r="BH157" i="1"/>
  <c r="BI157" i="1"/>
  <c r="BJ157" i="1"/>
  <c r="BK157" i="1"/>
  <c r="BL157" i="1"/>
  <c r="BM157" i="1"/>
  <c r="BN157" i="1"/>
  <c r="BO157" i="1"/>
  <c r="BP157" i="1"/>
  <c r="BQ157" i="1"/>
  <c r="BR157" i="1"/>
  <c r="BS157" i="1"/>
  <c r="BT157" i="1"/>
  <c r="BU157" i="1"/>
  <c r="BV157" i="1"/>
  <c r="BW157" i="1"/>
  <c r="CM157" i="1"/>
  <c r="CN157" i="1"/>
  <c r="CO157" i="1"/>
  <c r="CP157" i="1"/>
  <c r="CQ157" i="1"/>
  <c r="CR157" i="1"/>
  <c r="CS157" i="1"/>
  <c r="CT157" i="1"/>
  <c r="CU157" i="1"/>
  <c r="CV157" i="1"/>
  <c r="CW157" i="1"/>
  <c r="CX157" i="1"/>
  <c r="CY157" i="1"/>
  <c r="CZ157" i="1"/>
  <c r="DA157" i="1"/>
  <c r="DB157" i="1"/>
  <c r="DC157" i="1"/>
  <c r="DD157" i="1"/>
  <c r="DE157" i="1"/>
  <c r="DF157" i="1"/>
  <c r="DG157" i="1"/>
  <c r="DH157" i="1"/>
  <c r="DI157" i="1"/>
  <c r="DJ157" i="1"/>
  <c r="DK157" i="1"/>
  <c r="DL157" i="1"/>
  <c r="DM157" i="1"/>
  <c r="DN157" i="1"/>
  <c r="DO157" i="1"/>
  <c r="DP157" i="1"/>
  <c r="DQ157" i="1"/>
  <c r="DR157" i="1"/>
  <c r="DS157" i="1"/>
  <c r="DT157" i="1"/>
  <c r="DU157" i="1"/>
  <c r="DV157" i="1"/>
  <c r="DW157" i="1"/>
  <c r="DX157" i="1"/>
  <c r="DY157" i="1"/>
  <c r="DZ157" i="1"/>
  <c r="EA157" i="1"/>
  <c r="EB157" i="1"/>
  <c r="EC157" i="1"/>
  <c r="ED157" i="1"/>
  <c r="EE157" i="1"/>
  <c r="EF157" i="1"/>
  <c r="EG157" i="1"/>
  <c r="EH157" i="1"/>
  <c r="EI157" i="1"/>
  <c r="EJ157" i="1"/>
  <c r="EK157" i="1"/>
  <c r="EL157" i="1"/>
  <c r="EM157" i="1"/>
  <c r="EN157" i="1"/>
  <c r="EO157" i="1"/>
  <c r="EP157" i="1"/>
  <c r="EQ157" i="1"/>
  <c r="ER157" i="1"/>
  <c r="ES157" i="1"/>
  <c r="ET157" i="1"/>
  <c r="EU157" i="1"/>
  <c r="EV157" i="1"/>
  <c r="EW157" i="1"/>
  <c r="EX157" i="1"/>
  <c r="EY157" i="1"/>
  <c r="EZ157" i="1"/>
  <c r="FA157" i="1"/>
  <c r="FB157" i="1"/>
  <c r="FC157" i="1"/>
  <c r="FD157" i="1"/>
  <c r="FE157" i="1"/>
  <c r="FF157" i="1"/>
  <c r="FG157" i="1"/>
  <c r="FH157" i="1"/>
  <c r="FI157" i="1"/>
  <c r="FJ157" i="1"/>
  <c r="FK157" i="1"/>
  <c r="FL157" i="1"/>
  <c r="FM157" i="1"/>
  <c r="FN157" i="1"/>
  <c r="FO157" i="1"/>
  <c r="FP157" i="1"/>
  <c r="FQ157" i="1"/>
  <c r="FR157" i="1"/>
  <c r="FS157" i="1"/>
  <c r="FT157" i="1"/>
  <c r="FU157" i="1"/>
  <c r="FV157" i="1"/>
  <c r="FW157" i="1"/>
  <c r="FX157" i="1"/>
  <c r="FY157" i="1"/>
  <c r="FZ157" i="1"/>
  <c r="GA157" i="1"/>
  <c r="GB157" i="1"/>
  <c r="GC157" i="1"/>
  <c r="GD157" i="1"/>
  <c r="GE157" i="1"/>
  <c r="GF157" i="1"/>
  <c r="GG157" i="1"/>
  <c r="GH157" i="1"/>
  <c r="GI157" i="1"/>
  <c r="GJ157" i="1"/>
  <c r="GK157" i="1"/>
  <c r="GL157" i="1"/>
  <c r="GM157" i="1"/>
  <c r="GN157" i="1"/>
  <c r="GO157" i="1"/>
  <c r="GP157" i="1"/>
  <c r="GQ157" i="1"/>
  <c r="GR157" i="1"/>
  <c r="GS157" i="1"/>
  <c r="GT157" i="1"/>
  <c r="GU157" i="1"/>
  <c r="GV157" i="1"/>
  <c r="GW157" i="1"/>
  <c r="GX157" i="1"/>
  <c r="C159" i="1"/>
  <c r="D159" i="1"/>
  <c r="T159" i="1"/>
  <c r="U159" i="1"/>
  <c r="AC159" i="1"/>
  <c r="CQ159" i="1" s="1"/>
  <c r="P159" i="1" s="1"/>
  <c r="AE159" i="1"/>
  <c r="CS159" i="1" s="1"/>
  <c r="R159" i="1" s="1"/>
  <c r="AF159" i="1"/>
  <c r="AG159" i="1"/>
  <c r="AH159" i="1"/>
  <c r="AI159" i="1"/>
  <c r="CW159" i="1" s="1"/>
  <c r="V159" i="1" s="1"/>
  <c r="AJ159" i="1"/>
  <c r="CT159" i="1"/>
  <c r="S159" i="1" s="1"/>
  <c r="CU159" i="1"/>
  <c r="CV159" i="1"/>
  <c r="CX159" i="1"/>
  <c r="W159" i="1" s="1"/>
  <c r="FR159" i="1"/>
  <c r="GK159" i="1"/>
  <c r="GL159" i="1"/>
  <c r="GN159" i="1"/>
  <c r="GP159" i="1"/>
  <c r="GV159" i="1"/>
  <c r="HC159" i="1" s="1"/>
  <c r="GX159" i="1" s="1"/>
  <c r="C160" i="1"/>
  <c r="D160" i="1"/>
  <c r="I160" i="1"/>
  <c r="S160" i="1"/>
  <c r="CZ160" i="1" s="1"/>
  <c r="Y160" i="1" s="1"/>
  <c r="W160" i="1"/>
  <c r="AC160" i="1"/>
  <c r="AD160" i="1"/>
  <c r="CR160" i="1" s="1"/>
  <c r="Q160" i="1" s="1"/>
  <c r="AE160" i="1"/>
  <c r="CS160" i="1" s="1"/>
  <c r="R160" i="1" s="1"/>
  <c r="AF160" i="1"/>
  <c r="AG160" i="1"/>
  <c r="AH160" i="1"/>
  <c r="AI160" i="1"/>
  <c r="CW160" i="1" s="1"/>
  <c r="V160" i="1" s="1"/>
  <c r="AJ160" i="1"/>
  <c r="CQ160" i="1"/>
  <c r="P160" i="1" s="1"/>
  <c r="CP160" i="1" s="1"/>
  <c r="O160" i="1" s="1"/>
  <c r="CT160" i="1"/>
  <c r="CU160" i="1"/>
  <c r="T160" i="1" s="1"/>
  <c r="CV160" i="1"/>
  <c r="U160" i="1" s="1"/>
  <c r="CX160" i="1"/>
  <c r="FR160" i="1"/>
  <c r="GK160" i="1"/>
  <c r="GL160" i="1"/>
  <c r="GO160" i="1"/>
  <c r="GP160" i="1"/>
  <c r="GV160" i="1"/>
  <c r="HC160" i="1"/>
  <c r="GX160" i="1" s="1"/>
  <c r="C161" i="1"/>
  <c r="D161" i="1"/>
  <c r="I161" i="1"/>
  <c r="CX309" i="3" s="1"/>
  <c r="U161" i="1"/>
  <c r="W161" i="1"/>
  <c r="AC161" i="1"/>
  <c r="AB161" i="1" s="1"/>
  <c r="AD161" i="1"/>
  <c r="CR161" i="1" s="1"/>
  <c r="Q161" i="1" s="1"/>
  <c r="AE161" i="1"/>
  <c r="CS161" i="1" s="1"/>
  <c r="R161" i="1" s="1"/>
  <c r="AF161" i="1"/>
  <c r="AG161" i="1"/>
  <c r="AH161" i="1"/>
  <c r="AI161" i="1"/>
  <c r="CW161" i="1" s="1"/>
  <c r="V161" i="1" s="1"/>
  <c r="AJ161" i="1"/>
  <c r="CT161" i="1"/>
  <c r="S161" i="1" s="1"/>
  <c r="CU161" i="1"/>
  <c r="T161" i="1" s="1"/>
  <c r="CV161" i="1"/>
  <c r="CX161" i="1"/>
  <c r="FR161" i="1"/>
  <c r="GK161" i="1"/>
  <c r="GL161" i="1"/>
  <c r="GO161" i="1"/>
  <c r="GP161" i="1"/>
  <c r="GV161" i="1"/>
  <c r="GX161" i="1"/>
  <c r="HC161" i="1"/>
  <c r="C162" i="1"/>
  <c r="D162" i="1"/>
  <c r="AC162" i="1"/>
  <c r="AB162" i="1" s="1"/>
  <c r="AD162" i="1"/>
  <c r="CR162" i="1" s="1"/>
  <c r="Q162" i="1" s="1"/>
  <c r="AE162" i="1"/>
  <c r="AF162" i="1"/>
  <c r="AG162" i="1"/>
  <c r="CU162" i="1" s="1"/>
  <c r="T162" i="1" s="1"/>
  <c r="AH162" i="1"/>
  <c r="CV162" i="1" s="1"/>
  <c r="U162" i="1" s="1"/>
  <c r="AI162" i="1"/>
  <c r="AJ162" i="1"/>
  <c r="CS162" i="1"/>
  <c r="R162" i="1" s="1"/>
  <c r="GK162" i="1" s="1"/>
  <c r="CT162" i="1"/>
  <c r="S162" i="1" s="1"/>
  <c r="CW162" i="1"/>
  <c r="V162" i="1" s="1"/>
  <c r="CX162" i="1"/>
  <c r="W162" i="1" s="1"/>
  <c r="FR162" i="1"/>
  <c r="GL162" i="1"/>
  <c r="GN162" i="1"/>
  <c r="GP162" i="1"/>
  <c r="GV162" i="1"/>
  <c r="HC162" i="1"/>
  <c r="GX162" i="1" s="1"/>
  <c r="C163" i="1"/>
  <c r="D163" i="1"/>
  <c r="AC163" i="1"/>
  <c r="AB163" i="1" s="1"/>
  <c r="AD163" i="1"/>
  <c r="CR163" i="1" s="1"/>
  <c r="Q163" i="1" s="1"/>
  <c r="AE163" i="1"/>
  <c r="CS163" i="1" s="1"/>
  <c r="R163" i="1" s="1"/>
  <c r="GK163" i="1" s="1"/>
  <c r="AF163" i="1"/>
  <c r="AG163" i="1"/>
  <c r="AH163" i="1"/>
  <c r="CV163" i="1" s="1"/>
  <c r="U163" i="1" s="1"/>
  <c r="AI163" i="1"/>
  <c r="CW163" i="1" s="1"/>
  <c r="V163" i="1" s="1"/>
  <c r="AJ163" i="1"/>
  <c r="CQ163" i="1"/>
  <c r="P163" i="1" s="1"/>
  <c r="CT163" i="1"/>
  <c r="S163" i="1" s="1"/>
  <c r="CU163" i="1"/>
  <c r="T163" i="1" s="1"/>
  <c r="CX163" i="1"/>
  <c r="W163" i="1" s="1"/>
  <c r="FR163" i="1"/>
  <c r="GL163" i="1"/>
  <c r="GN163" i="1"/>
  <c r="GP163" i="1"/>
  <c r="GV163" i="1"/>
  <c r="HC163" i="1" s="1"/>
  <c r="GX163" i="1" s="1"/>
  <c r="C164" i="1"/>
  <c r="D164" i="1"/>
  <c r="AC164" i="1"/>
  <c r="AE164" i="1"/>
  <c r="AD164" i="1" s="1"/>
  <c r="AF164" i="1"/>
  <c r="CT164" i="1" s="1"/>
  <c r="S164" i="1" s="1"/>
  <c r="AG164" i="1"/>
  <c r="AH164" i="1"/>
  <c r="AI164" i="1"/>
  <c r="CW164" i="1" s="1"/>
  <c r="V164" i="1" s="1"/>
  <c r="AJ164" i="1"/>
  <c r="CX164" i="1" s="1"/>
  <c r="W164" i="1" s="1"/>
  <c r="CQ164" i="1"/>
  <c r="P164" i="1" s="1"/>
  <c r="CU164" i="1"/>
  <c r="T164" i="1" s="1"/>
  <c r="CV164" i="1"/>
  <c r="U164" i="1" s="1"/>
  <c r="FR164" i="1"/>
  <c r="GL164" i="1"/>
  <c r="GN164" i="1"/>
  <c r="GP164" i="1"/>
  <c r="GV164" i="1"/>
  <c r="HC164" i="1" s="1"/>
  <c r="GX164" i="1" s="1"/>
  <c r="C165" i="1"/>
  <c r="D165" i="1"/>
  <c r="I165" i="1"/>
  <c r="AC165" i="1"/>
  <c r="AE165" i="1"/>
  <c r="AD165" i="1" s="1"/>
  <c r="AF165" i="1"/>
  <c r="CT165" i="1" s="1"/>
  <c r="S165" i="1" s="1"/>
  <c r="AG165" i="1"/>
  <c r="AH165" i="1"/>
  <c r="AI165" i="1"/>
  <c r="CW165" i="1" s="1"/>
  <c r="V165" i="1" s="1"/>
  <c r="AJ165" i="1"/>
  <c r="CX165" i="1" s="1"/>
  <c r="W165" i="1" s="1"/>
  <c r="CQ165" i="1"/>
  <c r="P165" i="1" s="1"/>
  <c r="CU165" i="1"/>
  <c r="T165" i="1" s="1"/>
  <c r="CV165" i="1"/>
  <c r="U165" i="1" s="1"/>
  <c r="FR165" i="1"/>
  <c r="GL165" i="1"/>
  <c r="GO165" i="1"/>
  <c r="GP165" i="1"/>
  <c r="GV165" i="1"/>
  <c r="HC165" i="1" s="1"/>
  <c r="GX165" i="1" s="1"/>
  <c r="C166" i="1"/>
  <c r="D166" i="1"/>
  <c r="I166" i="1"/>
  <c r="AC166" i="1"/>
  <c r="AE166" i="1"/>
  <c r="AD166" i="1" s="1"/>
  <c r="AF166" i="1"/>
  <c r="CT166" i="1" s="1"/>
  <c r="S166" i="1" s="1"/>
  <c r="AG166" i="1"/>
  <c r="AH166" i="1"/>
  <c r="AI166" i="1"/>
  <c r="CW166" i="1" s="1"/>
  <c r="V166" i="1" s="1"/>
  <c r="AJ166" i="1"/>
  <c r="CX166" i="1" s="1"/>
  <c r="W166" i="1" s="1"/>
  <c r="CQ166" i="1"/>
  <c r="P166" i="1" s="1"/>
  <c r="CU166" i="1"/>
  <c r="T166" i="1" s="1"/>
  <c r="CV166" i="1"/>
  <c r="U166" i="1" s="1"/>
  <c r="FR166" i="1"/>
  <c r="GL166" i="1"/>
  <c r="GO166" i="1"/>
  <c r="GP166" i="1"/>
  <c r="GV166" i="1"/>
  <c r="HC166" i="1" s="1"/>
  <c r="GX166" i="1" s="1"/>
  <c r="C167" i="1"/>
  <c r="D167" i="1"/>
  <c r="I167" i="1"/>
  <c r="AC167" i="1"/>
  <c r="AE167" i="1"/>
  <c r="AD167" i="1" s="1"/>
  <c r="AF167" i="1"/>
  <c r="CT167" i="1" s="1"/>
  <c r="S167" i="1" s="1"/>
  <c r="AG167" i="1"/>
  <c r="AH167" i="1"/>
  <c r="AI167" i="1"/>
  <c r="CW167" i="1" s="1"/>
  <c r="V167" i="1" s="1"/>
  <c r="AJ167" i="1"/>
  <c r="CX167" i="1" s="1"/>
  <c r="W167" i="1" s="1"/>
  <c r="CQ167" i="1"/>
  <c r="P167" i="1" s="1"/>
  <c r="CU167" i="1"/>
  <c r="T167" i="1" s="1"/>
  <c r="CV167" i="1"/>
  <c r="U167" i="1" s="1"/>
  <c r="FR167" i="1"/>
  <c r="GL167" i="1"/>
  <c r="GO167" i="1"/>
  <c r="GP167" i="1"/>
  <c r="GV167" i="1"/>
  <c r="HC167" i="1" s="1"/>
  <c r="GX167" i="1" s="1"/>
  <c r="C168" i="1"/>
  <c r="D168" i="1"/>
  <c r="I168" i="1"/>
  <c r="AC168" i="1"/>
  <c r="AE168" i="1"/>
  <c r="AD168" i="1" s="1"/>
  <c r="AF168" i="1"/>
  <c r="CT168" i="1" s="1"/>
  <c r="S168" i="1" s="1"/>
  <c r="AG168" i="1"/>
  <c r="AH168" i="1"/>
  <c r="AI168" i="1"/>
  <c r="CW168" i="1" s="1"/>
  <c r="V168" i="1" s="1"/>
  <c r="AJ168" i="1"/>
  <c r="CX168" i="1" s="1"/>
  <c r="W168" i="1" s="1"/>
  <c r="CQ168" i="1"/>
  <c r="P168" i="1" s="1"/>
  <c r="CU168" i="1"/>
  <c r="T168" i="1" s="1"/>
  <c r="CV168" i="1"/>
  <c r="U168" i="1" s="1"/>
  <c r="FR168" i="1"/>
  <c r="GL168" i="1"/>
  <c r="GN168" i="1"/>
  <c r="GP168" i="1"/>
  <c r="GV168" i="1"/>
  <c r="HC168" i="1" s="1"/>
  <c r="GX168" i="1" s="1"/>
  <c r="AC169" i="1"/>
  <c r="AB169" i="1" s="1"/>
  <c r="AD169" i="1"/>
  <c r="CR169" i="1" s="1"/>
  <c r="AE169" i="1"/>
  <c r="AF169" i="1"/>
  <c r="AG169" i="1"/>
  <c r="CU169" i="1" s="1"/>
  <c r="AH169" i="1"/>
  <c r="CV169" i="1" s="1"/>
  <c r="AI169" i="1"/>
  <c r="AJ169" i="1"/>
  <c r="CS169" i="1"/>
  <c r="CT169" i="1"/>
  <c r="CW169" i="1"/>
  <c r="CX169" i="1"/>
  <c r="FR169" i="1"/>
  <c r="GL169" i="1"/>
  <c r="GN169" i="1"/>
  <c r="GP169" i="1"/>
  <c r="GV169" i="1"/>
  <c r="HC169" i="1"/>
  <c r="I170" i="1"/>
  <c r="AC170" i="1"/>
  <c r="AE170" i="1"/>
  <c r="AD170" i="1" s="1"/>
  <c r="AF170" i="1"/>
  <c r="CT170" i="1" s="1"/>
  <c r="S170" i="1" s="1"/>
  <c r="AG170" i="1"/>
  <c r="AH170" i="1"/>
  <c r="AI170" i="1"/>
  <c r="CW170" i="1" s="1"/>
  <c r="V170" i="1" s="1"/>
  <c r="AJ170" i="1"/>
  <c r="CX170" i="1" s="1"/>
  <c r="W170" i="1" s="1"/>
  <c r="CQ170" i="1"/>
  <c r="P170" i="1" s="1"/>
  <c r="CU170" i="1"/>
  <c r="T170" i="1" s="1"/>
  <c r="CV170" i="1"/>
  <c r="U170" i="1" s="1"/>
  <c r="FR170" i="1"/>
  <c r="GL170" i="1"/>
  <c r="GN170" i="1"/>
  <c r="GP170" i="1"/>
  <c r="GV170" i="1"/>
  <c r="HC170" i="1" s="1"/>
  <c r="GX170" i="1" s="1"/>
  <c r="C171" i="1"/>
  <c r="D171" i="1"/>
  <c r="I171" i="1"/>
  <c r="AC171" i="1"/>
  <c r="AE171" i="1"/>
  <c r="AD171" i="1" s="1"/>
  <c r="AF171" i="1"/>
  <c r="CT171" i="1" s="1"/>
  <c r="S171" i="1" s="1"/>
  <c r="AG171" i="1"/>
  <c r="AH171" i="1"/>
  <c r="AI171" i="1"/>
  <c r="AJ171" i="1"/>
  <c r="CX171" i="1" s="1"/>
  <c r="W171" i="1" s="1"/>
  <c r="CQ171" i="1"/>
  <c r="P171" i="1" s="1"/>
  <c r="CS171" i="1"/>
  <c r="R171" i="1" s="1"/>
  <c r="GK171" i="1" s="1"/>
  <c r="CU171" i="1"/>
  <c r="T171" i="1" s="1"/>
  <c r="CV171" i="1"/>
  <c r="U171" i="1" s="1"/>
  <c r="CW171" i="1"/>
  <c r="V171" i="1" s="1"/>
  <c r="FR171" i="1"/>
  <c r="GL171" i="1"/>
  <c r="GN171" i="1"/>
  <c r="GP171" i="1"/>
  <c r="GV171" i="1"/>
  <c r="HC171" i="1" s="1"/>
  <c r="GX171" i="1" s="1"/>
  <c r="AC172" i="1"/>
  <c r="AB172" i="1" s="1"/>
  <c r="AD172" i="1"/>
  <c r="CR172" i="1" s="1"/>
  <c r="AE172" i="1"/>
  <c r="AF172" i="1"/>
  <c r="AG172" i="1"/>
  <c r="AH172" i="1"/>
  <c r="CV172" i="1" s="1"/>
  <c r="AI172" i="1"/>
  <c r="AJ172" i="1"/>
  <c r="CQ172" i="1"/>
  <c r="CS172" i="1"/>
  <c r="CT172" i="1"/>
  <c r="CU172" i="1"/>
  <c r="CW172" i="1"/>
  <c r="CX172" i="1"/>
  <c r="FR172" i="1"/>
  <c r="GL172" i="1"/>
  <c r="GN172" i="1"/>
  <c r="GP172" i="1"/>
  <c r="GV172" i="1"/>
  <c r="HC172" i="1"/>
  <c r="C173" i="1"/>
  <c r="D173" i="1"/>
  <c r="I173" i="1"/>
  <c r="AC173" i="1"/>
  <c r="AB173" i="1" s="1"/>
  <c r="AD173" i="1"/>
  <c r="CR173" i="1" s="1"/>
  <c r="Q173" i="1" s="1"/>
  <c r="AE173" i="1"/>
  <c r="AF173" i="1"/>
  <c r="AG173" i="1"/>
  <c r="AH173" i="1"/>
  <c r="CV173" i="1" s="1"/>
  <c r="U173" i="1" s="1"/>
  <c r="AI173" i="1"/>
  <c r="AJ173" i="1"/>
  <c r="CQ173" i="1"/>
  <c r="P173" i="1" s="1"/>
  <c r="CS173" i="1"/>
  <c r="R173" i="1" s="1"/>
  <c r="GK173" i="1" s="1"/>
  <c r="CT173" i="1"/>
  <c r="S173" i="1" s="1"/>
  <c r="CU173" i="1"/>
  <c r="T173" i="1" s="1"/>
  <c r="CW173" i="1"/>
  <c r="V173" i="1" s="1"/>
  <c r="CX173" i="1"/>
  <c r="W173" i="1" s="1"/>
  <c r="FR173" i="1"/>
  <c r="GL173" i="1"/>
  <c r="GN173" i="1"/>
  <c r="GP173" i="1"/>
  <c r="GV173" i="1"/>
  <c r="HC173" i="1"/>
  <c r="GX173" i="1" s="1"/>
  <c r="I174" i="1"/>
  <c r="AC174" i="1"/>
  <c r="AE174" i="1"/>
  <c r="AD174" i="1" s="1"/>
  <c r="AF174" i="1"/>
  <c r="CT174" i="1" s="1"/>
  <c r="S174" i="1" s="1"/>
  <c r="AG174" i="1"/>
  <c r="AH174" i="1"/>
  <c r="AI174" i="1"/>
  <c r="AJ174" i="1"/>
  <c r="CX174" i="1" s="1"/>
  <c r="W174" i="1" s="1"/>
  <c r="CQ174" i="1"/>
  <c r="P174" i="1" s="1"/>
  <c r="CS174" i="1"/>
  <c r="R174" i="1" s="1"/>
  <c r="GK174" i="1" s="1"/>
  <c r="CU174" i="1"/>
  <c r="T174" i="1" s="1"/>
  <c r="CV174" i="1"/>
  <c r="U174" i="1" s="1"/>
  <c r="CW174" i="1"/>
  <c r="V174" i="1" s="1"/>
  <c r="FR174" i="1"/>
  <c r="GL174" i="1"/>
  <c r="GN174" i="1"/>
  <c r="GP174" i="1"/>
  <c r="GV174" i="1"/>
  <c r="HC174" i="1" s="1"/>
  <c r="GX174" i="1" s="1"/>
  <c r="C175" i="1"/>
  <c r="D175" i="1"/>
  <c r="I175" i="1"/>
  <c r="AC175" i="1"/>
  <c r="AE175" i="1"/>
  <c r="AD175" i="1" s="1"/>
  <c r="AF175" i="1"/>
  <c r="CT175" i="1" s="1"/>
  <c r="S175" i="1" s="1"/>
  <c r="AG175" i="1"/>
  <c r="AH175" i="1"/>
  <c r="AI175" i="1"/>
  <c r="AJ175" i="1"/>
  <c r="CX175" i="1" s="1"/>
  <c r="W175" i="1" s="1"/>
  <c r="CQ175" i="1"/>
  <c r="P175" i="1" s="1"/>
  <c r="CS175" i="1"/>
  <c r="R175" i="1" s="1"/>
  <c r="GK175" i="1" s="1"/>
  <c r="CU175" i="1"/>
  <c r="T175" i="1" s="1"/>
  <c r="CV175" i="1"/>
  <c r="U175" i="1" s="1"/>
  <c r="CW175" i="1"/>
  <c r="V175" i="1" s="1"/>
  <c r="FR175" i="1"/>
  <c r="GL175" i="1"/>
  <c r="GN175" i="1"/>
  <c r="GP175" i="1"/>
  <c r="GV175" i="1"/>
  <c r="HC175" i="1" s="1"/>
  <c r="GX175" i="1" s="1"/>
  <c r="AC176" i="1"/>
  <c r="AB176" i="1" s="1"/>
  <c r="AD176" i="1"/>
  <c r="CR176" i="1" s="1"/>
  <c r="AE176" i="1"/>
  <c r="AF176" i="1"/>
  <c r="AG176" i="1"/>
  <c r="AH176" i="1"/>
  <c r="CV176" i="1" s="1"/>
  <c r="AI176" i="1"/>
  <c r="AJ176" i="1"/>
  <c r="CQ176" i="1"/>
  <c r="CS176" i="1"/>
  <c r="CT176" i="1"/>
  <c r="CU176" i="1"/>
  <c r="CW176" i="1"/>
  <c r="CX176" i="1"/>
  <c r="FR176" i="1"/>
  <c r="GL176" i="1"/>
  <c r="GN176" i="1"/>
  <c r="GP176" i="1"/>
  <c r="GV176" i="1"/>
  <c r="HC176" i="1"/>
  <c r="I177" i="1"/>
  <c r="AC177" i="1"/>
  <c r="AE177" i="1"/>
  <c r="AD177" i="1" s="1"/>
  <c r="AF177" i="1"/>
  <c r="CT177" i="1" s="1"/>
  <c r="S177" i="1" s="1"/>
  <c r="AG177" i="1"/>
  <c r="AH177" i="1"/>
  <c r="AI177" i="1"/>
  <c r="AJ177" i="1"/>
  <c r="CX177" i="1" s="1"/>
  <c r="W177" i="1" s="1"/>
  <c r="CQ177" i="1"/>
  <c r="P177" i="1" s="1"/>
  <c r="CS177" i="1"/>
  <c r="R177" i="1" s="1"/>
  <c r="GK177" i="1" s="1"/>
  <c r="CU177" i="1"/>
  <c r="T177" i="1" s="1"/>
  <c r="CV177" i="1"/>
  <c r="U177" i="1" s="1"/>
  <c r="CW177" i="1"/>
  <c r="V177" i="1" s="1"/>
  <c r="FR177" i="1"/>
  <c r="GL177" i="1"/>
  <c r="GN177" i="1"/>
  <c r="GP177" i="1"/>
  <c r="GV177" i="1"/>
  <c r="HC177" i="1" s="1"/>
  <c r="GX177" i="1"/>
  <c r="I178" i="1"/>
  <c r="AC178" i="1"/>
  <c r="AB178" i="1" s="1"/>
  <c r="AD178" i="1"/>
  <c r="CR178" i="1" s="1"/>
  <c r="Q178" i="1" s="1"/>
  <c r="AE178" i="1"/>
  <c r="AF178" i="1"/>
  <c r="AG178" i="1"/>
  <c r="AH178" i="1"/>
  <c r="CV178" i="1" s="1"/>
  <c r="U178" i="1" s="1"/>
  <c r="AI178" i="1"/>
  <c r="AJ178" i="1"/>
  <c r="CQ178" i="1"/>
  <c r="P178" i="1" s="1"/>
  <c r="CP178" i="1" s="1"/>
  <c r="O178" i="1" s="1"/>
  <c r="CS178" i="1"/>
  <c r="R178" i="1" s="1"/>
  <c r="GK178" i="1" s="1"/>
  <c r="CT178" i="1"/>
  <c r="S178" i="1" s="1"/>
  <c r="CU178" i="1"/>
  <c r="T178" i="1" s="1"/>
  <c r="CW178" i="1"/>
  <c r="V178" i="1" s="1"/>
  <c r="CX178" i="1"/>
  <c r="W178" i="1" s="1"/>
  <c r="FR178" i="1"/>
  <c r="GL178" i="1"/>
  <c r="GN178" i="1"/>
  <c r="GP178" i="1"/>
  <c r="GV178" i="1"/>
  <c r="HC178" i="1"/>
  <c r="GX178" i="1" s="1"/>
  <c r="C179" i="1"/>
  <c r="D179" i="1"/>
  <c r="I179" i="1"/>
  <c r="P179" i="1"/>
  <c r="T179" i="1"/>
  <c r="AC179" i="1"/>
  <c r="AD179" i="1"/>
  <c r="CR179" i="1" s="1"/>
  <c r="Q179" i="1" s="1"/>
  <c r="AE179" i="1"/>
  <c r="AF179" i="1"/>
  <c r="AG179" i="1"/>
  <c r="AH179" i="1"/>
  <c r="CV179" i="1" s="1"/>
  <c r="U179" i="1" s="1"/>
  <c r="AI179" i="1"/>
  <c r="AJ179" i="1"/>
  <c r="CQ179" i="1"/>
  <c r="CS179" i="1"/>
  <c r="R179" i="1" s="1"/>
  <c r="GK179" i="1" s="1"/>
  <c r="CT179" i="1"/>
  <c r="S179" i="1" s="1"/>
  <c r="CU179" i="1"/>
  <c r="CW179" i="1"/>
  <c r="V179" i="1" s="1"/>
  <c r="CX179" i="1"/>
  <c r="W179" i="1" s="1"/>
  <c r="FR179" i="1"/>
  <c r="GL179" i="1"/>
  <c r="GN179" i="1"/>
  <c r="GP179" i="1"/>
  <c r="GV179" i="1"/>
  <c r="HC179" i="1"/>
  <c r="GX179" i="1" s="1"/>
  <c r="I180" i="1"/>
  <c r="AC180" i="1"/>
  <c r="AE180" i="1"/>
  <c r="AD180" i="1" s="1"/>
  <c r="AF180" i="1"/>
  <c r="CT180" i="1" s="1"/>
  <c r="S180" i="1" s="1"/>
  <c r="AG180" i="1"/>
  <c r="AH180" i="1"/>
  <c r="CV180" i="1" s="1"/>
  <c r="U180" i="1" s="1"/>
  <c r="AI180" i="1"/>
  <c r="CW180" i="1" s="1"/>
  <c r="V180" i="1" s="1"/>
  <c r="AJ180" i="1"/>
  <c r="CX180" i="1" s="1"/>
  <c r="W180" i="1" s="1"/>
  <c r="CQ180" i="1"/>
  <c r="P180" i="1" s="1"/>
  <c r="CS180" i="1"/>
  <c r="R180" i="1" s="1"/>
  <c r="CU180" i="1"/>
  <c r="T180" i="1" s="1"/>
  <c r="FR180" i="1"/>
  <c r="GL180" i="1"/>
  <c r="GN180" i="1"/>
  <c r="GP180" i="1"/>
  <c r="GV180" i="1"/>
  <c r="HC180" i="1" s="1"/>
  <c r="GX180" i="1"/>
  <c r="I181" i="1"/>
  <c r="R181" i="1"/>
  <c r="S181" i="1"/>
  <c r="CY181" i="1" s="1"/>
  <c r="X181" i="1" s="1"/>
  <c r="W181" i="1"/>
  <c r="AC181" i="1"/>
  <c r="AB181" i="1" s="1"/>
  <c r="AD181" i="1"/>
  <c r="CR181" i="1" s="1"/>
  <c r="Q181" i="1" s="1"/>
  <c r="AE181" i="1"/>
  <c r="AF181" i="1"/>
  <c r="AG181" i="1"/>
  <c r="AH181" i="1"/>
  <c r="CV181" i="1" s="1"/>
  <c r="U181" i="1" s="1"/>
  <c r="AI181" i="1"/>
  <c r="AJ181" i="1"/>
  <c r="CQ181" i="1"/>
  <c r="P181" i="1" s="1"/>
  <c r="CP181" i="1" s="1"/>
  <c r="O181" i="1" s="1"/>
  <c r="CS181" i="1"/>
  <c r="CT181" i="1"/>
  <c r="CU181" i="1"/>
  <c r="T181" i="1" s="1"/>
  <c r="CW181" i="1"/>
  <c r="V181" i="1" s="1"/>
  <c r="CX181" i="1"/>
  <c r="FR181" i="1"/>
  <c r="GK181" i="1"/>
  <c r="GL181" i="1"/>
  <c r="GN181" i="1"/>
  <c r="GP181" i="1"/>
  <c r="GV181" i="1"/>
  <c r="HC181" i="1"/>
  <c r="GX181" i="1" s="1"/>
  <c r="C182" i="1"/>
  <c r="D182" i="1"/>
  <c r="I182" i="1"/>
  <c r="CX389" i="3" s="1"/>
  <c r="R182" i="1"/>
  <c r="V182" i="1"/>
  <c r="AC182" i="1"/>
  <c r="AB182" i="1" s="1"/>
  <c r="AD182" i="1"/>
  <c r="CR182" i="1" s="1"/>
  <c r="Q182" i="1" s="1"/>
  <c r="AE182" i="1"/>
  <c r="AF182" i="1"/>
  <c r="AG182" i="1"/>
  <c r="AH182" i="1"/>
  <c r="CV182" i="1" s="1"/>
  <c r="U182" i="1" s="1"/>
  <c r="AI182" i="1"/>
  <c r="AJ182" i="1"/>
  <c r="CX182" i="1" s="1"/>
  <c r="W182" i="1" s="1"/>
  <c r="CS182" i="1"/>
  <c r="CT182" i="1"/>
  <c r="S182" i="1" s="1"/>
  <c r="CU182" i="1"/>
  <c r="T182" i="1" s="1"/>
  <c r="CW182" i="1"/>
  <c r="FR182" i="1"/>
  <c r="GK182" i="1"/>
  <c r="GL182" i="1"/>
  <c r="GO182" i="1"/>
  <c r="GP182" i="1"/>
  <c r="GV182" i="1"/>
  <c r="HC182" i="1"/>
  <c r="GX182" i="1" s="1"/>
  <c r="C183" i="1"/>
  <c r="D183" i="1"/>
  <c r="I183" i="1"/>
  <c r="I184" i="1" s="1"/>
  <c r="T183" i="1"/>
  <c r="V183" i="1"/>
  <c r="AC183" i="1"/>
  <c r="CQ183" i="1" s="1"/>
  <c r="P183" i="1" s="1"/>
  <c r="AD183" i="1"/>
  <c r="CR183" i="1" s="1"/>
  <c r="AE183" i="1"/>
  <c r="AF183" i="1"/>
  <c r="AB183" i="1" s="1"/>
  <c r="AG183" i="1"/>
  <c r="AH183" i="1"/>
  <c r="CV183" i="1" s="1"/>
  <c r="AI183" i="1"/>
  <c r="AJ183" i="1"/>
  <c r="CX183" i="1" s="1"/>
  <c r="W183" i="1" s="1"/>
  <c r="CS183" i="1"/>
  <c r="R183" i="1" s="1"/>
  <c r="GK183" i="1" s="1"/>
  <c r="CT183" i="1"/>
  <c r="S183" i="1" s="1"/>
  <c r="CU183" i="1"/>
  <c r="CW183" i="1"/>
  <c r="FR183" i="1"/>
  <c r="GL183" i="1"/>
  <c r="GN183" i="1"/>
  <c r="GP183" i="1"/>
  <c r="GV183" i="1"/>
  <c r="GX183" i="1"/>
  <c r="HC183" i="1"/>
  <c r="AC184" i="1"/>
  <c r="AD184" i="1"/>
  <c r="AB184" i="1" s="1"/>
  <c r="AE184" i="1"/>
  <c r="AF184" i="1"/>
  <c r="CT184" i="1" s="1"/>
  <c r="AG184" i="1"/>
  <c r="AH184" i="1"/>
  <c r="AI184" i="1"/>
  <c r="AJ184" i="1"/>
  <c r="CX184" i="1" s="1"/>
  <c r="CQ184" i="1"/>
  <c r="P184" i="1" s="1"/>
  <c r="CR184" i="1"/>
  <c r="CS184" i="1"/>
  <c r="CU184" i="1"/>
  <c r="T184" i="1" s="1"/>
  <c r="CV184" i="1"/>
  <c r="U184" i="1" s="1"/>
  <c r="CW184" i="1"/>
  <c r="FR184" i="1"/>
  <c r="GL184" i="1"/>
  <c r="GN184" i="1"/>
  <c r="GP184" i="1"/>
  <c r="GV184" i="1"/>
  <c r="HC184" i="1" s="1"/>
  <c r="GX184" i="1" s="1"/>
  <c r="C185" i="1"/>
  <c r="D185" i="1"/>
  <c r="I185" i="1"/>
  <c r="I186" i="1" s="1"/>
  <c r="R185" i="1"/>
  <c r="GK185" i="1" s="1"/>
  <c r="T185" i="1"/>
  <c r="AC185" i="1"/>
  <c r="AD185" i="1"/>
  <c r="AB185" i="1" s="1"/>
  <c r="AE185" i="1"/>
  <c r="AF185" i="1"/>
  <c r="CT185" i="1" s="1"/>
  <c r="AG185" i="1"/>
  <c r="AH185" i="1"/>
  <c r="CV185" i="1" s="1"/>
  <c r="U185" i="1" s="1"/>
  <c r="AI185" i="1"/>
  <c r="AJ185" i="1"/>
  <c r="CX185" i="1" s="1"/>
  <c r="CQ185" i="1"/>
  <c r="P185" i="1" s="1"/>
  <c r="CR185" i="1"/>
  <c r="Q185" i="1" s="1"/>
  <c r="CS185" i="1"/>
  <c r="CU185" i="1"/>
  <c r="CW185" i="1"/>
  <c r="V185" i="1" s="1"/>
  <c r="FR185" i="1"/>
  <c r="GL185" i="1"/>
  <c r="GN185" i="1"/>
  <c r="GP185" i="1"/>
  <c r="GV185" i="1"/>
  <c r="HC185" i="1" s="1"/>
  <c r="GX185" i="1" s="1"/>
  <c r="AC186" i="1"/>
  <c r="AB186" i="1" s="1"/>
  <c r="AD186" i="1"/>
  <c r="CR186" i="1" s="1"/>
  <c r="AE186" i="1"/>
  <c r="AF186" i="1"/>
  <c r="AG186" i="1"/>
  <c r="AH186" i="1"/>
  <c r="CV186" i="1" s="1"/>
  <c r="AI186" i="1"/>
  <c r="AJ186" i="1"/>
  <c r="CX186" i="1" s="1"/>
  <c r="W186" i="1" s="1"/>
  <c r="CS186" i="1"/>
  <c r="CT186" i="1"/>
  <c r="S186" i="1" s="1"/>
  <c r="CU186" i="1"/>
  <c r="T186" i="1" s="1"/>
  <c r="CW186" i="1"/>
  <c r="FR186" i="1"/>
  <c r="GL186" i="1"/>
  <c r="GN186" i="1"/>
  <c r="GP186" i="1"/>
  <c r="GV186" i="1"/>
  <c r="HC186" i="1"/>
  <c r="GX186" i="1" s="1"/>
  <c r="C187" i="1"/>
  <c r="D187" i="1"/>
  <c r="U187" i="1"/>
  <c r="W187" i="1"/>
  <c r="AC187" i="1"/>
  <c r="AB187" i="1" s="1"/>
  <c r="AD187" i="1"/>
  <c r="CR187" i="1" s="1"/>
  <c r="Q187" i="1" s="1"/>
  <c r="AE187" i="1"/>
  <c r="CS187" i="1" s="1"/>
  <c r="R187" i="1" s="1"/>
  <c r="AF187" i="1"/>
  <c r="AG187" i="1"/>
  <c r="AH187" i="1"/>
  <c r="AI187" i="1"/>
  <c r="CW187" i="1" s="1"/>
  <c r="V187" i="1" s="1"/>
  <c r="AJ187" i="1"/>
  <c r="CT187" i="1"/>
  <c r="S187" i="1" s="1"/>
  <c r="CU187" i="1"/>
  <c r="T187" i="1" s="1"/>
  <c r="CV187" i="1"/>
  <c r="CX187" i="1"/>
  <c r="FR187" i="1"/>
  <c r="GK187" i="1"/>
  <c r="GL187" i="1"/>
  <c r="GN187" i="1"/>
  <c r="GP187" i="1"/>
  <c r="GV187" i="1"/>
  <c r="HC187" i="1" s="1"/>
  <c r="GX187" i="1" s="1"/>
  <c r="I188" i="1"/>
  <c r="AC188" i="1"/>
  <c r="CQ188" i="1" s="1"/>
  <c r="P188" i="1" s="1"/>
  <c r="AE188" i="1"/>
  <c r="AD188" i="1" s="1"/>
  <c r="AF188" i="1"/>
  <c r="AG188" i="1"/>
  <c r="CU188" i="1" s="1"/>
  <c r="T188" i="1" s="1"/>
  <c r="AH188" i="1"/>
  <c r="AI188" i="1"/>
  <c r="AJ188" i="1"/>
  <c r="CR188" i="1"/>
  <c r="Q188" i="1" s="1"/>
  <c r="CS188" i="1"/>
  <c r="R188" i="1" s="1"/>
  <c r="GK188" i="1" s="1"/>
  <c r="CT188" i="1"/>
  <c r="S188" i="1" s="1"/>
  <c r="CV188" i="1"/>
  <c r="U188" i="1" s="1"/>
  <c r="CW188" i="1"/>
  <c r="V188" i="1" s="1"/>
  <c r="CX188" i="1"/>
  <c r="W188" i="1" s="1"/>
  <c r="FR188" i="1"/>
  <c r="GL188" i="1"/>
  <c r="GN188" i="1"/>
  <c r="GP188" i="1"/>
  <c r="GV188" i="1"/>
  <c r="HC188" i="1"/>
  <c r="GX188" i="1" s="1"/>
  <c r="C189" i="1"/>
  <c r="D189" i="1"/>
  <c r="I189" i="1"/>
  <c r="AB189" i="1"/>
  <c r="AC189" i="1"/>
  <c r="CQ189" i="1" s="1"/>
  <c r="P189" i="1" s="1"/>
  <c r="AE189" i="1"/>
  <c r="AD189" i="1" s="1"/>
  <c r="AF189" i="1"/>
  <c r="AG189" i="1"/>
  <c r="CU189" i="1" s="1"/>
  <c r="T189" i="1" s="1"/>
  <c r="AH189" i="1"/>
  <c r="AI189" i="1"/>
  <c r="AJ189" i="1"/>
  <c r="CX189" i="1" s="1"/>
  <c r="W189" i="1" s="1"/>
  <c r="CR189" i="1"/>
  <c r="Q189" i="1" s="1"/>
  <c r="CP189" i="1" s="1"/>
  <c r="O189" i="1" s="1"/>
  <c r="CS189" i="1"/>
  <c r="R189" i="1" s="1"/>
  <c r="GK189" i="1" s="1"/>
  <c r="CT189" i="1"/>
  <c r="S189" i="1" s="1"/>
  <c r="CV189" i="1"/>
  <c r="U189" i="1" s="1"/>
  <c r="CW189" i="1"/>
  <c r="V189" i="1" s="1"/>
  <c r="FR189" i="1"/>
  <c r="GL189" i="1"/>
  <c r="GN189" i="1"/>
  <c r="GP189" i="1"/>
  <c r="GV189" i="1"/>
  <c r="GX189" i="1"/>
  <c r="HC189" i="1"/>
  <c r="AC190" i="1"/>
  <c r="AD190" i="1"/>
  <c r="CR190" i="1" s="1"/>
  <c r="AE190" i="1"/>
  <c r="CS190" i="1" s="1"/>
  <c r="AF190" i="1"/>
  <c r="AG190" i="1"/>
  <c r="AH190" i="1"/>
  <c r="AI190" i="1"/>
  <c r="CW190" i="1" s="1"/>
  <c r="AJ190" i="1"/>
  <c r="CQ190" i="1"/>
  <c r="CT190" i="1"/>
  <c r="CU190" i="1"/>
  <c r="CV190" i="1"/>
  <c r="CX190" i="1"/>
  <c r="FR190" i="1"/>
  <c r="GL190" i="1"/>
  <c r="GN190" i="1"/>
  <c r="GP190" i="1"/>
  <c r="GV190" i="1"/>
  <c r="HC190" i="1"/>
  <c r="I191" i="1"/>
  <c r="AC191" i="1"/>
  <c r="CQ191" i="1" s="1"/>
  <c r="AE191" i="1"/>
  <c r="AD191" i="1" s="1"/>
  <c r="CR191" i="1" s="1"/>
  <c r="Q191" i="1" s="1"/>
  <c r="AF191" i="1"/>
  <c r="AG191" i="1"/>
  <c r="CU191" i="1" s="1"/>
  <c r="AH191" i="1"/>
  <c r="AI191" i="1"/>
  <c r="CW191" i="1" s="1"/>
  <c r="V191" i="1" s="1"/>
  <c r="AJ191" i="1"/>
  <c r="CS191" i="1"/>
  <c r="R191" i="1" s="1"/>
  <c r="GK191" i="1" s="1"/>
  <c r="CT191" i="1"/>
  <c r="S191" i="1" s="1"/>
  <c r="CV191" i="1"/>
  <c r="U191" i="1" s="1"/>
  <c r="CX191" i="1"/>
  <c r="W191" i="1" s="1"/>
  <c r="FR191" i="1"/>
  <c r="GL191" i="1"/>
  <c r="GN191" i="1"/>
  <c r="GP191" i="1"/>
  <c r="GV191" i="1"/>
  <c r="HC191" i="1" s="1"/>
  <c r="GX191" i="1" s="1"/>
  <c r="AC192" i="1"/>
  <c r="CQ192" i="1" s="1"/>
  <c r="AE192" i="1"/>
  <c r="CS192" i="1" s="1"/>
  <c r="AF192" i="1"/>
  <c r="AG192" i="1"/>
  <c r="AH192" i="1"/>
  <c r="AI192" i="1"/>
  <c r="CW192" i="1" s="1"/>
  <c r="AJ192" i="1"/>
  <c r="CT192" i="1"/>
  <c r="CU192" i="1"/>
  <c r="CV192" i="1"/>
  <c r="CX192" i="1"/>
  <c r="FR192" i="1"/>
  <c r="GL192" i="1"/>
  <c r="GN192" i="1"/>
  <c r="GP192" i="1"/>
  <c r="GV192" i="1"/>
  <c r="HC192" i="1" s="1"/>
  <c r="C193" i="1"/>
  <c r="D193" i="1"/>
  <c r="I193" i="1"/>
  <c r="S193" i="1"/>
  <c r="CZ193" i="1" s="1"/>
  <c r="Y193" i="1" s="1"/>
  <c r="W193" i="1"/>
  <c r="AC193" i="1"/>
  <c r="AD193" i="1"/>
  <c r="CR193" i="1" s="1"/>
  <c r="Q193" i="1" s="1"/>
  <c r="AE193" i="1"/>
  <c r="CS193" i="1" s="1"/>
  <c r="R193" i="1" s="1"/>
  <c r="AF193" i="1"/>
  <c r="AG193" i="1"/>
  <c r="AH193" i="1"/>
  <c r="AI193" i="1"/>
  <c r="CW193" i="1" s="1"/>
  <c r="V193" i="1" s="1"/>
  <c r="AJ193" i="1"/>
  <c r="CQ193" i="1"/>
  <c r="P193" i="1" s="1"/>
  <c r="CT193" i="1"/>
  <c r="CU193" i="1"/>
  <c r="T193" i="1" s="1"/>
  <c r="CV193" i="1"/>
  <c r="U193" i="1" s="1"/>
  <c r="CX193" i="1"/>
  <c r="FR193" i="1"/>
  <c r="GK193" i="1"/>
  <c r="GL193" i="1"/>
  <c r="GN193" i="1"/>
  <c r="GP193" i="1"/>
  <c r="GV193" i="1"/>
  <c r="HC193" i="1"/>
  <c r="GX193" i="1" s="1"/>
  <c r="I194" i="1"/>
  <c r="AC194" i="1"/>
  <c r="CQ194" i="1" s="1"/>
  <c r="AE194" i="1"/>
  <c r="AD194" i="1" s="1"/>
  <c r="CR194" i="1" s="1"/>
  <c r="Q194" i="1" s="1"/>
  <c r="AF194" i="1"/>
  <c r="AG194" i="1"/>
  <c r="CU194" i="1" s="1"/>
  <c r="AH194" i="1"/>
  <c r="AI194" i="1"/>
  <c r="CW194" i="1" s="1"/>
  <c r="V194" i="1" s="1"/>
  <c r="AJ194" i="1"/>
  <c r="CS194" i="1"/>
  <c r="R194" i="1" s="1"/>
  <c r="GK194" i="1" s="1"/>
  <c r="CT194" i="1"/>
  <c r="S194" i="1" s="1"/>
  <c r="CV194" i="1"/>
  <c r="U194" i="1" s="1"/>
  <c r="CX194" i="1"/>
  <c r="W194" i="1" s="1"/>
  <c r="FR194" i="1"/>
  <c r="GL194" i="1"/>
  <c r="GN194" i="1"/>
  <c r="GP194" i="1"/>
  <c r="GV194" i="1"/>
  <c r="HC194" i="1" s="1"/>
  <c r="GX194" i="1" s="1"/>
  <c r="C195" i="1"/>
  <c r="D195" i="1"/>
  <c r="I195" i="1"/>
  <c r="AC195" i="1"/>
  <c r="CQ195" i="1" s="1"/>
  <c r="P195" i="1" s="1"/>
  <c r="AE195" i="1"/>
  <c r="AD195" i="1" s="1"/>
  <c r="AF195" i="1"/>
  <c r="AG195" i="1"/>
  <c r="CU195" i="1" s="1"/>
  <c r="T195" i="1" s="1"/>
  <c r="AH195" i="1"/>
  <c r="AI195" i="1"/>
  <c r="AJ195" i="1"/>
  <c r="CR195" i="1"/>
  <c r="Q195" i="1" s="1"/>
  <c r="CS195" i="1"/>
  <c r="R195" i="1" s="1"/>
  <c r="GK195" i="1" s="1"/>
  <c r="CT195" i="1"/>
  <c r="S195" i="1" s="1"/>
  <c r="CV195" i="1"/>
  <c r="U195" i="1" s="1"/>
  <c r="CW195" i="1"/>
  <c r="V195" i="1" s="1"/>
  <c r="CX195" i="1"/>
  <c r="W195" i="1" s="1"/>
  <c r="FR195" i="1"/>
  <c r="GL195" i="1"/>
  <c r="GN195" i="1"/>
  <c r="GP195" i="1"/>
  <c r="GV195" i="1"/>
  <c r="HC195" i="1"/>
  <c r="GX195" i="1" s="1"/>
  <c r="AC196" i="1"/>
  <c r="AE196" i="1"/>
  <c r="CS196" i="1" s="1"/>
  <c r="AF196" i="1"/>
  <c r="AG196" i="1"/>
  <c r="AH196" i="1"/>
  <c r="AI196" i="1"/>
  <c r="CW196" i="1" s="1"/>
  <c r="AJ196" i="1"/>
  <c r="CQ196" i="1"/>
  <c r="CT196" i="1"/>
  <c r="CU196" i="1"/>
  <c r="CV196" i="1"/>
  <c r="CX196" i="1"/>
  <c r="FR196" i="1"/>
  <c r="GL196" i="1"/>
  <c r="GN196" i="1"/>
  <c r="GP196" i="1"/>
  <c r="GV196" i="1"/>
  <c r="HC196" i="1"/>
  <c r="C197" i="1"/>
  <c r="D197" i="1"/>
  <c r="R197" i="1"/>
  <c r="GK197" i="1" s="1"/>
  <c r="T197" i="1"/>
  <c r="AC197" i="1"/>
  <c r="AD197" i="1"/>
  <c r="AB197" i="1" s="1"/>
  <c r="AE197" i="1"/>
  <c r="AF197" i="1"/>
  <c r="CT197" i="1" s="1"/>
  <c r="S197" i="1" s="1"/>
  <c r="AG197" i="1"/>
  <c r="AH197" i="1"/>
  <c r="CV197" i="1" s="1"/>
  <c r="U197" i="1" s="1"/>
  <c r="AI197" i="1"/>
  <c r="AJ197" i="1"/>
  <c r="CX197" i="1" s="1"/>
  <c r="W197" i="1" s="1"/>
  <c r="CQ197" i="1"/>
  <c r="P197" i="1" s="1"/>
  <c r="CR197" i="1"/>
  <c r="Q197" i="1" s="1"/>
  <c r="CS197" i="1"/>
  <c r="CU197" i="1"/>
  <c r="CW197" i="1"/>
  <c r="V197" i="1" s="1"/>
  <c r="FR197" i="1"/>
  <c r="GL197" i="1"/>
  <c r="GN197" i="1"/>
  <c r="GP197" i="1"/>
  <c r="GV197" i="1"/>
  <c r="HC197" i="1" s="1"/>
  <c r="GX197" i="1" s="1"/>
  <c r="I198" i="1"/>
  <c r="R198" i="1"/>
  <c r="V198" i="1"/>
  <c r="AC198" i="1"/>
  <c r="AB198" i="1" s="1"/>
  <c r="AD198" i="1"/>
  <c r="CR198" i="1" s="1"/>
  <c r="Q198" i="1" s="1"/>
  <c r="AE198" i="1"/>
  <c r="AF198" i="1"/>
  <c r="AG198" i="1"/>
  <c r="AH198" i="1"/>
  <c r="CV198" i="1" s="1"/>
  <c r="U198" i="1" s="1"/>
  <c r="AI198" i="1"/>
  <c r="AJ198" i="1"/>
  <c r="CX198" i="1" s="1"/>
  <c r="W198" i="1" s="1"/>
  <c r="CS198" i="1"/>
  <c r="CT198" i="1"/>
  <c r="S198" i="1" s="1"/>
  <c r="CU198" i="1"/>
  <c r="T198" i="1" s="1"/>
  <c r="CW198" i="1"/>
  <c r="FR198" i="1"/>
  <c r="GK198" i="1"/>
  <c r="GL198" i="1"/>
  <c r="GN198" i="1"/>
  <c r="GP198" i="1"/>
  <c r="GV198" i="1"/>
  <c r="HC198" i="1"/>
  <c r="GX198" i="1" s="1"/>
  <c r="C199" i="1"/>
  <c r="D199" i="1"/>
  <c r="U199" i="1"/>
  <c r="W199" i="1"/>
  <c r="AC199" i="1"/>
  <c r="AB199" i="1" s="1"/>
  <c r="AD199" i="1"/>
  <c r="CR199" i="1" s="1"/>
  <c r="Q199" i="1" s="1"/>
  <c r="AE199" i="1"/>
  <c r="CS199" i="1" s="1"/>
  <c r="R199" i="1" s="1"/>
  <c r="AF199" i="1"/>
  <c r="AG199" i="1"/>
  <c r="AH199" i="1"/>
  <c r="AI199" i="1"/>
  <c r="CW199" i="1" s="1"/>
  <c r="V199" i="1" s="1"/>
  <c r="AJ199" i="1"/>
  <c r="CT199" i="1"/>
  <c r="S199" i="1" s="1"/>
  <c r="CU199" i="1"/>
  <c r="T199" i="1" s="1"/>
  <c r="CV199" i="1"/>
  <c r="CX199" i="1"/>
  <c r="FR199" i="1"/>
  <c r="GK199" i="1"/>
  <c r="GL199" i="1"/>
  <c r="GN199" i="1"/>
  <c r="GP199" i="1"/>
  <c r="GV199" i="1"/>
  <c r="HC199" i="1" s="1"/>
  <c r="GX199" i="1" s="1"/>
  <c r="I200" i="1"/>
  <c r="AC200" i="1"/>
  <c r="CQ200" i="1" s="1"/>
  <c r="P200" i="1" s="1"/>
  <c r="AE200" i="1"/>
  <c r="AD200" i="1" s="1"/>
  <c r="AF200" i="1"/>
  <c r="AG200" i="1"/>
  <c r="CU200" i="1" s="1"/>
  <c r="T200" i="1" s="1"/>
  <c r="AH200" i="1"/>
  <c r="AI200" i="1"/>
  <c r="AJ200" i="1"/>
  <c r="CR200" i="1"/>
  <c r="Q200" i="1" s="1"/>
  <c r="CS200" i="1"/>
  <c r="R200" i="1" s="1"/>
  <c r="GK200" i="1" s="1"/>
  <c r="CT200" i="1"/>
  <c r="S200" i="1" s="1"/>
  <c r="CV200" i="1"/>
  <c r="U200" i="1" s="1"/>
  <c r="CW200" i="1"/>
  <c r="V200" i="1" s="1"/>
  <c r="CX200" i="1"/>
  <c r="W200" i="1" s="1"/>
  <c r="FR200" i="1"/>
  <c r="GL200" i="1"/>
  <c r="GN200" i="1"/>
  <c r="GP200" i="1"/>
  <c r="GV200" i="1"/>
  <c r="HC200" i="1"/>
  <c r="GX200" i="1" s="1"/>
  <c r="I201" i="1"/>
  <c r="S201" i="1"/>
  <c r="CZ201" i="1" s="1"/>
  <c r="Y201" i="1" s="1"/>
  <c r="W201" i="1"/>
  <c r="AC201" i="1"/>
  <c r="AD201" i="1"/>
  <c r="CR201" i="1" s="1"/>
  <c r="Q201" i="1" s="1"/>
  <c r="AE201" i="1"/>
  <c r="CS201" i="1" s="1"/>
  <c r="R201" i="1" s="1"/>
  <c r="AF201" i="1"/>
  <c r="AG201" i="1"/>
  <c r="AH201" i="1"/>
  <c r="AI201" i="1"/>
  <c r="CW201" i="1" s="1"/>
  <c r="V201" i="1" s="1"/>
  <c r="AJ201" i="1"/>
  <c r="CQ201" i="1"/>
  <c r="P201" i="1" s="1"/>
  <c r="CP201" i="1" s="1"/>
  <c r="O201" i="1" s="1"/>
  <c r="CT201" i="1"/>
  <c r="CU201" i="1"/>
  <c r="T201" i="1" s="1"/>
  <c r="CV201" i="1"/>
  <c r="U201" i="1" s="1"/>
  <c r="CX201" i="1"/>
  <c r="FR201" i="1"/>
  <c r="GK201" i="1"/>
  <c r="GL201" i="1"/>
  <c r="GN201" i="1"/>
  <c r="GP201" i="1"/>
  <c r="GV201" i="1"/>
  <c r="HC201" i="1"/>
  <c r="GX201" i="1" s="1"/>
  <c r="I202" i="1"/>
  <c r="AC202" i="1"/>
  <c r="CQ202" i="1" s="1"/>
  <c r="AE202" i="1"/>
  <c r="AD202" i="1" s="1"/>
  <c r="CR202" i="1" s="1"/>
  <c r="Q202" i="1" s="1"/>
  <c r="AF202" i="1"/>
  <c r="AG202" i="1"/>
  <c r="CU202" i="1" s="1"/>
  <c r="AH202" i="1"/>
  <c r="AI202" i="1"/>
  <c r="CW202" i="1" s="1"/>
  <c r="V202" i="1" s="1"/>
  <c r="AJ202" i="1"/>
  <c r="CS202" i="1"/>
  <c r="R202" i="1" s="1"/>
  <c r="GK202" i="1" s="1"/>
  <c r="CT202" i="1"/>
  <c r="S202" i="1" s="1"/>
  <c r="CV202" i="1"/>
  <c r="U202" i="1" s="1"/>
  <c r="CX202" i="1"/>
  <c r="W202" i="1" s="1"/>
  <c r="FR202" i="1"/>
  <c r="GL202" i="1"/>
  <c r="GN202" i="1"/>
  <c r="GP202" i="1"/>
  <c r="GV202" i="1"/>
  <c r="HC202" i="1" s="1"/>
  <c r="GX202" i="1" s="1"/>
  <c r="C203" i="1"/>
  <c r="D203" i="1"/>
  <c r="R203" i="1"/>
  <c r="S203" i="1"/>
  <c r="CY203" i="1" s="1"/>
  <c r="X203" i="1" s="1"/>
  <c r="W203" i="1"/>
  <c r="AC203" i="1"/>
  <c r="AB203" i="1" s="1"/>
  <c r="AD203" i="1"/>
  <c r="CR203" i="1" s="1"/>
  <c r="Q203" i="1" s="1"/>
  <c r="AE203" i="1"/>
  <c r="AF203" i="1"/>
  <c r="AG203" i="1"/>
  <c r="AH203" i="1"/>
  <c r="CV203" i="1" s="1"/>
  <c r="U203" i="1" s="1"/>
  <c r="AI203" i="1"/>
  <c r="AJ203" i="1"/>
  <c r="CQ203" i="1"/>
  <c r="P203" i="1" s="1"/>
  <c r="CP203" i="1" s="1"/>
  <c r="O203" i="1" s="1"/>
  <c r="CS203" i="1"/>
  <c r="CT203" i="1"/>
  <c r="CU203" i="1"/>
  <c r="T203" i="1" s="1"/>
  <c r="CW203" i="1"/>
  <c r="V203" i="1" s="1"/>
  <c r="CX203" i="1"/>
  <c r="FR203" i="1"/>
  <c r="GK203" i="1"/>
  <c r="GL203" i="1"/>
  <c r="GN203" i="1"/>
  <c r="GP203" i="1"/>
  <c r="GV203" i="1"/>
  <c r="HC203" i="1"/>
  <c r="GX203" i="1" s="1"/>
  <c r="I204" i="1"/>
  <c r="P204" i="1" s="1"/>
  <c r="T204" i="1"/>
  <c r="AC204" i="1"/>
  <c r="AE204" i="1"/>
  <c r="AD204" i="1" s="1"/>
  <c r="AF204" i="1"/>
  <c r="CT204" i="1" s="1"/>
  <c r="S204" i="1" s="1"/>
  <c r="AG204" i="1"/>
  <c r="AH204" i="1"/>
  <c r="AI204" i="1"/>
  <c r="CW204" i="1" s="1"/>
  <c r="V204" i="1" s="1"/>
  <c r="AJ204" i="1"/>
  <c r="CX204" i="1" s="1"/>
  <c r="W204" i="1" s="1"/>
  <c r="CQ204" i="1"/>
  <c r="CU204" i="1"/>
  <c r="CV204" i="1"/>
  <c r="U204" i="1" s="1"/>
  <c r="FR204" i="1"/>
  <c r="GL204" i="1"/>
  <c r="GN204" i="1"/>
  <c r="GP204" i="1"/>
  <c r="GV204" i="1"/>
  <c r="HC204" i="1" s="1"/>
  <c r="GX204" i="1" s="1"/>
  <c r="C205" i="1"/>
  <c r="D205" i="1"/>
  <c r="AC205" i="1"/>
  <c r="CQ205" i="1" s="1"/>
  <c r="P205" i="1" s="1"/>
  <c r="AE205" i="1"/>
  <c r="AD205" i="1" s="1"/>
  <c r="AF205" i="1"/>
  <c r="CT205" i="1" s="1"/>
  <c r="S205" i="1" s="1"/>
  <c r="AG205" i="1"/>
  <c r="CU205" i="1" s="1"/>
  <c r="T205" i="1" s="1"/>
  <c r="AH205" i="1"/>
  <c r="AI205" i="1"/>
  <c r="AJ205" i="1"/>
  <c r="CX205" i="1" s="1"/>
  <c r="W205" i="1" s="1"/>
  <c r="CS205" i="1"/>
  <c r="R205" i="1" s="1"/>
  <c r="GK205" i="1" s="1"/>
  <c r="CV205" i="1"/>
  <c r="U205" i="1" s="1"/>
  <c r="CW205" i="1"/>
  <c r="V205" i="1" s="1"/>
  <c r="FR205" i="1"/>
  <c r="GL205" i="1"/>
  <c r="GN205" i="1"/>
  <c r="GP205" i="1"/>
  <c r="GV205" i="1"/>
  <c r="GX205" i="1"/>
  <c r="HC205" i="1"/>
  <c r="I206" i="1"/>
  <c r="AC206" i="1"/>
  <c r="AB206" i="1" s="1"/>
  <c r="AD206" i="1"/>
  <c r="CR206" i="1" s="1"/>
  <c r="Q206" i="1" s="1"/>
  <c r="AE206" i="1"/>
  <c r="CS206" i="1" s="1"/>
  <c r="R206" i="1" s="1"/>
  <c r="GK206" i="1" s="1"/>
  <c r="AF206" i="1"/>
  <c r="AG206" i="1"/>
  <c r="AH206" i="1"/>
  <c r="CV206" i="1" s="1"/>
  <c r="U206" i="1" s="1"/>
  <c r="AI206" i="1"/>
  <c r="CW206" i="1" s="1"/>
  <c r="V206" i="1" s="1"/>
  <c r="AJ206" i="1"/>
  <c r="CQ206" i="1"/>
  <c r="P206" i="1" s="1"/>
  <c r="CP206" i="1" s="1"/>
  <c r="O206" i="1" s="1"/>
  <c r="CT206" i="1"/>
  <c r="S206" i="1" s="1"/>
  <c r="CU206" i="1"/>
  <c r="T206" i="1" s="1"/>
  <c r="CX206" i="1"/>
  <c r="W206" i="1" s="1"/>
  <c r="FR206" i="1"/>
  <c r="GL206" i="1"/>
  <c r="GN206" i="1"/>
  <c r="GP206" i="1"/>
  <c r="GV206" i="1"/>
  <c r="HC206" i="1" s="1"/>
  <c r="GX206" i="1" s="1"/>
  <c r="C207" i="1"/>
  <c r="D207" i="1"/>
  <c r="AC207" i="1"/>
  <c r="AE207" i="1"/>
  <c r="AD207" i="1" s="1"/>
  <c r="AF207" i="1"/>
  <c r="CT207" i="1" s="1"/>
  <c r="S207" i="1" s="1"/>
  <c r="AG207" i="1"/>
  <c r="AH207" i="1"/>
  <c r="AI207" i="1"/>
  <c r="CW207" i="1" s="1"/>
  <c r="V207" i="1" s="1"/>
  <c r="AJ207" i="1"/>
  <c r="CX207" i="1" s="1"/>
  <c r="W207" i="1" s="1"/>
  <c r="CQ207" i="1"/>
  <c r="P207" i="1" s="1"/>
  <c r="CU207" i="1"/>
  <c r="T207" i="1" s="1"/>
  <c r="CV207" i="1"/>
  <c r="U207" i="1" s="1"/>
  <c r="FR207" i="1"/>
  <c r="GL207" i="1"/>
  <c r="GN207" i="1"/>
  <c r="GO207" i="1"/>
  <c r="GV207" i="1"/>
  <c r="HC207" i="1" s="1"/>
  <c r="GX207" i="1" s="1"/>
  <c r="C208" i="1"/>
  <c r="D208" i="1"/>
  <c r="I208" i="1"/>
  <c r="AC208" i="1"/>
  <c r="AE208" i="1"/>
  <c r="AD208" i="1" s="1"/>
  <c r="AF208" i="1"/>
  <c r="CT208" i="1" s="1"/>
  <c r="S208" i="1" s="1"/>
  <c r="AG208" i="1"/>
  <c r="AH208" i="1"/>
  <c r="AI208" i="1"/>
  <c r="CW208" i="1" s="1"/>
  <c r="V208" i="1" s="1"/>
  <c r="AJ208" i="1"/>
  <c r="CX208" i="1" s="1"/>
  <c r="W208" i="1" s="1"/>
  <c r="CQ208" i="1"/>
  <c r="P208" i="1" s="1"/>
  <c r="CU208" i="1"/>
  <c r="T208" i="1" s="1"/>
  <c r="CV208" i="1"/>
  <c r="U208" i="1" s="1"/>
  <c r="FR208" i="1"/>
  <c r="GL208" i="1"/>
  <c r="GN208" i="1"/>
  <c r="GO208" i="1"/>
  <c r="GV208" i="1"/>
  <c r="HC208" i="1" s="1"/>
  <c r="GX208" i="1" s="1"/>
  <c r="C209" i="1"/>
  <c r="D209" i="1"/>
  <c r="AC209" i="1"/>
  <c r="CQ209" i="1" s="1"/>
  <c r="P209" i="1" s="1"/>
  <c r="AE209" i="1"/>
  <c r="AD209" i="1" s="1"/>
  <c r="AF209" i="1"/>
  <c r="CT209" i="1" s="1"/>
  <c r="S209" i="1" s="1"/>
  <c r="AG209" i="1"/>
  <c r="CU209" i="1" s="1"/>
  <c r="T209" i="1" s="1"/>
  <c r="AH209" i="1"/>
  <c r="AI209" i="1"/>
  <c r="AJ209" i="1"/>
  <c r="CX209" i="1" s="1"/>
  <c r="W209" i="1" s="1"/>
  <c r="CS209" i="1"/>
  <c r="R209" i="1" s="1"/>
  <c r="GK209" i="1" s="1"/>
  <c r="CV209" i="1"/>
  <c r="U209" i="1" s="1"/>
  <c r="CW209" i="1"/>
  <c r="V209" i="1" s="1"/>
  <c r="FR209" i="1"/>
  <c r="GL209" i="1"/>
  <c r="GN209" i="1"/>
  <c r="GO209" i="1"/>
  <c r="GV209" i="1"/>
  <c r="GX209" i="1"/>
  <c r="HC209" i="1"/>
  <c r="C210" i="1"/>
  <c r="D210" i="1"/>
  <c r="AC210" i="1"/>
  <c r="AB210" i="1" s="1"/>
  <c r="AD210" i="1"/>
  <c r="CR210" i="1" s="1"/>
  <c r="Q210" i="1" s="1"/>
  <c r="AE210" i="1"/>
  <c r="AF210" i="1"/>
  <c r="AG210" i="1"/>
  <c r="CU210" i="1" s="1"/>
  <c r="T210" i="1" s="1"/>
  <c r="AH210" i="1"/>
  <c r="CV210" i="1" s="1"/>
  <c r="U210" i="1" s="1"/>
  <c r="AI210" i="1"/>
  <c r="AJ210" i="1"/>
  <c r="CS210" i="1"/>
  <c r="R210" i="1" s="1"/>
  <c r="GK210" i="1" s="1"/>
  <c r="CT210" i="1"/>
  <c r="S210" i="1" s="1"/>
  <c r="CW210" i="1"/>
  <c r="V210" i="1" s="1"/>
  <c r="CX210" i="1"/>
  <c r="W210" i="1" s="1"/>
  <c r="FR210" i="1"/>
  <c r="GL210" i="1"/>
  <c r="GN210" i="1"/>
  <c r="GO210" i="1"/>
  <c r="GV210" i="1"/>
  <c r="HC210" i="1"/>
  <c r="GX210" i="1" s="1"/>
  <c r="B212" i="1"/>
  <c r="B157" i="1" s="1"/>
  <c r="C212" i="1"/>
  <c r="C157" i="1" s="1"/>
  <c r="D212" i="1"/>
  <c r="D157" i="1" s="1"/>
  <c r="F212" i="1"/>
  <c r="F157" i="1" s="1"/>
  <c r="G212" i="1"/>
  <c r="G157" i="1" s="1"/>
  <c r="AO212" i="1"/>
  <c r="AO157" i="1" s="1"/>
  <c r="BX212" i="1"/>
  <c r="BX157" i="1" s="1"/>
  <c r="BY212" i="1"/>
  <c r="BY157" i="1" s="1"/>
  <c r="BZ212" i="1"/>
  <c r="BZ157" i="1" s="1"/>
  <c r="CG212" i="1"/>
  <c r="CG157" i="1" s="1"/>
  <c r="CK212" i="1"/>
  <c r="CK157" i="1" s="1"/>
  <c r="CL212" i="1"/>
  <c r="CL157" i="1" s="1"/>
  <c r="F216" i="1"/>
  <c r="D244" i="1"/>
  <c r="E246" i="1"/>
  <c r="Z246" i="1"/>
  <c r="AA246" i="1"/>
  <c r="AM246" i="1"/>
  <c r="AN246" i="1"/>
  <c r="BD246" i="1"/>
  <c r="BE246" i="1"/>
  <c r="BF246" i="1"/>
  <c r="BG246" i="1"/>
  <c r="BH246" i="1"/>
  <c r="BI246" i="1"/>
  <c r="BJ246" i="1"/>
  <c r="BK246" i="1"/>
  <c r="BL246" i="1"/>
  <c r="BM246" i="1"/>
  <c r="BN246" i="1"/>
  <c r="BO246" i="1"/>
  <c r="BP246" i="1"/>
  <c r="BQ246" i="1"/>
  <c r="BR246" i="1"/>
  <c r="BS246" i="1"/>
  <c r="BT246" i="1"/>
  <c r="BU246" i="1"/>
  <c r="BV246" i="1"/>
  <c r="BW246" i="1"/>
  <c r="CM246" i="1"/>
  <c r="CN246" i="1"/>
  <c r="CO246" i="1"/>
  <c r="CP246" i="1"/>
  <c r="CQ246" i="1"/>
  <c r="CR246" i="1"/>
  <c r="CS246" i="1"/>
  <c r="CT246" i="1"/>
  <c r="CU246" i="1"/>
  <c r="CV246" i="1"/>
  <c r="CW246" i="1"/>
  <c r="CX246" i="1"/>
  <c r="CY246" i="1"/>
  <c r="CZ246" i="1"/>
  <c r="DA246" i="1"/>
  <c r="DB246" i="1"/>
  <c r="DC246" i="1"/>
  <c r="DD246" i="1"/>
  <c r="DE246" i="1"/>
  <c r="DF246" i="1"/>
  <c r="DG246" i="1"/>
  <c r="DH246" i="1"/>
  <c r="DI246" i="1"/>
  <c r="DJ246" i="1"/>
  <c r="DK246" i="1"/>
  <c r="DL246" i="1"/>
  <c r="DM246" i="1"/>
  <c r="DN246" i="1"/>
  <c r="DO246" i="1"/>
  <c r="DP246" i="1"/>
  <c r="DQ246" i="1"/>
  <c r="DR246" i="1"/>
  <c r="DS246" i="1"/>
  <c r="DT246" i="1"/>
  <c r="DU246" i="1"/>
  <c r="DV246" i="1"/>
  <c r="DW246" i="1"/>
  <c r="DX246" i="1"/>
  <c r="DY246" i="1"/>
  <c r="DZ246" i="1"/>
  <c r="EA246" i="1"/>
  <c r="EB246" i="1"/>
  <c r="EC246" i="1"/>
  <c r="ED246" i="1"/>
  <c r="EE246" i="1"/>
  <c r="EF246" i="1"/>
  <c r="EG246" i="1"/>
  <c r="EH246" i="1"/>
  <c r="EI246" i="1"/>
  <c r="EJ246" i="1"/>
  <c r="EK246" i="1"/>
  <c r="EL246" i="1"/>
  <c r="EM246" i="1"/>
  <c r="EN246" i="1"/>
  <c r="EO246" i="1"/>
  <c r="EP246" i="1"/>
  <c r="EQ246" i="1"/>
  <c r="ER246" i="1"/>
  <c r="ES246" i="1"/>
  <c r="ET246" i="1"/>
  <c r="EU246" i="1"/>
  <c r="EV246" i="1"/>
  <c r="EW246" i="1"/>
  <c r="EX246" i="1"/>
  <c r="EY246" i="1"/>
  <c r="EZ246" i="1"/>
  <c r="FA246" i="1"/>
  <c r="FB246" i="1"/>
  <c r="FC246" i="1"/>
  <c r="FD246" i="1"/>
  <c r="FE246" i="1"/>
  <c r="FF246" i="1"/>
  <c r="FG246" i="1"/>
  <c r="FH246" i="1"/>
  <c r="FI246" i="1"/>
  <c r="FJ246" i="1"/>
  <c r="FK246" i="1"/>
  <c r="FL246" i="1"/>
  <c r="FM246" i="1"/>
  <c r="FN246" i="1"/>
  <c r="FO246" i="1"/>
  <c r="FP246" i="1"/>
  <c r="FQ246" i="1"/>
  <c r="FR246" i="1"/>
  <c r="FS246" i="1"/>
  <c r="FT246" i="1"/>
  <c r="FU246" i="1"/>
  <c r="FV246" i="1"/>
  <c r="FW246" i="1"/>
  <c r="FX246" i="1"/>
  <c r="FY246" i="1"/>
  <c r="FZ246" i="1"/>
  <c r="GA246" i="1"/>
  <c r="GB246" i="1"/>
  <c r="GC246" i="1"/>
  <c r="GD246" i="1"/>
  <c r="GE246" i="1"/>
  <c r="GF246" i="1"/>
  <c r="GG246" i="1"/>
  <c r="GH246" i="1"/>
  <c r="GI246" i="1"/>
  <c r="GJ246" i="1"/>
  <c r="GK246" i="1"/>
  <c r="GL246" i="1"/>
  <c r="GM246" i="1"/>
  <c r="GN246" i="1"/>
  <c r="GO246" i="1"/>
  <c r="GP246" i="1"/>
  <c r="GQ246" i="1"/>
  <c r="GR246" i="1"/>
  <c r="GS246" i="1"/>
  <c r="GT246" i="1"/>
  <c r="GU246" i="1"/>
  <c r="GV246" i="1"/>
  <c r="GW246" i="1"/>
  <c r="GX246" i="1"/>
  <c r="C248" i="1"/>
  <c r="D248" i="1"/>
  <c r="I248" i="1"/>
  <c r="AC248" i="1"/>
  <c r="CQ248" i="1" s="1"/>
  <c r="P248" i="1" s="1"/>
  <c r="AE248" i="1"/>
  <c r="AD248" i="1" s="1"/>
  <c r="AF248" i="1"/>
  <c r="CT248" i="1" s="1"/>
  <c r="S248" i="1" s="1"/>
  <c r="AG248" i="1"/>
  <c r="CU248" i="1" s="1"/>
  <c r="T248" i="1" s="1"/>
  <c r="AH248" i="1"/>
  <c r="AI248" i="1"/>
  <c r="AJ248" i="1"/>
  <c r="CX248" i="1" s="1"/>
  <c r="W248" i="1" s="1"/>
  <c r="CS248" i="1"/>
  <c r="R248" i="1" s="1"/>
  <c r="GK248" i="1" s="1"/>
  <c r="CV248" i="1"/>
  <c r="U248" i="1" s="1"/>
  <c r="CW248" i="1"/>
  <c r="V248" i="1" s="1"/>
  <c r="FR248" i="1"/>
  <c r="GL248" i="1"/>
  <c r="GO248" i="1"/>
  <c r="GP248" i="1"/>
  <c r="GV248" i="1"/>
  <c r="GX248" i="1"/>
  <c r="HC248" i="1"/>
  <c r="C249" i="1"/>
  <c r="D249" i="1"/>
  <c r="I249" i="1"/>
  <c r="I250" i="1" s="1"/>
  <c r="AC249" i="1"/>
  <c r="CQ249" i="1" s="1"/>
  <c r="P249" i="1" s="1"/>
  <c r="AE249" i="1"/>
  <c r="AD249" i="1" s="1"/>
  <c r="AF249" i="1"/>
  <c r="CT249" i="1" s="1"/>
  <c r="S249" i="1" s="1"/>
  <c r="AG249" i="1"/>
  <c r="CU249" i="1" s="1"/>
  <c r="T249" i="1" s="1"/>
  <c r="AH249" i="1"/>
  <c r="AI249" i="1"/>
  <c r="AJ249" i="1"/>
  <c r="CX249" i="1" s="1"/>
  <c r="W249" i="1" s="1"/>
  <c r="CS249" i="1"/>
  <c r="R249" i="1" s="1"/>
  <c r="GK249" i="1" s="1"/>
  <c r="CV249" i="1"/>
  <c r="U249" i="1" s="1"/>
  <c r="CW249" i="1"/>
  <c r="V249" i="1" s="1"/>
  <c r="FR249" i="1"/>
  <c r="GL249" i="1"/>
  <c r="GN249" i="1"/>
  <c r="GP249" i="1"/>
  <c r="GV249" i="1"/>
  <c r="GX249" i="1"/>
  <c r="HC249" i="1"/>
  <c r="AC250" i="1"/>
  <c r="AB250" i="1" s="1"/>
  <c r="AD250" i="1"/>
  <c r="CR250" i="1" s="1"/>
  <c r="AE250" i="1"/>
  <c r="CS250" i="1" s="1"/>
  <c r="R250" i="1" s="1"/>
  <c r="GK250" i="1" s="1"/>
  <c r="AF250" i="1"/>
  <c r="AG250" i="1"/>
  <c r="AH250" i="1"/>
  <c r="CV250" i="1" s="1"/>
  <c r="AI250" i="1"/>
  <c r="CW250" i="1" s="1"/>
  <c r="V250" i="1" s="1"/>
  <c r="AJ250" i="1"/>
  <c r="CQ250" i="1"/>
  <c r="CT250" i="1"/>
  <c r="CU250" i="1"/>
  <c r="T250" i="1" s="1"/>
  <c r="CX250" i="1"/>
  <c r="FR250" i="1"/>
  <c r="GL250" i="1"/>
  <c r="GN250" i="1"/>
  <c r="GP250" i="1"/>
  <c r="GV250" i="1"/>
  <c r="HC250" i="1" s="1"/>
  <c r="C251" i="1"/>
  <c r="D251" i="1"/>
  <c r="I251" i="1"/>
  <c r="AC251" i="1"/>
  <c r="AB251" i="1" s="1"/>
  <c r="AD251" i="1"/>
  <c r="CR251" i="1" s="1"/>
  <c r="Q251" i="1" s="1"/>
  <c r="AE251" i="1"/>
  <c r="CS251" i="1" s="1"/>
  <c r="R251" i="1" s="1"/>
  <c r="GK251" i="1" s="1"/>
  <c r="AF251" i="1"/>
  <c r="AG251" i="1"/>
  <c r="AH251" i="1"/>
  <c r="CV251" i="1" s="1"/>
  <c r="U251" i="1" s="1"/>
  <c r="AI251" i="1"/>
  <c r="CW251" i="1" s="1"/>
  <c r="V251" i="1" s="1"/>
  <c r="AJ251" i="1"/>
  <c r="CQ251" i="1"/>
  <c r="P251" i="1" s="1"/>
  <c r="CT251" i="1"/>
  <c r="S251" i="1" s="1"/>
  <c r="CU251" i="1"/>
  <c r="T251" i="1" s="1"/>
  <c r="CX251" i="1"/>
  <c r="W251" i="1" s="1"/>
  <c r="FR251" i="1"/>
  <c r="GL251" i="1"/>
  <c r="GO251" i="1"/>
  <c r="GP251" i="1"/>
  <c r="GV251" i="1"/>
  <c r="HC251" i="1" s="1"/>
  <c r="GX251" i="1" s="1"/>
  <c r="C252" i="1"/>
  <c r="D252" i="1"/>
  <c r="I252" i="1"/>
  <c r="AC252" i="1"/>
  <c r="AB252" i="1" s="1"/>
  <c r="AD252" i="1"/>
  <c r="CR252" i="1" s="1"/>
  <c r="Q252" i="1" s="1"/>
  <c r="AE252" i="1"/>
  <c r="CS252" i="1" s="1"/>
  <c r="R252" i="1" s="1"/>
  <c r="GK252" i="1" s="1"/>
  <c r="AF252" i="1"/>
  <c r="AG252" i="1"/>
  <c r="AH252" i="1"/>
  <c r="CV252" i="1" s="1"/>
  <c r="U252" i="1" s="1"/>
  <c r="AI252" i="1"/>
  <c r="CW252" i="1" s="1"/>
  <c r="V252" i="1" s="1"/>
  <c r="AJ252" i="1"/>
  <c r="CQ252" i="1"/>
  <c r="P252" i="1" s="1"/>
  <c r="CT252" i="1"/>
  <c r="S252" i="1" s="1"/>
  <c r="CU252" i="1"/>
  <c r="T252" i="1" s="1"/>
  <c r="CX252" i="1"/>
  <c r="W252" i="1" s="1"/>
  <c r="FR252" i="1"/>
  <c r="GL252" i="1"/>
  <c r="GO252" i="1"/>
  <c r="GP252" i="1"/>
  <c r="GV252" i="1"/>
  <c r="HC252" i="1" s="1"/>
  <c r="GX252" i="1" s="1"/>
  <c r="I253" i="1"/>
  <c r="AC253" i="1"/>
  <c r="CQ253" i="1" s="1"/>
  <c r="P253" i="1" s="1"/>
  <c r="AE253" i="1"/>
  <c r="AD253" i="1" s="1"/>
  <c r="AF253" i="1"/>
  <c r="CT253" i="1" s="1"/>
  <c r="S253" i="1" s="1"/>
  <c r="AG253" i="1"/>
  <c r="CU253" i="1" s="1"/>
  <c r="T253" i="1" s="1"/>
  <c r="AH253" i="1"/>
  <c r="AI253" i="1"/>
  <c r="AJ253" i="1"/>
  <c r="CX253" i="1" s="1"/>
  <c r="W253" i="1" s="1"/>
  <c r="CS253" i="1"/>
  <c r="R253" i="1" s="1"/>
  <c r="GK253" i="1" s="1"/>
  <c r="CV253" i="1"/>
  <c r="U253" i="1" s="1"/>
  <c r="CW253" i="1"/>
  <c r="V253" i="1" s="1"/>
  <c r="FR253" i="1"/>
  <c r="GL253" i="1"/>
  <c r="GO253" i="1"/>
  <c r="GP253" i="1"/>
  <c r="GV253" i="1"/>
  <c r="GX253" i="1"/>
  <c r="HC253" i="1"/>
  <c r="I254" i="1"/>
  <c r="P254" i="1"/>
  <c r="AC254" i="1"/>
  <c r="AD254" i="1"/>
  <c r="CR254" i="1" s="1"/>
  <c r="Q254" i="1" s="1"/>
  <c r="AE254" i="1"/>
  <c r="CS254" i="1" s="1"/>
  <c r="R254" i="1" s="1"/>
  <c r="GK254" i="1" s="1"/>
  <c r="AF254" i="1"/>
  <c r="AG254" i="1"/>
  <c r="AH254" i="1"/>
  <c r="CV254" i="1" s="1"/>
  <c r="U254" i="1" s="1"/>
  <c r="AI254" i="1"/>
  <c r="CW254" i="1" s="1"/>
  <c r="V254" i="1" s="1"/>
  <c r="AJ254" i="1"/>
  <c r="CQ254" i="1"/>
  <c r="CT254" i="1"/>
  <c r="S254" i="1" s="1"/>
  <c r="CY254" i="1" s="1"/>
  <c r="X254" i="1" s="1"/>
  <c r="CU254" i="1"/>
  <c r="T254" i="1" s="1"/>
  <c r="CX254" i="1"/>
  <c r="W254" i="1" s="1"/>
  <c r="FR254" i="1"/>
  <c r="GL254" i="1"/>
  <c r="GO254" i="1"/>
  <c r="GP254" i="1"/>
  <c r="GV254" i="1"/>
  <c r="HC254" i="1" s="1"/>
  <c r="GX254" i="1" s="1"/>
  <c r="I255" i="1"/>
  <c r="AB255" i="1"/>
  <c r="AC255" i="1"/>
  <c r="CQ255" i="1" s="1"/>
  <c r="P255" i="1" s="1"/>
  <c r="AE255" i="1"/>
  <c r="AD255" i="1" s="1"/>
  <c r="CR255" i="1" s="1"/>
  <c r="AF255" i="1"/>
  <c r="CT255" i="1" s="1"/>
  <c r="AG255" i="1"/>
  <c r="CU255" i="1" s="1"/>
  <c r="AH255" i="1"/>
  <c r="AI255" i="1"/>
  <c r="AJ255" i="1"/>
  <c r="CX255" i="1" s="1"/>
  <c r="CS255" i="1"/>
  <c r="R255" i="1" s="1"/>
  <c r="CV255" i="1"/>
  <c r="U255" i="1" s="1"/>
  <c r="CW255" i="1"/>
  <c r="V255" i="1" s="1"/>
  <c r="FR255" i="1"/>
  <c r="GL255" i="1"/>
  <c r="GO255" i="1"/>
  <c r="GP255" i="1"/>
  <c r="GV255" i="1"/>
  <c r="GX255" i="1"/>
  <c r="HC255" i="1"/>
  <c r="C256" i="1"/>
  <c r="D256" i="1"/>
  <c r="I256" i="1"/>
  <c r="AB256" i="1"/>
  <c r="AC256" i="1"/>
  <c r="CQ256" i="1" s="1"/>
  <c r="P256" i="1" s="1"/>
  <c r="AE256" i="1"/>
  <c r="AD256" i="1" s="1"/>
  <c r="CR256" i="1" s="1"/>
  <c r="AF256" i="1"/>
  <c r="CT256" i="1" s="1"/>
  <c r="AG256" i="1"/>
  <c r="CU256" i="1" s="1"/>
  <c r="AH256" i="1"/>
  <c r="AI256" i="1"/>
  <c r="AJ256" i="1"/>
  <c r="CX256" i="1" s="1"/>
  <c r="CS256" i="1"/>
  <c r="R256" i="1" s="1"/>
  <c r="GK256" i="1" s="1"/>
  <c r="CV256" i="1"/>
  <c r="U256" i="1" s="1"/>
  <c r="CW256" i="1"/>
  <c r="V256" i="1" s="1"/>
  <c r="FR256" i="1"/>
  <c r="GL256" i="1"/>
  <c r="GO256" i="1"/>
  <c r="GP256" i="1"/>
  <c r="GV256" i="1"/>
  <c r="GX256" i="1"/>
  <c r="HC256" i="1"/>
  <c r="AC257" i="1"/>
  <c r="AB257" i="1" s="1"/>
  <c r="AD257" i="1"/>
  <c r="CR257" i="1" s="1"/>
  <c r="AE257" i="1"/>
  <c r="CS257" i="1" s="1"/>
  <c r="AF257" i="1"/>
  <c r="AG257" i="1"/>
  <c r="AH257" i="1"/>
  <c r="CV257" i="1" s="1"/>
  <c r="AI257" i="1"/>
  <c r="CW257" i="1" s="1"/>
  <c r="AJ257" i="1"/>
  <c r="CQ257" i="1"/>
  <c r="CT257" i="1"/>
  <c r="CU257" i="1"/>
  <c r="CX257" i="1"/>
  <c r="FR257" i="1"/>
  <c r="GL257" i="1"/>
  <c r="GO257" i="1"/>
  <c r="GP257" i="1"/>
  <c r="GV257" i="1"/>
  <c r="HC257" i="1" s="1"/>
  <c r="AC258" i="1"/>
  <c r="CQ258" i="1" s="1"/>
  <c r="AE258" i="1"/>
  <c r="AD258" i="1" s="1"/>
  <c r="CR258" i="1" s="1"/>
  <c r="AF258" i="1"/>
  <c r="CT258" i="1" s="1"/>
  <c r="AG258" i="1"/>
  <c r="CU258" i="1" s="1"/>
  <c r="AH258" i="1"/>
  <c r="AI258" i="1"/>
  <c r="AJ258" i="1"/>
  <c r="CX258" i="1" s="1"/>
  <c r="CS258" i="1"/>
  <c r="CV258" i="1"/>
  <c r="CW258" i="1"/>
  <c r="FR258" i="1"/>
  <c r="GL258" i="1"/>
  <c r="GO258" i="1"/>
  <c r="GP258" i="1"/>
  <c r="GV258" i="1"/>
  <c r="HC258" i="1"/>
  <c r="AC259" i="1"/>
  <c r="AB259" i="1" s="1"/>
  <c r="AD259" i="1"/>
  <c r="CR259" i="1" s="1"/>
  <c r="AE259" i="1"/>
  <c r="CS259" i="1" s="1"/>
  <c r="AF259" i="1"/>
  <c r="AG259" i="1"/>
  <c r="AH259" i="1"/>
  <c r="CV259" i="1" s="1"/>
  <c r="AI259" i="1"/>
  <c r="CW259" i="1" s="1"/>
  <c r="AJ259" i="1"/>
  <c r="CQ259" i="1"/>
  <c r="CT259" i="1"/>
  <c r="CU259" i="1"/>
  <c r="CX259" i="1"/>
  <c r="FR259" i="1"/>
  <c r="GL259" i="1"/>
  <c r="GO259" i="1"/>
  <c r="GP259" i="1"/>
  <c r="CD286" i="1" s="1"/>
  <c r="GV259" i="1"/>
  <c r="HC259" i="1" s="1"/>
  <c r="C260" i="1"/>
  <c r="D260" i="1"/>
  <c r="I260" i="1"/>
  <c r="X260" i="1"/>
  <c r="AC260" i="1"/>
  <c r="AB260" i="1" s="1"/>
  <c r="AD260" i="1"/>
  <c r="AE260" i="1"/>
  <c r="CS260" i="1" s="1"/>
  <c r="R260" i="1" s="1"/>
  <c r="GK260" i="1" s="1"/>
  <c r="AF260" i="1"/>
  <c r="AG260" i="1"/>
  <c r="AH260" i="1"/>
  <c r="AI260" i="1"/>
  <c r="CW260" i="1" s="1"/>
  <c r="V260" i="1" s="1"/>
  <c r="AJ260" i="1"/>
  <c r="CQ260" i="1"/>
  <c r="P260" i="1" s="1"/>
  <c r="CP260" i="1" s="1"/>
  <c r="O260" i="1" s="1"/>
  <c r="CR260" i="1"/>
  <c r="Q260" i="1" s="1"/>
  <c r="CT260" i="1"/>
  <c r="S260" i="1" s="1"/>
  <c r="CU260" i="1"/>
  <c r="T260" i="1" s="1"/>
  <c r="CV260" i="1"/>
  <c r="U260" i="1" s="1"/>
  <c r="CX260" i="1"/>
  <c r="W260" i="1" s="1"/>
  <c r="CY260" i="1"/>
  <c r="CZ260" i="1"/>
  <c r="Y260" i="1" s="1"/>
  <c r="FR260" i="1"/>
  <c r="GL260" i="1"/>
  <c r="GO260" i="1"/>
  <c r="GP260" i="1"/>
  <c r="GV260" i="1"/>
  <c r="HC260" i="1" s="1"/>
  <c r="GX260" i="1" s="1"/>
  <c r="I261" i="1"/>
  <c r="R261" i="1"/>
  <c r="GK261" i="1" s="1"/>
  <c r="AB261" i="1"/>
  <c r="AC261" i="1"/>
  <c r="CQ261" i="1" s="1"/>
  <c r="P261" i="1" s="1"/>
  <c r="AE261" i="1"/>
  <c r="AD261" i="1" s="1"/>
  <c r="CR261" i="1" s="1"/>
  <c r="Q261" i="1" s="1"/>
  <c r="AF261" i="1"/>
  <c r="CT261" i="1" s="1"/>
  <c r="S261" i="1" s="1"/>
  <c r="AG261" i="1"/>
  <c r="CU261" i="1" s="1"/>
  <c r="T261" i="1" s="1"/>
  <c r="AH261" i="1"/>
  <c r="AI261" i="1"/>
  <c r="AJ261" i="1"/>
  <c r="CX261" i="1" s="1"/>
  <c r="W261" i="1" s="1"/>
  <c r="CS261" i="1"/>
  <c r="CV261" i="1"/>
  <c r="U261" i="1" s="1"/>
  <c r="CW261" i="1"/>
  <c r="V261" i="1" s="1"/>
  <c r="FR261" i="1"/>
  <c r="GL261" i="1"/>
  <c r="GO261" i="1"/>
  <c r="GP261" i="1"/>
  <c r="GV261" i="1"/>
  <c r="GX261" i="1"/>
  <c r="HC261" i="1"/>
  <c r="C262" i="1"/>
  <c r="D262" i="1"/>
  <c r="I262" i="1"/>
  <c r="I264" i="1" s="1"/>
  <c r="S262" i="1"/>
  <c r="AC262" i="1"/>
  <c r="CQ262" i="1" s="1"/>
  <c r="P262" i="1" s="1"/>
  <c r="CP262" i="1" s="1"/>
  <c r="O262" i="1" s="1"/>
  <c r="AE262" i="1"/>
  <c r="AD262" i="1" s="1"/>
  <c r="CR262" i="1" s="1"/>
  <c r="Q262" i="1" s="1"/>
  <c r="AF262" i="1"/>
  <c r="AG262" i="1"/>
  <c r="CU262" i="1" s="1"/>
  <c r="T262" i="1" s="1"/>
  <c r="AH262" i="1"/>
  <c r="AI262" i="1"/>
  <c r="AJ262" i="1"/>
  <c r="CS262" i="1"/>
  <c r="R262" i="1" s="1"/>
  <c r="GK262" i="1" s="1"/>
  <c r="CT262" i="1"/>
  <c r="CV262" i="1"/>
  <c r="CW262" i="1"/>
  <c r="V262" i="1" s="1"/>
  <c r="CX262" i="1"/>
  <c r="W262" i="1" s="1"/>
  <c r="FR262" i="1"/>
  <c r="GL262" i="1"/>
  <c r="GO262" i="1"/>
  <c r="GP262" i="1"/>
  <c r="GV262" i="1"/>
  <c r="GX262" i="1"/>
  <c r="HC262" i="1"/>
  <c r="AC263" i="1"/>
  <c r="AB263" i="1" s="1"/>
  <c r="AD263" i="1"/>
  <c r="AE263" i="1"/>
  <c r="CS263" i="1" s="1"/>
  <c r="AF263" i="1"/>
  <c r="AG263" i="1"/>
  <c r="AH263" i="1"/>
  <c r="AI263" i="1"/>
  <c r="CW263" i="1" s="1"/>
  <c r="AJ263" i="1"/>
  <c r="CQ263" i="1"/>
  <c r="CR263" i="1"/>
  <c r="CT263" i="1"/>
  <c r="CU263" i="1"/>
  <c r="CV263" i="1"/>
  <c r="CX263" i="1"/>
  <c r="FR263" i="1"/>
  <c r="GL263" i="1"/>
  <c r="GO263" i="1"/>
  <c r="GP263" i="1"/>
  <c r="GV263" i="1"/>
  <c r="HC263" i="1" s="1"/>
  <c r="AB264" i="1"/>
  <c r="AC264" i="1"/>
  <c r="CQ264" i="1" s="1"/>
  <c r="AE264" i="1"/>
  <c r="AD264" i="1" s="1"/>
  <c r="CR264" i="1" s="1"/>
  <c r="AF264" i="1"/>
  <c r="CT264" i="1" s="1"/>
  <c r="S264" i="1" s="1"/>
  <c r="AG264" i="1"/>
  <c r="CU264" i="1" s="1"/>
  <c r="AH264" i="1"/>
  <c r="AI264" i="1"/>
  <c r="AJ264" i="1"/>
  <c r="CS264" i="1"/>
  <c r="CV264" i="1"/>
  <c r="CW264" i="1"/>
  <c r="CX264" i="1"/>
  <c r="W264" i="1" s="1"/>
  <c r="FR264" i="1"/>
  <c r="GL264" i="1"/>
  <c r="GO264" i="1"/>
  <c r="GP264" i="1"/>
  <c r="GV264" i="1"/>
  <c r="HC264" i="1"/>
  <c r="AC265" i="1"/>
  <c r="AE265" i="1"/>
  <c r="CS265" i="1" s="1"/>
  <c r="AF265" i="1"/>
  <c r="AG265" i="1"/>
  <c r="AH265" i="1"/>
  <c r="AI265" i="1"/>
  <c r="CW265" i="1" s="1"/>
  <c r="AJ265" i="1"/>
  <c r="CQ265" i="1"/>
  <c r="CT265" i="1"/>
  <c r="CU265" i="1"/>
  <c r="CV265" i="1"/>
  <c r="CX265" i="1"/>
  <c r="FR265" i="1"/>
  <c r="GL265" i="1"/>
  <c r="GO265" i="1"/>
  <c r="GP265" i="1"/>
  <c r="GV265" i="1"/>
  <c r="HC265" i="1" s="1"/>
  <c r="I266" i="1"/>
  <c r="R266" i="1"/>
  <c r="AC266" i="1"/>
  <c r="CQ266" i="1" s="1"/>
  <c r="AE266" i="1"/>
  <c r="AD266" i="1" s="1"/>
  <c r="CR266" i="1" s="1"/>
  <c r="Q266" i="1" s="1"/>
  <c r="AF266" i="1"/>
  <c r="CT266" i="1" s="1"/>
  <c r="S266" i="1" s="1"/>
  <c r="AG266" i="1"/>
  <c r="CU266" i="1" s="1"/>
  <c r="T266" i="1" s="1"/>
  <c r="AH266" i="1"/>
  <c r="AI266" i="1"/>
  <c r="AJ266" i="1"/>
  <c r="CX266" i="1" s="1"/>
  <c r="W266" i="1" s="1"/>
  <c r="CS266" i="1"/>
  <c r="CV266" i="1"/>
  <c r="U266" i="1" s="1"/>
  <c r="CW266" i="1"/>
  <c r="V266" i="1" s="1"/>
  <c r="FR266" i="1"/>
  <c r="GK266" i="1"/>
  <c r="GL266" i="1"/>
  <c r="GO266" i="1"/>
  <c r="GP266" i="1"/>
  <c r="GV266" i="1"/>
  <c r="HC266" i="1"/>
  <c r="GX266" i="1" s="1"/>
  <c r="AC267" i="1"/>
  <c r="AE267" i="1"/>
  <c r="CS267" i="1" s="1"/>
  <c r="AF267" i="1"/>
  <c r="AG267" i="1"/>
  <c r="AH267" i="1"/>
  <c r="CV267" i="1" s="1"/>
  <c r="AI267" i="1"/>
  <c r="CW267" i="1" s="1"/>
  <c r="AJ267" i="1"/>
  <c r="CQ267" i="1"/>
  <c r="CT267" i="1"/>
  <c r="CU267" i="1"/>
  <c r="CX267" i="1"/>
  <c r="FR267" i="1"/>
  <c r="GL267" i="1"/>
  <c r="BZ286" i="1" s="1"/>
  <c r="GO267" i="1"/>
  <c r="GP267" i="1"/>
  <c r="GV267" i="1"/>
  <c r="HC267" i="1" s="1"/>
  <c r="I268" i="1"/>
  <c r="V268" i="1"/>
  <c r="AC268" i="1"/>
  <c r="CQ268" i="1" s="1"/>
  <c r="AE268" i="1"/>
  <c r="AD268" i="1" s="1"/>
  <c r="CR268" i="1" s="1"/>
  <c r="Q268" i="1" s="1"/>
  <c r="AF268" i="1"/>
  <c r="AG268" i="1"/>
  <c r="CU268" i="1" s="1"/>
  <c r="AH268" i="1"/>
  <c r="AI268" i="1"/>
  <c r="AJ268" i="1"/>
  <c r="CX268" i="1" s="1"/>
  <c r="W268" i="1" s="1"/>
  <c r="CS268" i="1"/>
  <c r="R268" i="1" s="1"/>
  <c r="GK268" i="1" s="1"/>
  <c r="CT268" i="1"/>
  <c r="S268" i="1" s="1"/>
  <c r="CV268" i="1"/>
  <c r="CW268" i="1"/>
  <c r="FR268" i="1"/>
  <c r="GL268" i="1"/>
  <c r="GO268" i="1"/>
  <c r="GP268" i="1"/>
  <c r="GV268" i="1"/>
  <c r="HC268" i="1"/>
  <c r="GX268" i="1" s="1"/>
  <c r="C269" i="1"/>
  <c r="D269" i="1"/>
  <c r="S269" i="1"/>
  <c r="CY269" i="1" s="1"/>
  <c r="X269" i="1" s="1"/>
  <c r="W269" i="1"/>
  <c r="AC269" i="1"/>
  <c r="AB269" i="1" s="1"/>
  <c r="AD269" i="1"/>
  <c r="CR269" i="1" s="1"/>
  <c r="Q269" i="1" s="1"/>
  <c r="AE269" i="1"/>
  <c r="AF269" i="1"/>
  <c r="AG269" i="1"/>
  <c r="AH269" i="1"/>
  <c r="CV269" i="1" s="1"/>
  <c r="U269" i="1" s="1"/>
  <c r="AI269" i="1"/>
  <c r="AJ269" i="1"/>
  <c r="CQ269" i="1"/>
  <c r="P269" i="1" s="1"/>
  <c r="CP269" i="1" s="1"/>
  <c r="O269" i="1" s="1"/>
  <c r="CS269" i="1"/>
  <c r="R269" i="1" s="1"/>
  <c r="CT269" i="1"/>
  <c r="CU269" i="1"/>
  <c r="T269" i="1" s="1"/>
  <c r="CW269" i="1"/>
  <c r="V269" i="1" s="1"/>
  <c r="CX269" i="1"/>
  <c r="FR269" i="1"/>
  <c r="GK269" i="1"/>
  <c r="GL269" i="1"/>
  <c r="GO269" i="1"/>
  <c r="GP269" i="1"/>
  <c r="GV269" i="1"/>
  <c r="HC269" i="1"/>
  <c r="GX269" i="1" s="1"/>
  <c r="I270" i="1"/>
  <c r="P270" i="1" s="1"/>
  <c r="T270" i="1"/>
  <c r="AC270" i="1"/>
  <c r="AE270" i="1"/>
  <c r="AD270" i="1" s="1"/>
  <c r="AF270" i="1"/>
  <c r="CT270" i="1" s="1"/>
  <c r="AG270" i="1"/>
  <c r="AH270" i="1"/>
  <c r="CV270" i="1" s="1"/>
  <c r="U270" i="1" s="1"/>
  <c r="AI270" i="1"/>
  <c r="CW270" i="1" s="1"/>
  <c r="V270" i="1" s="1"/>
  <c r="AJ270" i="1"/>
  <c r="CX270" i="1" s="1"/>
  <c r="CQ270" i="1"/>
  <c r="CS270" i="1"/>
  <c r="R270" i="1" s="1"/>
  <c r="GK270" i="1" s="1"/>
  <c r="CU270" i="1"/>
  <c r="FR270" i="1"/>
  <c r="GL270" i="1"/>
  <c r="GO270" i="1"/>
  <c r="GP270" i="1"/>
  <c r="GV270" i="1"/>
  <c r="HC270" i="1" s="1"/>
  <c r="GX270" i="1" s="1"/>
  <c r="I271" i="1"/>
  <c r="R271" i="1"/>
  <c r="V271" i="1"/>
  <c r="AC271" i="1"/>
  <c r="AB271" i="1" s="1"/>
  <c r="AD271" i="1"/>
  <c r="CR271" i="1" s="1"/>
  <c r="Q271" i="1" s="1"/>
  <c r="AE271" i="1"/>
  <c r="AF271" i="1"/>
  <c r="AG271" i="1"/>
  <c r="AH271" i="1"/>
  <c r="CV271" i="1" s="1"/>
  <c r="U271" i="1" s="1"/>
  <c r="AI271" i="1"/>
  <c r="AJ271" i="1"/>
  <c r="CX271" i="1" s="1"/>
  <c r="W271" i="1" s="1"/>
  <c r="CS271" i="1"/>
  <c r="CT271" i="1"/>
  <c r="S271" i="1" s="1"/>
  <c r="CU271" i="1"/>
  <c r="T271" i="1" s="1"/>
  <c r="CW271" i="1"/>
  <c r="FR271" i="1"/>
  <c r="GK271" i="1"/>
  <c r="GL271" i="1"/>
  <c r="GO271" i="1"/>
  <c r="GP271" i="1"/>
  <c r="GV271" i="1"/>
  <c r="HC271" i="1"/>
  <c r="GX271" i="1" s="1"/>
  <c r="I272" i="1"/>
  <c r="R272" i="1"/>
  <c r="GK272" i="1" s="1"/>
  <c r="T272" i="1"/>
  <c r="AC272" i="1"/>
  <c r="AD272" i="1"/>
  <c r="AB272" i="1" s="1"/>
  <c r="AE272" i="1"/>
  <c r="AF272" i="1"/>
  <c r="CT272" i="1" s="1"/>
  <c r="AG272" i="1"/>
  <c r="AH272" i="1"/>
  <c r="CV272" i="1" s="1"/>
  <c r="U272" i="1" s="1"/>
  <c r="AI272" i="1"/>
  <c r="AJ272" i="1"/>
  <c r="CX272" i="1" s="1"/>
  <c r="CQ272" i="1"/>
  <c r="P272" i="1" s="1"/>
  <c r="CR272" i="1"/>
  <c r="Q272" i="1" s="1"/>
  <c r="CS272" i="1"/>
  <c r="CU272" i="1"/>
  <c r="CW272" i="1"/>
  <c r="V272" i="1" s="1"/>
  <c r="FR272" i="1"/>
  <c r="GL272" i="1"/>
  <c r="GO272" i="1"/>
  <c r="GP272" i="1"/>
  <c r="GV272" i="1"/>
  <c r="HC272" i="1" s="1"/>
  <c r="GX272" i="1" s="1"/>
  <c r="C273" i="1"/>
  <c r="D273" i="1"/>
  <c r="AC273" i="1"/>
  <c r="CQ273" i="1" s="1"/>
  <c r="P273" i="1" s="1"/>
  <c r="AE273" i="1"/>
  <c r="AD273" i="1" s="1"/>
  <c r="CR273" i="1" s="1"/>
  <c r="Q273" i="1" s="1"/>
  <c r="AF273" i="1"/>
  <c r="AB273" i="1" s="1"/>
  <c r="AG273" i="1"/>
  <c r="CU273" i="1" s="1"/>
  <c r="T273" i="1" s="1"/>
  <c r="AH273" i="1"/>
  <c r="AI273" i="1"/>
  <c r="CW273" i="1" s="1"/>
  <c r="V273" i="1" s="1"/>
  <c r="AJ273" i="1"/>
  <c r="CX273" i="1" s="1"/>
  <c r="W273" i="1" s="1"/>
  <c r="CS273" i="1"/>
  <c r="R273" i="1" s="1"/>
  <c r="GK273" i="1" s="1"/>
  <c r="CT273" i="1"/>
  <c r="S273" i="1" s="1"/>
  <c r="CV273" i="1"/>
  <c r="U273" i="1" s="1"/>
  <c r="FR273" i="1"/>
  <c r="GL273" i="1"/>
  <c r="GO273" i="1"/>
  <c r="GP273" i="1"/>
  <c r="GV273" i="1"/>
  <c r="HC273" i="1" s="1"/>
  <c r="GX273" i="1" s="1"/>
  <c r="I274" i="1"/>
  <c r="T274" i="1"/>
  <c r="U274" i="1"/>
  <c r="AC274" i="1"/>
  <c r="CQ274" i="1" s="1"/>
  <c r="P274" i="1" s="1"/>
  <c r="AE274" i="1"/>
  <c r="CS274" i="1" s="1"/>
  <c r="R274" i="1" s="1"/>
  <c r="AF274" i="1"/>
  <c r="AG274" i="1"/>
  <c r="AH274" i="1"/>
  <c r="AI274" i="1"/>
  <c r="CW274" i="1" s="1"/>
  <c r="V274" i="1" s="1"/>
  <c r="AJ274" i="1"/>
  <c r="CT274" i="1"/>
  <c r="S274" i="1" s="1"/>
  <c r="CU274" i="1"/>
  <c r="CV274" i="1"/>
  <c r="CX274" i="1"/>
  <c r="W274" i="1" s="1"/>
  <c r="FR274" i="1"/>
  <c r="GK274" i="1"/>
  <c r="GL274" i="1"/>
  <c r="GO274" i="1"/>
  <c r="GP274" i="1"/>
  <c r="GV274" i="1"/>
  <c r="HC274" i="1" s="1"/>
  <c r="GX274" i="1" s="1"/>
  <c r="C275" i="1"/>
  <c r="D275" i="1"/>
  <c r="P275" i="1"/>
  <c r="U275" i="1"/>
  <c r="AC275" i="1"/>
  <c r="AE275" i="1"/>
  <c r="AD275" i="1" s="1"/>
  <c r="AF275" i="1"/>
  <c r="CT275" i="1" s="1"/>
  <c r="S275" i="1" s="1"/>
  <c r="AG275" i="1"/>
  <c r="AH275" i="1"/>
  <c r="AI275" i="1"/>
  <c r="CW275" i="1" s="1"/>
  <c r="V275" i="1" s="1"/>
  <c r="AJ275" i="1"/>
  <c r="CX275" i="1" s="1"/>
  <c r="W275" i="1" s="1"/>
  <c r="CQ275" i="1"/>
  <c r="CS275" i="1"/>
  <c r="R275" i="1" s="1"/>
  <c r="CU275" i="1"/>
  <c r="T275" i="1" s="1"/>
  <c r="CV275" i="1"/>
  <c r="FR275" i="1"/>
  <c r="GL275" i="1"/>
  <c r="GO275" i="1"/>
  <c r="GP275" i="1"/>
  <c r="GV275" i="1"/>
  <c r="HC275" i="1" s="1"/>
  <c r="GX275" i="1"/>
  <c r="C276" i="1"/>
  <c r="D276" i="1"/>
  <c r="I276" i="1"/>
  <c r="P276" i="1"/>
  <c r="U276" i="1"/>
  <c r="AC276" i="1"/>
  <c r="AE276" i="1"/>
  <c r="AD276" i="1" s="1"/>
  <c r="AF276" i="1"/>
  <c r="CT276" i="1" s="1"/>
  <c r="S276" i="1" s="1"/>
  <c r="CY276" i="1" s="1"/>
  <c r="X276" i="1" s="1"/>
  <c r="AG276" i="1"/>
  <c r="AH276" i="1"/>
  <c r="AI276" i="1"/>
  <c r="CW276" i="1" s="1"/>
  <c r="V276" i="1" s="1"/>
  <c r="AJ276" i="1"/>
  <c r="CX276" i="1" s="1"/>
  <c r="W276" i="1" s="1"/>
  <c r="CQ276" i="1"/>
  <c r="CS276" i="1"/>
  <c r="R276" i="1" s="1"/>
  <c r="CU276" i="1"/>
  <c r="T276" i="1" s="1"/>
  <c r="CV276" i="1"/>
  <c r="FR276" i="1"/>
  <c r="GL276" i="1"/>
  <c r="GO276" i="1"/>
  <c r="GP276" i="1"/>
  <c r="GV276" i="1"/>
  <c r="HC276" i="1" s="1"/>
  <c r="GX276" i="1"/>
  <c r="C277" i="1"/>
  <c r="D277" i="1"/>
  <c r="I277" i="1"/>
  <c r="P277" i="1"/>
  <c r="U277" i="1"/>
  <c r="AC277" i="1"/>
  <c r="AE277" i="1"/>
  <c r="AD277" i="1" s="1"/>
  <c r="AF277" i="1"/>
  <c r="CT277" i="1" s="1"/>
  <c r="S277" i="1" s="1"/>
  <c r="AG277" i="1"/>
  <c r="AH277" i="1"/>
  <c r="AI277" i="1"/>
  <c r="CW277" i="1" s="1"/>
  <c r="V277" i="1" s="1"/>
  <c r="AJ277" i="1"/>
  <c r="CX277" i="1" s="1"/>
  <c r="W277" i="1" s="1"/>
  <c r="CQ277" i="1"/>
  <c r="CS277" i="1"/>
  <c r="R277" i="1" s="1"/>
  <c r="CU277" i="1"/>
  <c r="T277" i="1" s="1"/>
  <c r="CV277" i="1"/>
  <c r="FR277" i="1"/>
  <c r="GL277" i="1"/>
  <c r="GO277" i="1"/>
  <c r="GP277" i="1"/>
  <c r="GV277" i="1"/>
  <c r="HC277" i="1" s="1"/>
  <c r="GX277" i="1"/>
  <c r="I278" i="1"/>
  <c r="R278" i="1"/>
  <c r="S278" i="1"/>
  <c r="CY278" i="1" s="1"/>
  <c r="X278" i="1" s="1"/>
  <c r="W278" i="1"/>
  <c r="AC278" i="1"/>
  <c r="AB278" i="1" s="1"/>
  <c r="AD278" i="1"/>
  <c r="CR278" i="1" s="1"/>
  <c r="Q278" i="1" s="1"/>
  <c r="AE278" i="1"/>
  <c r="AF278" i="1"/>
  <c r="AG278" i="1"/>
  <c r="AH278" i="1"/>
  <c r="CV278" i="1" s="1"/>
  <c r="U278" i="1" s="1"/>
  <c r="AI278" i="1"/>
  <c r="AJ278" i="1"/>
  <c r="CQ278" i="1"/>
  <c r="P278" i="1" s="1"/>
  <c r="CP278" i="1" s="1"/>
  <c r="O278" i="1" s="1"/>
  <c r="CS278" i="1"/>
  <c r="CT278" i="1"/>
  <c r="CU278" i="1"/>
  <c r="T278" i="1" s="1"/>
  <c r="CW278" i="1"/>
  <c r="V278" i="1" s="1"/>
  <c r="CX278" i="1"/>
  <c r="FR278" i="1"/>
  <c r="GK278" i="1"/>
  <c r="GL278" i="1"/>
  <c r="GO278" i="1"/>
  <c r="GP278" i="1"/>
  <c r="GV278" i="1"/>
  <c r="HC278" i="1"/>
  <c r="GX278" i="1" s="1"/>
  <c r="C279" i="1"/>
  <c r="D279" i="1"/>
  <c r="S279" i="1"/>
  <c r="CY279" i="1" s="1"/>
  <c r="X279" i="1" s="1"/>
  <c r="W279" i="1"/>
  <c r="AC279" i="1"/>
  <c r="AD279" i="1"/>
  <c r="CR279" i="1" s="1"/>
  <c r="Q279" i="1" s="1"/>
  <c r="AE279" i="1"/>
  <c r="CS279" i="1" s="1"/>
  <c r="R279" i="1" s="1"/>
  <c r="CZ279" i="1" s="1"/>
  <c r="Y279" i="1" s="1"/>
  <c r="AF279" i="1"/>
  <c r="AG279" i="1"/>
  <c r="AH279" i="1"/>
  <c r="AI279" i="1"/>
  <c r="CW279" i="1" s="1"/>
  <c r="V279" i="1" s="1"/>
  <c r="AJ279" i="1"/>
  <c r="CQ279" i="1"/>
  <c r="P279" i="1" s="1"/>
  <c r="CT279" i="1"/>
  <c r="CU279" i="1"/>
  <c r="T279" i="1" s="1"/>
  <c r="CV279" i="1"/>
  <c r="U279" i="1" s="1"/>
  <c r="CX279" i="1"/>
  <c r="FR279" i="1"/>
  <c r="GK279" i="1"/>
  <c r="GL279" i="1"/>
  <c r="GO279" i="1"/>
  <c r="GP279" i="1"/>
  <c r="GV279" i="1"/>
  <c r="HC279" i="1"/>
  <c r="GX279" i="1" s="1"/>
  <c r="I280" i="1"/>
  <c r="AC280" i="1"/>
  <c r="CQ280" i="1" s="1"/>
  <c r="AE280" i="1"/>
  <c r="AD280" i="1" s="1"/>
  <c r="CR280" i="1" s="1"/>
  <c r="Q280" i="1" s="1"/>
  <c r="AF280" i="1"/>
  <c r="AB280" i="1" s="1"/>
  <c r="AG280" i="1"/>
  <c r="CU280" i="1" s="1"/>
  <c r="AH280" i="1"/>
  <c r="AI280" i="1"/>
  <c r="CW280" i="1" s="1"/>
  <c r="V280" i="1" s="1"/>
  <c r="AJ280" i="1"/>
  <c r="CX280" i="1" s="1"/>
  <c r="W280" i="1" s="1"/>
  <c r="CS280" i="1"/>
  <c r="R280" i="1" s="1"/>
  <c r="GK280" i="1" s="1"/>
  <c r="CT280" i="1"/>
  <c r="S280" i="1" s="1"/>
  <c r="CV280" i="1"/>
  <c r="U280" i="1" s="1"/>
  <c r="FR280" i="1"/>
  <c r="GL280" i="1"/>
  <c r="GO280" i="1"/>
  <c r="GP280" i="1"/>
  <c r="GV280" i="1"/>
  <c r="HC280" i="1" s="1"/>
  <c r="GX280" i="1" s="1"/>
  <c r="C281" i="1"/>
  <c r="D281" i="1"/>
  <c r="S281" i="1"/>
  <c r="CY281" i="1" s="1"/>
  <c r="X281" i="1" s="1"/>
  <c r="T281" i="1"/>
  <c r="AC281" i="1"/>
  <c r="AD281" i="1"/>
  <c r="CR281" i="1" s="1"/>
  <c r="Q281" i="1" s="1"/>
  <c r="AE281" i="1"/>
  <c r="AF281" i="1"/>
  <c r="AB281" i="1" s="1"/>
  <c r="AG281" i="1"/>
  <c r="AH281" i="1"/>
  <c r="CV281" i="1" s="1"/>
  <c r="U281" i="1" s="1"/>
  <c r="AI281" i="1"/>
  <c r="AJ281" i="1"/>
  <c r="CQ281" i="1"/>
  <c r="P281" i="1" s="1"/>
  <c r="CP281" i="1" s="1"/>
  <c r="O281" i="1" s="1"/>
  <c r="CS281" i="1"/>
  <c r="R281" i="1" s="1"/>
  <c r="GK281" i="1" s="1"/>
  <c r="CT281" i="1"/>
  <c r="CU281" i="1"/>
  <c r="CW281" i="1"/>
  <c r="V281" i="1" s="1"/>
  <c r="CX281" i="1"/>
  <c r="W281" i="1" s="1"/>
  <c r="FR281" i="1"/>
  <c r="GL281" i="1"/>
  <c r="GO281" i="1"/>
  <c r="GP281" i="1"/>
  <c r="GV281" i="1"/>
  <c r="GX281" i="1"/>
  <c r="HC281" i="1"/>
  <c r="I282" i="1"/>
  <c r="P282" i="1"/>
  <c r="U282" i="1"/>
  <c r="AC282" i="1"/>
  <c r="AE282" i="1"/>
  <c r="AD282" i="1" s="1"/>
  <c r="AF282" i="1"/>
  <c r="CT282" i="1" s="1"/>
  <c r="S282" i="1" s="1"/>
  <c r="CY282" i="1" s="1"/>
  <c r="X282" i="1" s="1"/>
  <c r="AG282" i="1"/>
  <c r="AH282" i="1"/>
  <c r="AI282" i="1"/>
  <c r="CW282" i="1" s="1"/>
  <c r="V282" i="1" s="1"/>
  <c r="AJ282" i="1"/>
  <c r="CX282" i="1" s="1"/>
  <c r="W282" i="1" s="1"/>
  <c r="CQ282" i="1"/>
  <c r="CS282" i="1"/>
  <c r="R282" i="1" s="1"/>
  <c r="CU282" i="1"/>
  <c r="T282" i="1" s="1"/>
  <c r="CV282" i="1"/>
  <c r="FR282" i="1"/>
  <c r="GL282" i="1"/>
  <c r="GO282" i="1"/>
  <c r="GP282" i="1"/>
  <c r="GV282" i="1"/>
  <c r="HC282" i="1" s="1"/>
  <c r="GX282" i="1"/>
  <c r="C283" i="1"/>
  <c r="D283" i="1"/>
  <c r="Q283" i="1"/>
  <c r="AC283" i="1"/>
  <c r="AB283" i="1" s="1"/>
  <c r="AE283" i="1"/>
  <c r="AD283" i="1" s="1"/>
  <c r="AF283" i="1"/>
  <c r="AG283" i="1"/>
  <c r="AH283" i="1"/>
  <c r="CV283" i="1" s="1"/>
  <c r="U283" i="1" s="1"/>
  <c r="AI283" i="1"/>
  <c r="CW283" i="1" s="1"/>
  <c r="V283" i="1" s="1"/>
  <c r="AJ283" i="1"/>
  <c r="CQ283" i="1"/>
  <c r="P283" i="1" s="1"/>
  <c r="CR283" i="1"/>
  <c r="CT283" i="1"/>
  <c r="S283" i="1" s="1"/>
  <c r="CU283" i="1"/>
  <c r="T283" i="1" s="1"/>
  <c r="CX283" i="1"/>
  <c r="W283" i="1" s="1"/>
  <c r="FR283" i="1"/>
  <c r="GL283" i="1"/>
  <c r="GN283" i="1"/>
  <c r="GP283" i="1"/>
  <c r="GV283" i="1"/>
  <c r="HC283" i="1" s="1"/>
  <c r="GX283" i="1" s="1"/>
  <c r="I284" i="1"/>
  <c r="AC284" i="1"/>
  <c r="CQ284" i="1" s="1"/>
  <c r="P284" i="1" s="1"/>
  <c r="AE284" i="1"/>
  <c r="AD284" i="1" s="1"/>
  <c r="AF284" i="1"/>
  <c r="CT284" i="1" s="1"/>
  <c r="S284" i="1" s="1"/>
  <c r="AG284" i="1"/>
  <c r="CU284" i="1" s="1"/>
  <c r="T284" i="1" s="1"/>
  <c r="AH284" i="1"/>
  <c r="AI284" i="1"/>
  <c r="AJ284" i="1"/>
  <c r="CX284" i="1" s="1"/>
  <c r="W284" i="1" s="1"/>
  <c r="CS284" i="1"/>
  <c r="R284" i="1" s="1"/>
  <c r="GK284" i="1" s="1"/>
  <c r="CV284" i="1"/>
  <c r="U284" i="1" s="1"/>
  <c r="CW284" i="1"/>
  <c r="V284" i="1" s="1"/>
  <c r="FR284" i="1"/>
  <c r="BY286" i="1" s="1"/>
  <c r="GL284" i="1"/>
  <c r="GN284" i="1"/>
  <c r="GP284" i="1"/>
  <c r="GV284" i="1"/>
  <c r="GX284" i="1"/>
  <c r="HC284" i="1"/>
  <c r="B286" i="1"/>
  <c r="B246" i="1" s="1"/>
  <c r="C286" i="1"/>
  <c r="C246" i="1" s="1"/>
  <c r="D286" i="1"/>
  <c r="D246" i="1" s="1"/>
  <c r="F286" i="1"/>
  <c r="F246" i="1" s="1"/>
  <c r="G286" i="1"/>
  <c r="G246" i="1" s="1"/>
  <c r="BC286" i="1"/>
  <c r="BC246" i="1" s="1"/>
  <c r="BX286" i="1"/>
  <c r="BX246" i="1" s="1"/>
  <c r="CK286" i="1"/>
  <c r="CK246" i="1" s="1"/>
  <c r="CL286" i="1"/>
  <c r="CL246" i="1" s="1"/>
  <c r="F302" i="1"/>
  <c r="D318" i="1"/>
  <c r="E320" i="1"/>
  <c r="Z320" i="1"/>
  <c r="AA320" i="1"/>
  <c r="AM320" i="1"/>
  <c r="AN320" i="1"/>
  <c r="BD320" i="1"/>
  <c r="BE320" i="1"/>
  <c r="BF320" i="1"/>
  <c r="BG320" i="1"/>
  <c r="BH320" i="1"/>
  <c r="BI320" i="1"/>
  <c r="BJ320" i="1"/>
  <c r="BK320" i="1"/>
  <c r="BL320" i="1"/>
  <c r="BM320" i="1"/>
  <c r="BN320" i="1"/>
  <c r="BO320" i="1"/>
  <c r="BP320" i="1"/>
  <c r="BQ320" i="1"/>
  <c r="BR320" i="1"/>
  <c r="BS320" i="1"/>
  <c r="BT320" i="1"/>
  <c r="BU320" i="1"/>
  <c r="BV320" i="1"/>
  <c r="BW320" i="1"/>
  <c r="CM320" i="1"/>
  <c r="CN320" i="1"/>
  <c r="CO320" i="1"/>
  <c r="CP320" i="1"/>
  <c r="CQ320" i="1"/>
  <c r="CR320" i="1"/>
  <c r="CS320" i="1"/>
  <c r="CT320" i="1"/>
  <c r="CU320" i="1"/>
  <c r="CV320" i="1"/>
  <c r="CW320" i="1"/>
  <c r="CX320" i="1"/>
  <c r="CY320" i="1"/>
  <c r="CZ320" i="1"/>
  <c r="DA320" i="1"/>
  <c r="DB320" i="1"/>
  <c r="DC320" i="1"/>
  <c r="DD320" i="1"/>
  <c r="DE320" i="1"/>
  <c r="DF320" i="1"/>
  <c r="DG320" i="1"/>
  <c r="DH320" i="1"/>
  <c r="DI320" i="1"/>
  <c r="DJ320" i="1"/>
  <c r="DK320" i="1"/>
  <c r="DL320" i="1"/>
  <c r="DM320" i="1"/>
  <c r="DN320" i="1"/>
  <c r="DO320" i="1"/>
  <c r="DP320" i="1"/>
  <c r="DQ320" i="1"/>
  <c r="DR320" i="1"/>
  <c r="DS320" i="1"/>
  <c r="DT320" i="1"/>
  <c r="DU320" i="1"/>
  <c r="DV320" i="1"/>
  <c r="DW320" i="1"/>
  <c r="DX320" i="1"/>
  <c r="DY320" i="1"/>
  <c r="DZ320" i="1"/>
  <c r="EA320" i="1"/>
  <c r="EB320" i="1"/>
  <c r="EC320" i="1"/>
  <c r="ED320" i="1"/>
  <c r="EE320" i="1"/>
  <c r="EF320" i="1"/>
  <c r="EG320" i="1"/>
  <c r="EH320" i="1"/>
  <c r="EI320" i="1"/>
  <c r="EJ320" i="1"/>
  <c r="EK320" i="1"/>
  <c r="EL320" i="1"/>
  <c r="EM320" i="1"/>
  <c r="EN320" i="1"/>
  <c r="EO320" i="1"/>
  <c r="EP320" i="1"/>
  <c r="EQ320" i="1"/>
  <c r="ER320" i="1"/>
  <c r="ES320" i="1"/>
  <c r="ET320" i="1"/>
  <c r="EU320" i="1"/>
  <c r="EV320" i="1"/>
  <c r="EW320" i="1"/>
  <c r="EX320" i="1"/>
  <c r="EY320" i="1"/>
  <c r="EZ320" i="1"/>
  <c r="FA320" i="1"/>
  <c r="FB320" i="1"/>
  <c r="FC320" i="1"/>
  <c r="FD320" i="1"/>
  <c r="FE320" i="1"/>
  <c r="FF320" i="1"/>
  <c r="FG320" i="1"/>
  <c r="FH320" i="1"/>
  <c r="FI320" i="1"/>
  <c r="FJ320" i="1"/>
  <c r="FK320" i="1"/>
  <c r="FL320" i="1"/>
  <c r="FM320" i="1"/>
  <c r="FN320" i="1"/>
  <c r="FO320" i="1"/>
  <c r="FP320" i="1"/>
  <c r="FQ320" i="1"/>
  <c r="FR320" i="1"/>
  <c r="FS320" i="1"/>
  <c r="FT320" i="1"/>
  <c r="FU320" i="1"/>
  <c r="FV320" i="1"/>
  <c r="FW320" i="1"/>
  <c r="FX320" i="1"/>
  <c r="FY320" i="1"/>
  <c r="FZ320" i="1"/>
  <c r="GA320" i="1"/>
  <c r="GB320" i="1"/>
  <c r="GC320" i="1"/>
  <c r="GD320" i="1"/>
  <c r="GE320" i="1"/>
  <c r="GF320" i="1"/>
  <c r="GG320" i="1"/>
  <c r="GH320" i="1"/>
  <c r="GI320" i="1"/>
  <c r="GJ320" i="1"/>
  <c r="GK320" i="1"/>
  <c r="GL320" i="1"/>
  <c r="GM320" i="1"/>
  <c r="GN320" i="1"/>
  <c r="GO320" i="1"/>
  <c r="GP320" i="1"/>
  <c r="GQ320" i="1"/>
  <c r="GR320" i="1"/>
  <c r="GS320" i="1"/>
  <c r="GT320" i="1"/>
  <c r="GU320" i="1"/>
  <c r="GV320" i="1"/>
  <c r="GW320" i="1"/>
  <c r="GX320" i="1"/>
  <c r="C322" i="1"/>
  <c r="D322" i="1"/>
  <c r="I322" i="1"/>
  <c r="AC322" i="1"/>
  <c r="AE322" i="1"/>
  <c r="AD322" i="1" s="1"/>
  <c r="AF322" i="1"/>
  <c r="CT322" i="1" s="1"/>
  <c r="S322" i="1" s="1"/>
  <c r="AG322" i="1"/>
  <c r="AH322" i="1"/>
  <c r="AI322" i="1"/>
  <c r="CW322" i="1" s="1"/>
  <c r="V322" i="1" s="1"/>
  <c r="AJ322" i="1"/>
  <c r="CX322" i="1" s="1"/>
  <c r="W322" i="1" s="1"/>
  <c r="CQ322" i="1"/>
  <c r="P322" i="1" s="1"/>
  <c r="CU322" i="1"/>
  <c r="T322" i="1" s="1"/>
  <c r="CV322" i="1"/>
  <c r="U322" i="1" s="1"/>
  <c r="FR322" i="1"/>
  <c r="GL322" i="1"/>
  <c r="GO322" i="1"/>
  <c r="GP322" i="1"/>
  <c r="GV322" i="1"/>
  <c r="HC322" i="1" s="1"/>
  <c r="GX322" i="1" s="1"/>
  <c r="C323" i="1"/>
  <c r="D323" i="1"/>
  <c r="I323" i="1"/>
  <c r="AC323" i="1"/>
  <c r="AE323" i="1"/>
  <c r="AD323" i="1" s="1"/>
  <c r="AF323" i="1"/>
  <c r="CT323" i="1" s="1"/>
  <c r="S323" i="1" s="1"/>
  <c r="AG323" i="1"/>
  <c r="AH323" i="1"/>
  <c r="AI323" i="1"/>
  <c r="CW323" i="1" s="1"/>
  <c r="V323" i="1" s="1"/>
  <c r="AJ323" i="1"/>
  <c r="CX323" i="1" s="1"/>
  <c r="W323" i="1" s="1"/>
  <c r="CQ323" i="1"/>
  <c r="P323" i="1" s="1"/>
  <c r="CU323" i="1"/>
  <c r="T323" i="1" s="1"/>
  <c r="CV323" i="1"/>
  <c r="U323" i="1" s="1"/>
  <c r="FR323" i="1"/>
  <c r="GL323" i="1"/>
  <c r="GO323" i="1"/>
  <c r="GP323" i="1"/>
  <c r="GV323" i="1"/>
  <c r="HC323" i="1" s="1"/>
  <c r="GX323" i="1" s="1"/>
  <c r="C324" i="1"/>
  <c r="D324" i="1"/>
  <c r="AC324" i="1"/>
  <c r="CQ324" i="1" s="1"/>
  <c r="P324" i="1" s="1"/>
  <c r="AE324" i="1"/>
  <c r="AD324" i="1" s="1"/>
  <c r="AF324" i="1"/>
  <c r="CT324" i="1" s="1"/>
  <c r="S324" i="1" s="1"/>
  <c r="AG324" i="1"/>
  <c r="CU324" i="1" s="1"/>
  <c r="T324" i="1" s="1"/>
  <c r="AH324" i="1"/>
  <c r="AI324" i="1"/>
  <c r="AJ324" i="1"/>
  <c r="CX324" i="1" s="1"/>
  <c r="W324" i="1" s="1"/>
  <c r="CS324" i="1"/>
  <c r="R324" i="1" s="1"/>
  <c r="GK324" i="1" s="1"/>
  <c r="CV324" i="1"/>
  <c r="U324" i="1" s="1"/>
  <c r="CW324" i="1"/>
  <c r="V324" i="1" s="1"/>
  <c r="FR324" i="1"/>
  <c r="GL324" i="1"/>
  <c r="GO324" i="1"/>
  <c r="GP324" i="1"/>
  <c r="GV324" i="1"/>
  <c r="GX324" i="1"/>
  <c r="HC324" i="1"/>
  <c r="I325" i="1"/>
  <c r="AC325" i="1"/>
  <c r="AB325" i="1" s="1"/>
  <c r="AD325" i="1"/>
  <c r="CR325" i="1" s="1"/>
  <c r="Q325" i="1" s="1"/>
  <c r="AE325" i="1"/>
  <c r="CS325" i="1" s="1"/>
  <c r="R325" i="1" s="1"/>
  <c r="GK325" i="1" s="1"/>
  <c r="AF325" i="1"/>
  <c r="AG325" i="1"/>
  <c r="AH325" i="1"/>
  <c r="CV325" i="1" s="1"/>
  <c r="U325" i="1" s="1"/>
  <c r="AI325" i="1"/>
  <c r="CW325" i="1" s="1"/>
  <c r="V325" i="1" s="1"/>
  <c r="AJ325" i="1"/>
  <c r="CQ325" i="1"/>
  <c r="P325" i="1" s="1"/>
  <c r="CP325" i="1" s="1"/>
  <c r="O325" i="1" s="1"/>
  <c r="CT325" i="1"/>
  <c r="S325" i="1" s="1"/>
  <c r="CU325" i="1"/>
  <c r="T325" i="1" s="1"/>
  <c r="CX325" i="1"/>
  <c r="W325" i="1" s="1"/>
  <c r="FR325" i="1"/>
  <c r="GL325" i="1"/>
  <c r="GO325" i="1"/>
  <c r="GP325" i="1"/>
  <c r="GV325" i="1"/>
  <c r="HC325" i="1" s="1"/>
  <c r="GX325" i="1" s="1"/>
  <c r="C326" i="1"/>
  <c r="D326" i="1"/>
  <c r="AC326" i="1"/>
  <c r="AE326" i="1"/>
  <c r="AD326" i="1" s="1"/>
  <c r="AF326" i="1"/>
  <c r="CT326" i="1" s="1"/>
  <c r="S326" i="1" s="1"/>
  <c r="AG326" i="1"/>
  <c r="AH326" i="1"/>
  <c r="AI326" i="1"/>
  <c r="CW326" i="1" s="1"/>
  <c r="V326" i="1" s="1"/>
  <c r="AJ326" i="1"/>
  <c r="CX326" i="1" s="1"/>
  <c r="W326" i="1" s="1"/>
  <c r="CQ326" i="1"/>
  <c r="P326" i="1" s="1"/>
  <c r="CU326" i="1"/>
  <c r="T326" i="1" s="1"/>
  <c r="CV326" i="1"/>
  <c r="U326" i="1" s="1"/>
  <c r="FR326" i="1"/>
  <c r="GL326" i="1"/>
  <c r="GO326" i="1"/>
  <c r="GP326" i="1"/>
  <c r="GV326" i="1"/>
  <c r="HC326" i="1" s="1"/>
  <c r="GX326" i="1" s="1"/>
  <c r="C327" i="1"/>
  <c r="D327" i="1"/>
  <c r="I327" i="1"/>
  <c r="AC327" i="1"/>
  <c r="AE327" i="1"/>
  <c r="AD327" i="1" s="1"/>
  <c r="AF327" i="1"/>
  <c r="CT327" i="1" s="1"/>
  <c r="S327" i="1" s="1"/>
  <c r="AG327" i="1"/>
  <c r="AH327" i="1"/>
  <c r="AI327" i="1"/>
  <c r="CW327" i="1" s="1"/>
  <c r="V327" i="1" s="1"/>
  <c r="AJ327" i="1"/>
  <c r="CX327" i="1" s="1"/>
  <c r="W327" i="1" s="1"/>
  <c r="CQ327" i="1"/>
  <c r="P327" i="1" s="1"/>
  <c r="CU327" i="1"/>
  <c r="T327" i="1" s="1"/>
  <c r="CV327" i="1"/>
  <c r="U327" i="1" s="1"/>
  <c r="FR327" i="1"/>
  <c r="GL327" i="1"/>
  <c r="GO327" i="1"/>
  <c r="GP327" i="1"/>
  <c r="GV327" i="1"/>
  <c r="HC327" i="1" s="1"/>
  <c r="GX327" i="1" s="1"/>
  <c r="C328" i="1"/>
  <c r="D328" i="1"/>
  <c r="I328" i="1"/>
  <c r="AC328" i="1"/>
  <c r="AE328" i="1"/>
  <c r="AD328" i="1" s="1"/>
  <c r="AF328" i="1"/>
  <c r="CT328" i="1" s="1"/>
  <c r="S328" i="1" s="1"/>
  <c r="AG328" i="1"/>
  <c r="AH328" i="1"/>
  <c r="AI328" i="1"/>
  <c r="CW328" i="1" s="1"/>
  <c r="V328" i="1" s="1"/>
  <c r="AJ328" i="1"/>
  <c r="CX328" i="1" s="1"/>
  <c r="W328" i="1" s="1"/>
  <c r="CQ328" i="1"/>
  <c r="P328" i="1" s="1"/>
  <c r="CU328" i="1"/>
  <c r="T328" i="1" s="1"/>
  <c r="CV328" i="1"/>
  <c r="U328" i="1" s="1"/>
  <c r="FR328" i="1"/>
  <c r="GL328" i="1"/>
  <c r="GO328" i="1"/>
  <c r="GP328" i="1"/>
  <c r="GV328" i="1"/>
  <c r="HC328" i="1" s="1"/>
  <c r="GX328" i="1" s="1"/>
  <c r="C329" i="1"/>
  <c r="D329" i="1"/>
  <c r="I329" i="1"/>
  <c r="AC329" i="1"/>
  <c r="AE329" i="1"/>
  <c r="AD329" i="1" s="1"/>
  <c r="AF329" i="1"/>
  <c r="CT329" i="1" s="1"/>
  <c r="S329" i="1" s="1"/>
  <c r="AG329" i="1"/>
  <c r="AH329" i="1"/>
  <c r="AI329" i="1"/>
  <c r="CW329" i="1" s="1"/>
  <c r="V329" i="1" s="1"/>
  <c r="AJ329" i="1"/>
  <c r="CX329" i="1" s="1"/>
  <c r="W329" i="1" s="1"/>
  <c r="CQ329" i="1"/>
  <c r="P329" i="1" s="1"/>
  <c r="CU329" i="1"/>
  <c r="T329" i="1" s="1"/>
  <c r="CV329" i="1"/>
  <c r="U329" i="1" s="1"/>
  <c r="FR329" i="1"/>
  <c r="GL329" i="1"/>
  <c r="GO329" i="1"/>
  <c r="GP329" i="1"/>
  <c r="GV329" i="1"/>
  <c r="HC329" i="1" s="1"/>
  <c r="GX329" i="1" s="1"/>
  <c r="C330" i="1"/>
  <c r="D330" i="1"/>
  <c r="I330" i="1"/>
  <c r="AC330" i="1"/>
  <c r="AE330" i="1"/>
  <c r="AD330" i="1" s="1"/>
  <c r="AF330" i="1"/>
  <c r="CT330" i="1" s="1"/>
  <c r="S330" i="1" s="1"/>
  <c r="AG330" i="1"/>
  <c r="AH330" i="1"/>
  <c r="AI330" i="1"/>
  <c r="CW330" i="1" s="1"/>
  <c r="V330" i="1" s="1"/>
  <c r="AJ330" i="1"/>
  <c r="CX330" i="1" s="1"/>
  <c r="W330" i="1" s="1"/>
  <c r="CQ330" i="1"/>
  <c r="P330" i="1" s="1"/>
  <c r="CU330" i="1"/>
  <c r="T330" i="1" s="1"/>
  <c r="CV330" i="1"/>
  <c r="U330" i="1" s="1"/>
  <c r="FR330" i="1"/>
  <c r="GL330" i="1"/>
  <c r="GO330" i="1"/>
  <c r="GP330" i="1"/>
  <c r="GV330" i="1"/>
  <c r="HC330" i="1" s="1"/>
  <c r="GX330" i="1" s="1"/>
  <c r="C331" i="1"/>
  <c r="D331" i="1"/>
  <c r="I331" i="1"/>
  <c r="AC331" i="1"/>
  <c r="AE331" i="1"/>
  <c r="AD331" i="1" s="1"/>
  <c r="AF331" i="1"/>
  <c r="CT331" i="1" s="1"/>
  <c r="S331" i="1" s="1"/>
  <c r="AG331" i="1"/>
  <c r="AH331" i="1"/>
  <c r="AI331" i="1"/>
  <c r="CW331" i="1" s="1"/>
  <c r="V331" i="1" s="1"/>
  <c r="AJ331" i="1"/>
  <c r="CX331" i="1" s="1"/>
  <c r="W331" i="1" s="1"/>
  <c r="CQ331" i="1"/>
  <c r="P331" i="1" s="1"/>
  <c r="CU331" i="1"/>
  <c r="T331" i="1" s="1"/>
  <c r="CV331" i="1"/>
  <c r="U331" i="1" s="1"/>
  <c r="FR331" i="1"/>
  <c r="GL331" i="1"/>
  <c r="GO331" i="1"/>
  <c r="GP331" i="1"/>
  <c r="GV331" i="1"/>
  <c r="HC331" i="1" s="1"/>
  <c r="GX331" i="1" s="1"/>
  <c r="AC332" i="1"/>
  <c r="AB332" i="1" s="1"/>
  <c r="AD332" i="1"/>
  <c r="CR332" i="1" s="1"/>
  <c r="AE332" i="1"/>
  <c r="AF332" i="1"/>
  <c r="AG332" i="1"/>
  <c r="CU332" i="1" s="1"/>
  <c r="AH332" i="1"/>
  <c r="CV332" i="1" s="1"/>
  <c r="AI332" i="1"/>
  <c r="AJ332" i="1"/>
  <c r="CS332" i="1"/>
  <c r="CT332" i="1"/>
  <c r="CW332" i="1"/>
  <c r="CX332" i="1"/>
  <c r="FR332" i="1"/>
  <c r="GL332" i="1"/>
  <c r="GO332" i="1"/>
  <c r="GP332" i="1"/>
  <c r="GV332" i="1"/>
  <c r="HC332" i="1"/>
  <c r="I333" i="1"/>
  <c r="AC333" i="1"/>
  <c r="AE333" i="1"/>
  <c r="AD333" i="1" s="1"/>
  <c r="AF333" i="1"/>
  <c r="CT333" i="1" s="1"/>
  <c r="S333" i="1" s="1"/>
  <c r="AG333" i="1"/>
  <c r="AH333" i="1"/>
  <c r="AI333" i="1"/>
  <c r="CW333" i="1" s="1"/>
  <c r="V333" i="1" s="1"/>
  <c r="AJ333" i="1"/>
  <c r="CX333" i="1" s="1"/>
  <c r="W333" i="1" s="1"/>
  <c r="CQ333" i="1"/>
  <c r="P333" i="1" s="1"/>
  <c r="CU333" i="1"/>
  <c r="T333" i="1" s="1"/>
  <c r="CV333" i="1"/>
  <c r="U333" i="1" s="1"/>
  <c r="FR333" i="1"/>
  <c r="GL333" i="1"/>
  <c r="GO333" i="1"/>
  <c r="GP333" i="1"/>
  <c r="GV333" i="1"/>
  <c r="HC333" i="1" s="1"/>
  <c r="GX333" i="1" s="1"/>
  <c r="AC334" i="1"/>
  <c r="AB334" i="1" s="1"/>
  <c r="AD334" i="1"/>
  <c r="CR334" i="1" s="1"/>
  <c r="AE334" i="1"/>
  <c r="AF334" i="1"/>
  <c r="AG334" i="1"/>
  <c r="CU334" i="1" s="1"/>
  <c r="AH334" i="1"/>
  <c r="CV334" i="1" s="1"/>
  <c r="AI334" i="1"/>
  <c r="AJ334" i="1"/>
  <c r="CS334" i="1"/>
  <c r="CT334" i="1"/>
  <c r="CW334" i="1"/>
  <c r="CX334" i="1"/>
  <c r="FR334" i="1"/>
  <c r="GL334" i="1"/>
  <c r="GO334" i="1"/>
  <c r="GP334" i="1"/>
  <c r="GV334" i="1"/>
  <c r="HC334" i="1"/>
  <c r="I335" i="1"/>
  <c r="AC335" i="1"/>
  <c r="AE335" i="1"/>
  <c r="AD335" i="1" s="1"/>
  <c r="AF335" i="1"/>
  <c r="CT335" i="1" s="1"/>
  <c r="S335" i="1" s="1"/>
  <c r="AG335" i="1"/>
  <c r="AH335" i="1"/>
  <c r="AI335" i="1"/>
  <c r="CW335" i="1" s="1"/>
  <c r="V335" i="1" s="1"/>
  <c r="AJ335" i="1"/>
  <c r="CX335" i="1" s="1"/>
  <c r="W335" i="1" s="1"/>
  <c r="CQ335" i="1"/>
  <c r="P335" i="1" s="1"/>
  <c r="CU335" i="1"/>
  <c r="T335" i="1" s="1"/>
  <c r="CV335" i="1"/>
  <c r="U335" i="1" s="1"/>
  <c r="FR335" i="1"/>
  <c r="GL335" i="1"/>
  <c r="GO335" i="1"/>
  <c r="GP335" i="1"/>
  <c r="GV335" i="1"/>
  <c r="HC335" i="1" s="1"/>
  <c r="GX335" i="1" s="1"/>
  <c r="C336" i="1"/>
  <c r="D336" i="1"/>
  <c r="I336" i="1"/>
  <c r="AC336" i="1"/>
  <c r="AE336" i="1"/>
  <c r="AD336" i="1" s="1"/>
  <c r="AF336" i="1"/>
  <c r="CT336" i="1" s="1"/>
  <c r="S336" i="1" s="1"/>
  <c r="AG336" i="1"/>
  <c r="AH336" i="1"/>
  <c r="AI336" i="1"/>
  <c r="CW336" i="1" s="1"/>
  <c r="V336" i="1" s="1"/>
  <c r="AJ336" i="1"/>
  <c r="CX336" i="1" s="1"/>
  <c r="W336" i="1" s="1"/>
  <c r="CQ336" i="1"/>
  <c r="P336" i="1" s="1"/>
  <c r="CU336" i="1"/>
  <c r="T336" i="1" s="1"/>
  <c r="CV336" i="1"/>
  <c r="U336" i="1" s="1"/>
  <c r="FR336" i="1"/>
  <c r="GL336" i="1"/>
  <c r="GO336" i="1"/>
  <c r="GP336" i="1"/>
  <c r="GV336" i="1"/>
  <c r="HC336" i="1" s="1"/>
  <c r="GX336" i="1" s="1"/>
  <c r="AC337" i="1"/>
  <c r="AB337" i="1" s="1"/>
  <c r="AD337" i="1"/>
  <c r="CR337" i="1" s="1"/>
  <c r="AE337" i="1"/>
  <c r="AF337" i="1"/>
  <c r="AG337" i="1"/>
  <c r="CU337" i="1" s="1"/>
  <c r="AH337" i="1"/>
  <c r="CV337" i="1" s="1"/>
  <c r="AI337" i="1"/>
  <c r="AJ337" i="1"/>
  <c r="CS337" i="1"/>
  <c r="CT337" i="1"/>
  <c r="CW337" i="1"/>
  <c r="CX337" i="1"/>
  <c r="FR337" i="1"/>
  <c r="GL337" i="1"/>
  <c r="GO337" i="1"/>
  <c r="GP337" i="1"/>
  <c r="GV337" i="1"/>
  <c r="HC337" i="1"/>
  <c r="I338" i="1"/>
  <c r="AC338" i="1"/>
  <c r="AE338" i="1"/>
  <c r="AD338" i="1" s="1"/>
  <c r="AF338" i="1"/>
  <c r="CT338" i="1" s="1"/>
  <c r="S338" i="1" s="1"/>
  <c r="AG338" i="1"/>
  <c r="AH338" i="1"/>
  <c r="AI338" i="1"/>
  <c r="CW338" i="1" s="1"/>
  <c r="V338" i="1" s="1"/>
  <c r="AJ338" i="1"/>
  <c r="CX338" i="1" s="1"/>
  <c r="W338" i="1" s="1"/>
  <c r="CQ338" i="1"/>
  <c r="P338" i="1" s="1"/>
  <c r="CU338" i="1"/>
  <c r="T338" i="1" s="1"/>
  <c r="CV338" i="1"/>
  <c r="U338" i="1" s="1"/>
  <c r="FR338" i="1"/>
  <c r="GL338" i="1"/>
  <c r="GO338" i="1"/>
  <c r="GP338" i="1"/>
  <c r="GV338" i="1"/>
  <c r="HC338" i="1" s="1"/>
  <c r="GX338" i="1" s="1"/>
  <c r="AC339" i="1"/>
  <c r="AB339" i="1" s="1"/>
  <c r="AD339" i="1"/>
  <c r="CR339" i="1" s="1"/>
  <c r="AE339" i="1"/>
  <c r="AF339" i="1"/>
  <c r="AG339" i="1"/>
  <c r="CU339" i="1" s="1"/>
  <c r="AH339" i="1"/>
  <c r="CV339" i="1" s="1"/>
  <c r="AI339" i="1"/>
  <c r="AJ339" i="1"/>
  <c r="CS339" i="1"/>
  <c r="CT339" i="1"/>
  <c r="CW339" i="1"/>
  <c r="CX339" i="1"/>
  <c r="FR339" i="1"/>
  <c r="GL339" i="1"/>
  <c r="GO339" i="1"/>
  <c r="GP339" i="1"/>
  <c r="GV339" i="1"/>
  <c r="HC339" i="1"/>
  <c r="I340" i="1"/>
  <c r="AC340" i="1"/>
  <c r="AE340" i="1"/>
  <c r="AD340" i="1" s="1"/>
  <c r="AF340" i="1"/>
  <c r="CT340" i="1" s="1"/>
  <c r="S340" i="1" s="1"/>
  <c r="AG340" i="1"/>
  <c r="AH340" i="1"/>
  <c r="AI340" i="1"/>
  <c r="CW340" i="1" s="1"/>
  <c r="V340" i="1" s="1"/>
  <c r="AJ340" i="1"/>
  <c r="CX340" i="1" s="1"/>
  <c r="W340" i="1" s="1"/>
  <c r="CQ340" i="1"/>
  <c r="P340" i="1" s="1"/>
  <c r="CU340" i="1"/>
  <c r="T340" i="1" s="1"/>
  <c r="CV340" i="1"/>
  <c r="U340" i="1" s="1"/>
  <c r="FR340" i="1"/>
  <c r="GL340" i="1"/>
  <c r="GO340" i="1"/>
  <c r="GP340" i="1"/>
  <c r="GV340" i="1"/>
  <c r="HC340" i="1" s="1"/>
  <c r="GX340" i="1" s="1"/>
  <c r="C341" i="1"/>
  <c r="D341" i="1"/>
  <c r="I341" i="1"/>
  <c r="AC341" i="1"/>
  <c r="AE341" i="1"/>
  <c r="AD341" i="1" s="1"/>
  <c r="AF341" i="1"/>
  <c r="CT341" i="1" s="1"/>
  <c r="S341" i="1" s="1"/>
  <c r="AG341" i="1"/>
  <c r="AH341" i="1"/>
  <c r="AI341" i="1"/>
  <c r="CW341" i="1" s="1"/>
  <c r="V341" i="1" s="1"/>
  <c r="AJ341" i="1"/>
  <c r="CX341" i="1" s="1"/>
  <c r="W341" i="1" s="1"/>
  <c r="CQ341" i="1"/>
  <c r="P341" i="1" s="1"/>
  <c r="CU341" i="1"/>
  <c r="T341" i="1" s="1"/>
  <c r="CV341" i="1"/>
  <c r="U341" i="1" s="1"/>
  <c r="FR341" i="1"/>
  <c r="GL341" i="1"/>
  <c r="GO341" i="1"/>
  <c r="GP341" i="1"/>
  <c r="GV341" i="1"/>
  <c r="HC341" i="1" s="1"/>
  <c r="GX341" i="1" s="1"/>
  <c r="AC342" i="1"/>
  <c r="AB342" i="1" s="1"/>
  <c r="AD342" i="1"/>
  <c r="CR342" i="1" s="1"/>
  <c r="AE342" i="1"/>
  <c r="AF342" i="1"/>
  <c r="AG342" i="1"/>
  <c r="CU342" i="1" s="1"/>
  <c r="AH342" i="1"/>
  <c r="CV342" i="1" s="1"/>
  <c r="AI342" i="1"/>
  <c r="AJ342" i="1"/>
  <c r="CS342" i="1"/>
  <c r="CT342" i="1"/>
  <c r="CW342" i="1"/>
  <c r="CX342" i="1"/>
  <c r="FR342" i="1"/>
  <c r="GL342" i="1"/>
  <c r="GO342" i="1"/>
  <c r="GP342" i="1"/>
  <c r="GV342" i="1"/>
  <c r="HC342" i="1"/>
  <c r="C343" i="1"/>
  <c r="D343" i="1"/>
  <c r="I343" i="1"/>
  <c r="AC343" i="1"/>
  <c r="AB343" i="1" s="1"/>
  <c r="AD343" i="1"/>
  <c r="CR343" i="1" s="1"/>
  <c r="Q343" i="1" s="1"/>
  <c r="AE343" i="1"/>
  <c r="AF343" i="1"/>
  <c r="AG343" i="1"/>
  <c r="CU343" i="1" s="1"/>
  <c r="T343" i="1" s="1"/>
  <c r="AH343" i="1"/>
  <c r="CV343" i="1" s="1"/>
  <c r="U343" i="1" s="1"/>
  <c r="AI343" i="1"/>
  <c r="AJ343" i="1"/>
  <c r="CS343" i="1"/>
  <c r="R343" i="1" s="1"/>
  <c r="GK343" i="1" s="1"/>
  <c r="CT343" i="1"/>
  <c r="S343" i="1" s="1"/>
  <c r="CW343" i="1"/>
  <c r="V343" i="1" s="1"/>
  <c r="CX343" i="1"/>
  <c r="W343" i="1" s="1"/>
  <c r="FR343" i="1"/>
  <c r="GL343" i="1"/>
  <c r="GO343" i="1"/>
  <c r="GP343" i="1"/>
  <c r="GV343" i="1"/>
  <c r="HC343" i="1"/>
  <c r="GX343" i="1" s="1"/>
  <c r="I344" i="1"/>
  <c r="AC344" i="1"/>
  <c r="AE344" i="1"/>
  <c r="AD344" i="1" s="1"/>
  <c r="AF344" i="1"/>
  <c r="CT344" i="1" s="1"/>
  <c r="S344" i="1" s="1"/>
  <c r="AG344" i="1"/>
  <c r="AH344" i="1"/>
  <c r="AI344" i="1"/>
  <c r="CW344" i="1" s="1"/>
  <c r="V344" i="1" s="1"/>
  <c r="AJ344" i="1"/>
  <c r="CX344" i="1" s="1"/>
  <c r="W344" i="1" s="1"/>
  <c r="CQ344" i="1"/>
  <c r="P344" i="1" s="1"/>
  <c r="CU344" i="1"/>
  <c r="T344" i="1" s="1"/>
  <c r="CV344" i="1"/>
  <c r="U344" i="1" s="1"/>
  <c r="FR344" i="1"/>
  <c r="GL344" i="1"/>
  <c r="GO344" i="1"/>
  <c r="GP344" i="1"/>
  <c r="GV344" i="1"/>
  <c r="HC344" i="1" s="1"/>
  <c r="GX344" i="1" s="1"/>
  <c r="I345" i="1"/>
  <c r="AC345" i="1"/>
  <c r="AB345" i="1" s="1"/>
  <c r="AD345" i="1"/>
  <c r="CR345" i="1" s="1"/>
  <c r="Q345" i="1" s="1"/>
  <c r="AE345" i="1"/>
  <c r="AF345" i="1"/>
  <c r="AG345" i="1"/>
  <c r="CU345" i="1" s="1"/>
  <c r="T345" i="1" s="1"/>
  <c r="AH345" i="1"/>
  <c r="CV345" i="1" s="1"/>
  <c r="U345" i="1" s="1"/>
  <c r="AI345" i="1"/>
  <c r="AJ345" i="1"/>
  <c r="CS345" i="1"/>
  <c r="R345" i="1" s="1"/>
  <c r="GK345" i="1" s="1"/>
  <c r="CT345" i="1"/>
  <c r="S345" i="1" s="1"/>
  <c r="CW345" i="1"/>
  <c r="V345" i="1" s="1"/>
  <c r="CX345" i="1"/>
  <c r="W345" i="1" s="1"/>
  <c r="FR345" i="1"/>
  <c r="GL345" i="1"/>
  <c r="GO345" i="1"/>
  <c r="GP345" i="1"/>
  <c r="GV345" i="1"/>
  <c r="HC345" i="1"/>
  <c r="GX345" i="1" s="1"/>
  <c r="I346" i="1"/>
  <c r="AC346" i="1"/>
  <c r="AE346" i="1"/>
  <c r="AD346" i="1" s="1"/>
  <c r="AF346" i="1"/>
  <c r="CT346" i="1" s="1"/>
  <c r="S346" i="1" s="1"/>
  <c r="AG346" i="1"/>
  <c r="AH346" i="1"/>
  <c r="AI346" i="1"/>
  <c r="CW346" i="1" s="1"/>
  <c r="V346" i="1" s="1"/>
  <c r="AJ346" i="1"/>
  <c r="CX346" i="1" s="1"/>
  <c r="W346" i="1" s="1"/>
  <c r="CQ346" i="1"/>
  <c r="P346" i="1" s="1"/>
  <c r="CU346" i="1"/>
  <c r="T346" i="1" s="1"/>
  <c r="CV346" i="1"/>
  <c r="U346" i="1" s="1"/>
  <c r="FR346" i="1"/>
  <c r="GL346" i="1"/>
  <c r="GO346" i="1"/>
  <c r="GP346" i="1"/>
  <c r="GV346" i="1"/>
  <c r="HC346" i="1" s="1"/>
  <c r="GX346" i="1" s="1"/>
  <c r="C347" i="1"/>
  <c r="D347" i="1"/>
  <c r="I347" i="1"/>
  <c r="AC347" i="1"/>
  <c r="AE347" i="1"/>
  <c r="AD347" i="1" s="1"/>
  <c r="AF347" i="1"/>
  <c r="CT347" i="1" s="1"/>
  <c r="S347" i="1" s="1"/>
  <c r="AG347" i="1"/>
  <c r="AH347" i="1"/>
  <c r="AI347" i="1"/>
  <c r="CW347" i="1" s="1"/>
  <c r="V347" i="1" s="1"/>
  <c r="AJ347" i="1"/>
  <c r="CX347" i="1" s="1"/>
  <c r="W347" i="1" s="1"/>
  <c r="CQ347" i="1"/>
  <c r="P347" i="1" s="1"/>
  <c r="CU347" i="1"/>
  <c r="T347" i="1" s="1"/>
  <c r="CV347" i="1"/>
  <c r="U347" i="1" s="1"/>
  <c r="FR347" i="1"/>
  <c r="GL347" i="1"/>
  <c r="GO347" i="1"/>
  <c r="GP347" i="1"/>
  <c r="GV347" i="1"/>
  <c r="HC347" i="1" s="1"/>
  <c r="GX347" i="1" s="1"/>
  <c r="AC348" i="1"/>
  <c r="AD348" i="1"/>
  <c r="CR348" i="1" s="1"/>
  <c r="AE348" i="1"/>
  <c r="AF348" i="1"/>
  <c r="AG348" i="1"/>
  <c r="CU348" i="1" s="1"/>
  <c r="AH348" i="1"/>
  <c r="CV348" i="1" s="1"/>
  <c r="AI348" i="1"/>
  <c r="AJ348" i="1"/>
  <c r="CS348" i="1"/>
  <c r="CT348" i="1"/>
  <c r="CW348" i="1"/>
  <c r="CX348" i="1"/>
  <c r="FR348" i="1"/>
  <c r="GL348" i="1"/>
  <c r="GO348" i="1"/>
  <c r="GP348" i="1"/>
  <c r="GV348" i="1"/>
  <c r="HC348" i="1"/>
  <c r="C349" i="1"/>
  <c r="D349" i="1"/>
  <c r="I349" i="1"/>
  <c r="AC349" i="1"/>
  <c r="AD349" i="1"/>
  <c r="CR349" i="1" s="1"/>
  <c r="Q349" i="1" s="1"/>
  <c r="AE349" i="1"/>
  <c r="AF349" i="1"/>
  <c r="AG349" i="1"/>
  <c r="CU349" i="1" s="1"/>
  <c r="T349" i="1" s="1"/>
  <c r="AH349" i="1"/>
  <c r="CV349" i="1" s="1"/>
  <c r="U349" i="1" s="1"/>
  <c r="AI349" i="1"/>
  <c r="AJ349" i="1"/>
  <c r="CS349" i="1"/>
  <c r="R349" i="1" s="1"/>
  <c r="GK349" i="1" s="1"/>
  <c r="CT349" i="1"/>
  <c r="S349" i="1" s="1"/>
  <c r="CW349" i="1"/>
  <c r="V349" i="1" s="1"/>
  <c r="CX349" i="1"/>
  <c r="W349" i="1" s="1"/>
  <c r="FR349" i="1"/>
  <c r="GL349" i="1"/>
  <c r="GO349" i="1"/>
  <c r="GP349" i="1"/>
  <c r="GV349" i="1"/>
  <c r="HC349" i="1"/>
  <c r="GX349" i="1" s="1"/>
  <c r="I350" i="1"/>
  <c r="AC350" i="1"/>
  <c r="AE350" i="1"/>
  <c r="AF350" i="1"/>
  <c r="CT350" i="1" s="1"/>
  <c r="S350" i="1" s="1"/>
  <c r="AG350" i="1"/>
  <c r="AH350" i="1"/>
  <c r="AI350" i="1"/>
  <c r="CW350" i="1" s="1"/>
  <c r="V350" i="1" s="1"/>
  <c r="AJ350" i="1"/>
  <c r="CX350" i="1" s="1"/>
  <c r="W350" i="1" s="1"/>
  <c r="CQ350" i="1"/>
  <c r="P350" i="1" s="1"/>
  <c r="CU350" i="1"/>
  <c r="T350" i="1" s="1"/>
  <c r="CV350" i="1"/>
  <c r="U350" i="1" s="1"/>
  <c r="FR350" i="1"/>
  <c r="GL350" i="1"/>
  <c r="GO350" i="1"/>
  <c r="GP350" i="1"/>
  <c r="GV350" i="1"/>
  <c r="HC350" i="1" s="1"/>
  <c r="GX350" i="1" s="1"/>
  <c r="I351" i="1"/>
  <c r="AC351" i="1"/>
  <c r="AB351" i="1" s="1"/>
  <c r="AD351" i="1"/>
  <c r="CR351" i="1" s="1"/>
  <c r="Q351" i="1" s="1"/>
  <c r="AE351" i="1"/>
  <c r="AF351" i="1"/>
  <c r="AG351" i="1"/>
  <c r="AH351" i="1"/>
  <c r="CV351" i="1" s="1"/>
  <c r="U351" i="1" s="1"/>
  <c r="AI351" i="1"/>
  <c r="AJ351" i="1"/>
  <c r="CS351" i="1"/>
  <c r="R351" i="1" s="1"/>
  <c r="GK351" i="1" s="1"/>
  <c r="CT351" i="1"/>
  <c r="S351" i="1" s="1"/>
  <c r="CU351" i="1"/>
  <c r="T351" i="1" s="1"/>
  <c r="CW351" i="1"/>
  <c r="V351" i="1" s="1"/>
  <c r="CX351" i="1"/>
  <c r="W351" i="1" s="1"/>
  <c r="FR351" i="1"/>
  <c r="GL351" i="1"/>
  <c r="GO351" i="1"/>
  <c r="GP351" i="1"/>
  <c r="CD358" i="1" s="1"/>
  <c r="GV351" i="1"/>
  <c r="HC351" i="1"/>
  <c r="GX351" i="1" s="1"/>
  <c r="C352" i="1"/>
  <c r="D352" i="1"/>
  <c r="I352" i="1"/>
  <c r="AC352" i="1"/>
  <c r="AB352" i="1" s="1"/>
  <c r="AD352" i="1"/>
  <c r="CR352" i="1" s="1"/>
  <c r="Q352" i="1" s="1"/>
  <c r="AE352" i="1"/>
  <c r="AF352" i="1"/>
  <c r="AG352" i="1"/>
  <c r="AH352" i="1"/>
  <c r="CV352" i="1" s="1"/>
  <c r="U352" i="1" s="1"/>
  <c r="AI352" i="1"/>
  <c r="AJ352" i="1"/>
  <c r="CS352" i="1"/>
  <c r="R352" i="1" s="1"/>
  <c r="GK352" i="1" s="1"/>
  <c r="CT352" i="1"/>
  <c r="S352" i="1" s="1"/>
  <c r="CU352" i="1"/>
  <c r="T352" i="1" s="1"/>
  <c r="CW352" i="1"/>
  <c r="V352" i="1" s="1"/>
  <c r="CX352" i="1"/>
  <c r="W352" i="1" s="1"/>
  <c r="FR352" i="1"/>
  <c r="GL352" i="1"/>
  <c r="GO352" i="1"/>
  <c r="GP352" i="1"/>
  <c r="GV352" i="1"/>
  <c r="HC352" i="1"/>
  <c r="GX352" i="1" s="1"/>
  <c r="I353" i="1"/>
  <c r="U353" i="1"/>
  <c r="AC353" i="1"/>
  <c r="AE353" i="1"/>
  <c r="AD353" i="1" s="1"/>
  <c r="CR353" i="1" s="1"/>
  <c r="Q353" i="1" s="1"/>
  <c r="AF353" i="1"/>
  <c r="CT353" i="1" s="1"/>
  <c r="S353" i="1" s="1"/>
  <c r="AG353" i="1"/>
  <c r="AH353" i="1"/>
  <c r="AI353" i="1"/>
  <c r="CW353" i="1" s="1"/>
  <c r="V353" i="1" s="1"/>
  <c r="AJ353" i="1"/>
  <c r="CX353" i="1" s="1"/>
  <c r="W353" i="1" s="1"/>
  <c r="CQ353" i="1"/>
  <c r="CS353" i="1"/>
  <c r="R353" i="1" s="1"/>
  <c r="CU353" i="1"/>
  <c r="T353" i="1" s="1"/>
  <c r="CV353" i="1"/>
  <c r="FR353" i="1"/>
  <c r="GL353" i="1"/>
  <c r="GO353" i="1"/>
  <c r="GP353" i="1"/>
  <c r="GV353" i="1"/>
  <c r="HC353" i="1" s="1"/>
  <c r="GX353" i="1"/>
  <c r="I354" i="1"/>
  <c r="S354" i="1"/>
  <c r="CZ354" i="1" s="1"/>
  <c r="Y354" i="1" s="1"/>
  <c r="AC354" i="1"/>
  <c r="AB354" i="1" s="1"/>
  <c r="AD354" i="1"/>
  <c r="CR354" i="1" s="1"/>
  <c r="Q354" i="1" s="1"/>
  <c r="AE354" i="1"/>
  <c r="AF354" i="1"/>
  <c r="AG354" i="1"/>
  <c r="AH354" i="1"/>
  <c r="CV354" i="1" s="1"/>
  <c r="U354" i="1" s="1"/>
  <c r="AI354" i="1"/>
  <c r="AJ354" i="1"/>
  <c r="CS354" i="1"/>
  <c r="R354" i="1" s="1"/>
  <c r="CT354" i="1"/>
  <c r="CU354" i="1"/>
  <c r="T354" i="1" s="1"/>
  <c r="CW354" i="1"/>
  <c r="V354" i="1" s="1"/>
  <c r="CX354" i="1"/>
  <c r="W354" i="1" s="1"/>
  <c r="FR354" i="1"/>
  <c r="GK354" i="1"/>
  <c r="GL354" i="1"/>
  <c r="GO354" i="1"/>
  <c r="GP354" i="1"/>
  <c r="GV354" i="1"/>
  <c r="HC354" i="1"/>
  <c r="GX354" i="1" s="1"/>
  <c r="C355" i="1"/>
  <c r="D355" i="1"/>
  <c r="P355" i="1"/>
  <c r="T355" i="1"/>
  <c r="AC355" i="1"/>
  <c r="AD355" i="1"/>
  <c r="AE355" i="1"/>
  <c r="CS355" i="1" s="1"/>
  <c r="R355" i="1" s="1"/>
  <c r="GK355" i="1" s="1"/>
  <c r="AF355" i="1"/>
  <c r="AG355" i="1"/>
  <c r="AH355" i="1"/>
  <c r="CV355" i="1" s="1"/>
  <c r="U355" i="1" s="1"/>
  <c r="AI355" i="1"/>
  <c r="CW355" i="1" s="1"/>
  <c r="V355" i="1" s="1"/>
  <c r="AJ355" i="1"/>
  <c r="CQ355" i="1"/>
  <c r="CR355" i="1"/>
  <c r="Q355" i="1" s="1"/>
  <c r="CT355" i="1"/>
  <c r="S355" i="1" s="1"/>
  <c r="CZ355" i="1" s="1"/>
  <c r="Y355" i="1" s="1"/>
  <c r="CU355" i="1"/>
  <c r="CX355" i="1"/>
  <c r="W355" i="1" s="1"/>
  <c r="CY355" i="1"/>
  <c r="X355" i="1" s="1"/>
  <c r="FR355" i="1"/>
  <c r="GL355" i="1"/>
  <c r="GO355" i="1"/>
  <c r="GP355" i="1"/>
  <c r="GV355" i="1"/>
  <c r="HC355" i="1"/>
  <c r="GX355" i="1" s="1"/>
  <c r="C356" i="1"/>
  <c r="D356" i="1"/>
  <c r="AC356" i="1"/>
  <c r="AE356" i="1"/>
  <c r="AD356" i="1" s="1"/>
  <c r="AF356" i="1"/>
  <c r="CT356" i="1" s="1"/>
  <c r="S356" i="1" s="1"/>
  <c r="AG356" i="1"/>
  <c r="AH356" i="1"/>
  <c r="AI356" i="1"/>
  <c r="CW356" i="1" s="1"/>
  <c r="V356" i="1" s="1"/>
  <c r="AJ356" i="1"/>
  <c r="CX356" i="1" s="1"/>
  <c r="W356" i="1" s="1"/>
  <c r="CQ356" i="1"/>
  <c r="P356" i="1" s="1"/>
  <c r="CS356" i="1"/>
  <c r="R356" i="1" s="1"/>
  <c r="CU356" i="1"/>
  <c r="T356" i="1" s="1"/>
  <c r="CV356" i="1"/>
  <c r="U356" i="1" s="1"/>
  <c r="FR356" i="1"/>
  <c r="GL356" i="1"/>
  <c r="GO356" i="1"/>
  <c r="GP356" i="1"/>
  <c r="GV356" i="1"/>
  <c r="HC356" i="1" s="1"/>
  <c r="GX356" i="1"/>
  <c r="B358" i="1"/>
  <c r="B320" i="1" s="1"/>
  <c r="C358" i="1"/>
  <c r="C320" i="1" s="1"/>
  <c r="D358" i="1"/>
  <c r="D320" i="1" s="1"/>
  <c r="F358" i="1"/>
  <c r="F320" i="1" s="1"/>
  <c r="G358" i="1"/>
  <c r="G320" i="1" s="1"/>
  <c r="AQ358" i="1"/>
  <c r="AQ320" i="1" s="1"/>
  <c r="BB358" i="1"/>
  <c r="BB320" i="1" s="1"/>
  <c r="BX358" i="1"/>
  <c r="BZ358" i="1"/>
  <c r="BZ320" i="1" s="1"/>
  <c r="CK358" i="1"/>
  <c r="CK320" i="1" s="1"/>
  <c r="CL358" i="1"/>
  <c r="CL320" i="1" s="1"/>
  <c r="F368" i="1"/>
  <c r="D390" i="1"/>
  <c r="E392" i="1"/>
  <c r="Z392" i="1"/>
  <c r="AA392" i="1"/>
  <c r="AM392" i="1"/>
  <c r="AN392" i="1"/>
  <c r="BD392" i="1"/>
  <c r="BE392" i="1"/>
  <c r="BF392" i="1"/>
  <c r="BG392" i="1"/>
  <c r="BH392" i="1"/>
  <c r="BI392" i="1"/>
  <c r="BJ392" i="1"/>
  <c r="BK392" i="1"/>
  <c r="BL392" i="1"/>
  <c r="BM392" i="1"/>
  <c r="BN392" i="1"/>
  <c r="BO392" i="1"/>
  <c r="BP392" i="1"/>
  <c r="BQ392" i="1"/>
  <c r="BR392" i="1"/>
  <c r="BS392" i="1"/>
  <c r="BT392" i="1"/>
  <c r="BU392" i="1"/>
  <c r="BV392" i="1"/>
  <c r="BW392" i="1"/>
  <c r="CM392" i="1"/>
  <c r="CN392" i="1"/>
  <c r="CO392" i="1"/>
  <c r="CP392" i="1"/>
  <c r="CQ392" i="1"/>
  <c r="CR392" i="1"/>
  <c r="CS392" i="1"/>
  <c r="CT392" i="1"/>
  <c r="CU392" i="1"/>
  <c r="CV392" i="1"/>
  <c r="CW392" i="1"/>
  <c r="CX392" i="1"/>
  <c r="CY392" i="1"/>
  <c r="CZ392" i="1"/>
  <c r="DA392" i="1"/>
  <c r="DB392" i="1"/>
  <c r="DC392" i="1"/>
  <c r="DD392" i="1"/>
  <c r="DE392" i="1"/>
  <c r="DF392" i="1"/>
  <c r="DG392" i="1"/>
  <c r="DH392" i="1"/>
  <c r="DI392" i="1"/>
  <c r="DJ392" i="1"/>
  <c r="DK392" i="1"/>
  <c r="DL392" i="1"/>
  <c r="DM392" i="1"/>
  <c r="DN392" i="1"/>
  <c r="DO392" i="1"/>
  <c r="DP392" i="1"/>
  <c r="DQ392" i="1"/>
  <c r="DR392" i="1"/>
  <c r="DS392" i="1"/>
  <c r="DT392" i="1"/>
  <c r="DU392" i="1"/>
  <c r="DV392" i="1"/>
  <c r="DW392" i="1"/>
  <c r="DX392" i="1"/>
  <c r="DY392" i="1"/>
  <c r="DZ392" i="1"/>
  <c r="EA392" i="1"/>
  <c r="EB392" i="1"/>
  <c r="EC392" i="1"/>
  <c r="ED392" i="1"/>
  <c r="EE392" i="1"/>
  <c r="EF392" i="1"/>
  <c r="EG392" i="1"/>
  <c r="EH392" i="1"/>
  <c r="EI392" i="1"/>
  <c r="EJ392" i="1"/>
  <c r="EK392" i="1"/>
  <c r="EL392" i="1"/>
  <c r="EM392" i="1"/>
  <c r="EN392" i="1"/>
  <c r="EO392" i="1"/>
  <c r="EP392" i="1"/>
  <c r="EQ392" i="1"/>
  <c r="ER392" i="1"/>
  <c r="ES392" i="1"/>
  <c r="ET392" i="1"/>
  <c r="EU392" i="1"/>
  <c r="EV392" i="1"/>
  <c r="EW392" i="1"/>
  <c r="EX392" i="1"/>
  <c r="EY392" i="1"/>
  <c r="EZ392" i="1"/>
  <c r="FA392" i="1"/>
  <c r="FB392" i="1"/>
  <c r="FC392" i="1"/>
  <c r="FD392" i="1"/>
  <c r="FE392" i="1"/>
  <c r="FF392" i="1"/>
  <c r="FG392" i="1"/>
  <c r="FH392" i="1"/>
  <c r="FI392" i="1"/>
  <c r="FJ392" i="1"/>
  <c r="FK392" i="1"/>
  <c r="FL392" i="1"/>
  <c r="FM392" i="1"/>
  <c r="FN392" i="1"/>
  <c r="FO392" i="1"/>
  <c r="FP392" i="1"/>
  <c r="FQ392" i="1"/>
  <c r="FR392" i="1"/>
  <c r="FS392" i="1"/>
  <c r="FT392" i="1"/>
  <c r="FU392" i="1"/>
  <c r="FV392" i="1"/>
  <c r="FW392" i="1"/>
  <c r="FX392" i="1"/>
  <c r="FY392" i="1"/>
  <c r="FZ392" i="1"/>
  <c r="GA392" i="1"/>
  <c r="GB392" i="1"/>
  <c r="GC392" i="1"/>
  <c r="GD392" i="1"/>
  <c r="GE392" i="1"/>
  <c r="GF392" i="1"/>
  <c r="GG392" i="1"/>
  <c r="GH392" i="1"/>
  <c r="GI392" i="1"/>
  <c r="GJ392" i="1"/>
  <c r="GK392" i="1"/>
  <c r="GL392" i="1"/>
  <c r="GM392" i="1"/>
  <c r="GN392" i="1"/>
  <c r="GO392" i="1"/>
  <c r="GP392" i="1"/>
  <c r="GQ392" i="1"/>
  <c r="GR392" i="1"/>
  <c r="GS392" i="1"/>
  <c r="GT392" i="1"/>
  <c r="GU392" i="1"/>
  <c r="GV392" i="1"/>
  <c r="GW392" i="1"/>
  <c r="GX392" i="1"/>
  <c r="C394" i="1"/>
  <c r="D394" i="1"/>
  <c r="I394" i="1"/>
  <c r="S394" i="1"/>
  <c r="CZ394" i="1" s="1"/>
  <c r="Y394" i="1" s="1"/>
  <c r="W394" i="1"/>
  <c r="AC394" i="1"/>
  <c r="AD394" i="1"/>
  <c r="CR394" i="1" s="1"/>
  <c r="Q394" i="1" s="1"/>
  <c r="AE394" i="1"/>
  <c r="CS394" i="1" s="1"/>
  <c r="R394" i="1" s="1"/>
  <c r="AF394" i="1"/>
  <c r="AG394" i="1"/>
  <c r="AH394" i="1"/>
  <c r="AI394" i="1"/>
  <c r="CW394" i="1" s="1"/>
  <c r="V394" i="1" s="1"/>
  <c r="AJ394" i="1"/>
  <c r="CQ394" i="1"/>
  <c r="P394" i="1" s="1"/>
  <c r="CT394" i="1"/>
  <c r="CU394" i="1"/>
  <c r="T394" i="1" s="1"/>
  <c r="CV394" i="1"/>
  <c r="U394" i="1" s="1"/>
  <c r="CX394" i="1"/>
  <c r="FR394" i="1"/>
  <c r="GK394" i="1"/>
  <c r="GL394" i="1"/>
  <c r="GO394" i="1"/>
  <c r="GP394" i="1"/>
  <c r="GV394" i="1"/>
  <c r="HC394" i="1"/>
  <c r="GX394" i="1" s="1"/>
  <c r="C395" i="1"/>
  <c r="D395" i="1"/>
  <c r="I395" i="1"/>
  <c r="U395" i="1"/>
  <c r="W395" i="1"/>
  <c r="AC395" i="1"/>
  <c r="AB395" i="1" s="1"/>
  <c r="AD395" i="1"/>
  <c r="CR395" i="1" s="1"/>
  <c r="Q395" i="1" s="1"/>
  <c r="AE395" i="1"/>
  <c r="CS395" i="1" s="1"/>
  <c r="R395" i="1" s="1"/>
  <c r="AF395" i="1"/>
  <c r="AG395" i="1"/>
  <c r="AH395" i="1"/>
  <c r="AI395" i="1"/>
  <c r="CW395" i="1" s="1"/>
  <c r="V395" i="1" s="1"/>
  <c r="AJ395" i="1"/>
  <c r="CT395" i="1"/>
  <c r="S395" i="1" s="1"/>
  <c r="CU395" i="1"/>
  <c r="T395" i="1" s="1"/>
  <c r="CV395" i="1"/>
  <c r="CX395" i="1"/>
  <c r="FR395" i="1"/>
  <c r="GK395" i="1"/>
  <c r="GL395" i="1"/>
  <c r="GO395" i="1"/>
  <c r="GP395" i="1"/>
  <c r="GV395" i="1"/>
  <c r="HC395" i="1"/>
  <c r="GX395" i="1" s="1"/>
  <c r="I396" i="1"/>
  <c r="AC396" i="1"/>
  <c r="CQ396" i="1" s="1"/>
  <c r="AE396" i="1"/>
  <c r="AD396" i="1" s="1"/>
  <c r="CR396" i="1" s="1"/>
  <c r="Q396" i="1" s="1"/>
  <c r="AF396" i="1"/>
  <c r="AG396" i="1"/>
  <c r="CU396" i="1" s="1"/>
  <c r="AH396" i="1"/>
  <c r="AI396" i="1"/>
  <c r="CW396" i="1" s="1"/>
  <c r="V396" i="1" s="1"/>
  <c r="AJ396" i="1"/>
  <c r="CS396" i="1"/>
  <c r="R396" i="1" s="1"/>
  <c r="CT396" i="1"/>
  <c r="S396" i="1" s="1"/>
  <c r="CV396" i="1"/>
  <c r="U396" i="1" s="1"/>
  <c r="CX396" i="1"/>
  <c r="W396" i="1" s="1"/>
  <c r="FR396" i="1"/>
  <c r="GL396" i="1"/>
  <c r="GO396" i="1"/>
  <c r="GP396" i="1"/>
  <c r="GV396" i="1"/>
  <c r="HC396" i="1" s="1"/>
  <c r="GX396" i="1" s="1"/>
  <c r="I397" i="1"/>
  <c r="S397" i="1"/>
  <c r="CY397" i="1" s="1"/>
  <c r="X397" i="1" s="1"/>
  <c r="T397" i="1"/>
  <c r="AC397" i="1"/>
  <c r="AE397" i="1"/>
  <c r="CS397" i="1" s="1"/>
  <c r="R397" i="1" s="1"/>
  <c r="AF397" i="1"/>
  <c r="AG397" i="1"/>
  <c r="AH397" i="1"/>
  <c r="AI397" i="1"/>
  <c r="CW397" i="1" s="1"/>
  <c r="V397" i="1" s="1"/>
  <c r="AJ397" i="1"/>
  <c r="CQ397" i="1"/>
  <c r="P397" i="1" s="1"/>
  <c r="CT397" i="1"/>
  <c r="CU397" i="1"/>
  <c r="CV397" i="1"/>
  <c r="U397" i="1" s="1"/>
  <c r="CX397" i="1"/>
  <c r="W397" i="1" s="1"/>
  <c r="FR397" i="1"/>
  <c r="GK397" i="1"/>
  <c r="GL397" i="1"/>
  <c r="GO397" i="1"/>
  <c r="GP397" i="1"/>
  <c r="GV397" i="1"/>
  <c r="HC397" i="1" s="1"/>
  <c r="GX397" i="1" s="1"/>
  <c r="C398" i="1"/>
  <c r="D398" i="1"/>
  <c r="I398" i="1"/>
  <c r="S398" i="1"/>
  <c r="CZ398" i="1" s="1"/>
  <c r="Y398" i="1" s="1"/>
  <c r="W398" i="1"/>
  <c r="AC398" i="1"/>
  <c r="AD398" i="1"/>
  <c r="CR398" i="1" s="1"/>
  <c r="Q398" i="1" s="1"/>
  <c r="AE398" i="1"/>
  <c r="CS398" i="1" s="1"/>
  <c r="R398" i="1" s="1"/>
  <c r="AF398" i="1"/>
  <c r="AG398" i="1"/>
  <c r="AH398" i="1"/>
  <c r="AI398" i="1"/>
  <c r="CW398" i="1" s="1"/>
  <c r="V398" i="1" s="1"/>
  <c r="AJ398" i="1"/>
  <c r="CQ398" i="1"/>
  <c r="P398" i="1" s="1"/>
  <c r="CP398" i="1" s="1"/>
  <c r="O398" i="1" s="1"/>
  <c r="CT398" i="1"/>
  <c r="CU398" i="1"/>
  <c r="T398" i="1" s="1"/>
  <c r="CV398" i="1"/>
  <c r="U398" i="1" s="1"/>
  <c r="CX398" i="1"/>
  <c r="FR398" i="1"/>
  <c r="GK398" i="1"/>
  <c r="GL398" i="1"/>
  <c r="GO398" i="1"/>
  <c r="GP398" i="1"/>
  <c r="GV398" i="1"/>
  <c r="HC398" i="1"/>
  <c r="GX398" i="1" s="1"/>
  <c r="I399" i="1"/>
  <c r="AC399" i="1"/>
  <c r="CQ399" i="1" s="1"/>
  <c r="AE399" i="1"/>
  <c r="AD399" i="1" s="1"/>
  <c r="CR399" i="1" s="1"/>
  <c r="Q399" i="1" s="1"/>
  <c r="AF399" i="1"/>
  <c r="AB399" i="1" s="1"/>
  <c r="AG399" i="1"/>
  <c r="CU399" i="1" s="1"/>
  <c r="AH399" i="1"/>
  <c r="AI399" i="1"/>
  <c r="CW399" i="1" s="1"/>
  <c r="V399" i="1" s="1"/>
  <c r="AJ399" i="1"/>
  <c r="CX399" i="1" s="1"/>
  <c r="W399" i="1" s="1"/>
  <c r="CS399" i="1"/>
  <c r="R399" i="1" s="1"/>
  <c r="GK399" i="1" s="1"/>
  <c r="CT399" i="1"/>
  <c r="S399" i="1" s="1"/>
  <c r="CV399" i="1"/>
  <c r="U399" i="1" s="1"/>
  <c r="FR399" i="1"/>
  <c r="GL399" i="1"/>
  <c r="GO399" i="1"/>
  <c r="GP399" i="1"/>
  <c r="GV399" i="1"/>
  <c r="HC399" i="1" s="1"/>
  <c r="GX399" i="1" s="1"/>
  <c r="I400" i="1"/>
  <c r="T400" i="1"/>
  <c r="U400" i="1"/>
  <c r="AC400" i="1"/>
  <c r="CQ400" i="1" s="1"/>
  <c r="P400" i="1" s="1"/>
  <c r="AE400" i="1"/>
  <c r="CS400" i="1" s="1"/>
  <c r="R400" i="1" s="1"/>
  <c r="AF400" i="1"/>
  <c r="AG400" i="1"/>
  <c r="AH400" i="1"/>
  <c r="AI400" i="1"/>
  <c r="CW400" i="1" s="1"/>
  <c r="V400" i="1" s="1"/>
  <c r="AJ400" i="1"/>
  <c r="CT400" i="1"/>
  <c r="S400" i="1" s="1"/>
  <c r="CU400" i="1"/>
  <c r="CV400" i="1"/>
  <c r="CX400" i="1"/>
  <c r="W400" i="1" s="1"/>
  <c r="FR400" i="1"/>
  <c r="GK400" i="1"/>
  <c r="GL400" i="1"/>
  <c r="GO400" i="1"/>
  <c r="GP400" i="1"/>
  <c r="GV400" i="1"/>
  <c r="HC400" i="1" s="1"/>
  <c r="GX400" i="1" s="1"/>
  <c r="C401" i="1"/>
  <c r="D401" i="1"/>
  <c r="I401" i="1"/>
  <c r="S401" i="1"/>
  <c r="T401" i="1"/>
  <c r="AC401" i="1"/>
  <c r="AE401" i="1"/>
  <c r="AD401" i="1" s="1"/>
  <c r="CR401" i="1" s="1"/>
  <c r="Q401" i="1" s="1"/>
  <c r="AF401" i="1"/>
  <c r="AG401" i="1"/>
  <c r="AH401" i="1"/>
  <c r="AI401" i="1"/>
  <c r="CW401" i="1" s="1"/>
  <c r="V401" i="1" s="1"/>
  <c r="AJ401" i="1"/>
  <c r="CX401" i="1" s="1"/>
  <c r="W401" i="1" s="1"/>
  <c r="CQ401" i="1"/>
  <c r="P401" i="1" s="1"/>
  <c r="CP401" i="1" s="1"/>
  <c r="O401" i="1" s="1"/>
  <c r="CT401" i="1"/>
  <c r="CU401" i="1"/>
  <c r="CV401" i="1"/>
  <c r="U401" i="1" s="1"/>
  <c r="FR401" i="1"/>
  <c r="GL401" i="1"/>
  <c r="GO401" i="1"/>
  <c r="GP401" i="1"/>
  <c r="GV401" i="1"/>
  <c r="HC401" i="1" s="1"/>
  <c r="GX401" i="1" s="1"/>
  <c r="I402" i="1"/>
  <c r="AC402" i="1"/>
  <c r="AB402" i="1" s="1"/>
  <c r="AD402" i="1"/>
  <c r="CR402" i="1" s="1"/>
  <c r="Q402" i="1" s="1"/>
  <c r="AE402" i="1"/>
  <c r="AF402" i="1"/>
  <c r="AG402" i="1"/>
  <c r="CU402" i="1" s="1"/>
  <c r="T402" i="1" s="1"/>
  <c r="AH402" i="1"/>
  <c r="CV402" i="1" s="1"/>
  <c r="U402" i="1" s="1"/>
  <c r="AI402" i="1"/>
  <c r="AJ402" i="1"/>
  <c r="CS402" i="1"/>
  <c r="R402" i="1" s="1"/>
  <c r="GK402" i="1" s="1"/>
  <c r="CT402" i="1"/>
  <c r="S402" i="1" s="1"/>
  <c r="CW402" i="1"/>
  <c r="V402" i="1" s="1"/>
  <c r="CX402" i="1"/>
  <c r="W402" i="1" s="1"/>
  <c r="FR402" i="1"/>
  <c r="GL402" i="1"/>
  <c r="GO402" i="1"/>
  <c r="GP402" i="1"/>
  <c r="GV402" i="1"/>
  <c r="HC402" i="1"/>
  <c r="GX402" i="1" s="1"/>
  <c r="I403" i="1"/>
  <c r="P403" i="1" s="1"/>
  <c r="AC403" i="1"/>
  <c r="AE403" i="1"/>
  <c r="AD403" i="1" s="1"/>
  <c r="AF403" i="1"/>
  <c r="CT403" i="1" s="1"/>
  <c r="S403" i="1" s="1"/>
  <c r="AG403" i="1"/>
  <c r="AH403" i="1"/>
  <c r="AI403" i="1"/>
  <c r="CW403" i="1" s="1"/>
  <c r="V403" i="1" s="1"/>
  <c r="AJ403" i="1"/>
  <c r="CX403" i="1" s="1"/>
  <c r="W403" i="1" s="1"/>
  <c r="CQ403" i="1"/>
  <c r="CU403" i="1"/>
  <c r="T403" i="1" s="1"/>
  <c r="CV403" i="1"/>
  <c r="U403" i="1" s="1"/>
  <c r="FR403" i="1"/>
  <c r="GL403" i="1"/>
  <c r="GO403" i="1"/>
  <c r="GP403" i="1"/>
  <c r="GV403" i="1"/>
  <c r="HC403" i="1" s="1"/>
  <c r="GX403" i="1" s="1"/>
  <c r="C404" i="1"/>
  <c r="D404" i="1"/>
  <c r="AC404" i="1"/>
  <c r="CQ404" i="1" s="1"/>
  <c r="P404" i="1" s="1"/>
  <c r="AE404" i="1"/>
  <c r="AD404" i="1" s="1"/>
  <c r="AF404" i="1"/>
  <c r="CT404" i="1" s="1"/>
  <c r="S404" i="1" s="1"/>
  <c r="AG404" i="1"/>
  <c r="CU404" i="1" s="1"/>
  <c r="T404" i="1" s="1"/>
  <c r="AH404" i="1"/>
  <c r="AI404" i="1"/>
  <c r="AJ404" i="1"/>
  <c r="CX404" i="1" s="1"/>
  <c r="W404" i="1" s="1"/>
  <c r="CS404" i="1"/>
  <c r="R404" i="1" s="1"/>
  <c r="GK404" i="1" s="1"/>
  <c r="CV404" i="1"/>
  <c r="U404" i="1" s="1"/>
  <c r="CW404" i="1"/>
  <c r="V404" i="1" s="1"/>
  <c r="FR404" i="1"/>
  <c r="GL404" i="1"/>
  <c r="GO404" i="1"/>
  <c r="GP404" i="1"/>
  <c r="GV404" i="1"/>
  <c r="GX404" i="1"/>
  <c r="HC404" i="1"/>
  <c r="I405" i="1"/>
  <c r="AC405" i="1"/>
  <c r="AB405" i="1" s="1"/>
  <c r="AD405" i="1"/>
  <c r="CR405" i="1" s="1"/>
  <c r="Q405" i="1" s="1"/>
  <c r="AE405" i="1"/>
  <c r="CS405" i="1" s="1"/>
  <c r="R405" i="1" s="1"/>
  <c r="GK405" i="1" s="1"/>
  <c r="AF405" i="1"/>
  <c r="AG405" i="1"/>
  <c r="AH405" i="1"/>
  <c r="CV405" i="1" s="1"/>
  <c r="U405" i="1" s="1"/>
  <c r="AI405" i="1"/>
  <c r="CW405" i="1" s="1"/>
  <c r="V405" i="1" s="1"/>
  <c r="AJ405" i="1"/>
  <c r="CQ405" i="1"/>
  <c r="P405" i="1" s="1"/>
  <c r="CP405" i="1" s="1"/>
  <c r="O405" i="1" s="1"/>
  <c r="CT405" i="1"/>
  <c r="S405" i="1" s="1"/>
  <c r="CU405" i="1"/>
  <c r="T405" i="1" s="1"/>
  <c r="CX405" i="1"/>
  <c r="W405" i="1" s="1"/>
  <c r="FR405" i="1"/>
  <c r="GL405" i="1"/>
  <c r="GO405" i="1"/>
  <c r="GP405" i="1"/>
  <c r="GV405" i="1"/>
  <c r="HC405" i="1" s="1"/>
  <c r="GX405" i="1" s="1"/>
  <c r="I406" i="1"/>
  <c r="AC406" i="1"/>
  <c r="CQ406" i="1" s="1"/>
  <c r="P406" i="1" s="1"/>
  <c r="AE406" i="1"/>
  <c r="AD406" i="1" s="1"/>
  <c r="AF406" i="1"/>
  <c r="CT406" i="1" s="1"/>
  <c r="S406" i="1" s="1"/>
  <c r="AG406" i="1"/>
  <c r="CU406" i="1" s="1"/>
  <c r="T406" i="1" s="1"/>
  <c r="AH406" i="1"/>
  <c r="AI406" i="1"/>
  <c r="AJ406" i="1"/>
  <c r="CX406" i="1" s="1"/>
  <c r="W406" i="1" s="1"/>
  <c r="CS406" i="1"/>
  <c r="R406" i="1" s="1"/>
  <c r="GK406" i="1" s="1"/>
  <c r="CV406" i="1"/>
  <c r="U406" i="1" s="1"/>
  <c r="CW406" i="1"/>
  <c r="V406" i="1" s="1"/>
  <c r="FR406" i="1"/>
  <c r="GL406" i="1"/>
  <c r="GO406" i="1"/>
  <c r="GP406" i="1"/>
  <c r="GV406" i="1"/>
  <c r="GX406" i="1"/>
  <c r="HC406" i="1"/>
  <c r="C407" i="1"/>
  <c r="D407" i="1"/>
  <c r="I407" i="1"/>
  <c r="AC407" i="1"/>
  <c r="CQ407" i="1" s="1"/>
  <c r="P407" i="1" s="1"/>
  <c r="AE407" i="1"/>
  <c r="AD407" i="1" s="1"/>
  <c r="AF407" i="1"/>
  <c r="CT407" i="1" s="1"/>
  <c r="S407" i="1" s="1"/>
  <c r="AG407" i="1"/>
  <c r="CU407" i="1" s="1"/>
  <c r="T407" i="1" s="1"/>
  <c r="AH407" i="1"/>
  <c r="AI407" i="1"/>
  <c r="AJ407" i="1"/>
  <c r="CX407" i="1" s="1"/>
  <c r="W407" i="1" s="1"/>
  <c r="CS407" i="1"/>
  <c r="R407" i="1" s="1"/>
  <c r="GK407" i="1" s="1"/>
  <c r="CV407" i="1"/>
  <c r="U407" i="1" s="1"/>
  <c r="CW407" i="1"/>
  <c r="V407" i="1" s="1"/>
  <c r="FR407" i="1"/>
  <c r="GL407" i="1"/>
  <c r="GO407" i="1"/>
  <c r="GP407" i="1"/>
  <c r="GV407" i="1"/>
  <c r="GX407" i="1"/>
  <c r="HC407" i="1"/>
  <c r="C408" i="1"/>
  <c r="D408" i="1"/>
  <c r="I408" i="1"/>
  <c r="AC408" i="1"/>
  <c r="CQ408" i="1" s="1"/>
  <c r="P408" i="1" s="1"/>
  <c r="AE408" i="1"/>
  <c r="AD408" i="1" s="1"/>
  <c r="AF408" i="1"/>
  <c r="CT408" i="1" s="1"/>
  <c r="S408" i="1" s="1"/>
  <c r="AG408" i="1"/>
  <c r="CU408" i="1" s="1"/>
  <c r="T408" i="1" s="1"/>
  <c r="AH408" i="1"/>
  <c r="AI408" i="1"/>
  <c r="AJ408" i="1"/>
  <c r="CX408" i="1" s="1"/>
  <c r="W408" i="1" s="1"/>
  <c r="CS408" i="1"/>
  <c r="R408" i="1" s="1"/>
  <c r="GK408" i="1" s="1"/>
  <c r="CV408" i="1"/>
  <c r="U408" i="1" s="1"/>
  <c r="CW408" i="1"/>
  <c r="V408" i="1" s="1"/>
  <c r="FR408" i="1"/>
  <c r="GL408" i="1"/>
  <c r="GO408" i="1"/>
  <c r="GP408" i="1"/>
  <c r="GV408" i="1"/>
  <c r="GX408" i="1"/>
  <c r="HC408" i="1"/>
  <c r="C409" i="1"/>
  <c r="D409" i="1"/>
  <c r="I409" i="1"/>
  <c r="I410" i="1" s="1"/>
  <c r="AC409" i="1"/>
  <c r="CQ409" i="1" s="1"/>
  <c r="P409" i="1" s="1"/>
  <c r="AE409" i="1"/>
  <c r="AD409" i="1" s="1"/>
  <c r="AF409" i="1"/>
  <c r="CT409" i="1" s="1"/>
  <c r="S409" i="1" s="1"/>
  <c r="AG409" i="1"/>
  <c r="CU409" i="1" s="1"/>
  <c r="T409" i="1" s="1"/>
  <c r="AH409" i="1"/>
  <c r="AI409" i="1"/>
  <c r="AJ409" i="1"/>
  <c r="CX409" i="1" s="1"/>
  <c r="W409" i="1" s="1"/>
  <c r="CS409" i="1"/>
  <c r="R409" i="1" s="1"/>
  <c r="GK409" i="1" s="1"/>
  <c r="CV409" i="1"/>
  <c r="U409" i="1" s="1"/>
  <c r="CW409" i="1"/>
  <c r="V409" i="1" s="1"/>
  <c r="FR409" i="1"/>
  <c r="GL409" i="1"/>
  <c r="GO409" i="1"/>
  <c r="GP409" i="1"/>
  <c r="GV409" i="1"/>
  <c r="GX409" i="1"/>
  <c r="HC409" i="1"/>
  <c r="AC410" i="1"/>
  <c r="AB410" i="1" s="1"/>
  <c r="AD410" i="1"/>
  <c r="CR410" i="1" s="1"/>
  <c r="Q410" i="1" s="1"/>
  <c r="AE410" i="1"/>
  <c r="CS410" i="1" s="1"/>
  <c r="R410" i="1" s="1"/>
  <c r="GK410" i="1" s="1"/>
  <c r="AF410" i="1"/>
  <c r="AG410" i="1"/>
  <c r="AH410" i="1"/>
  <c r="CV410" i="1" s="1"/>
  <c r="U410" i="1" s="1"/>
  <c r="AI410" i="1"/>
  <c r="CW410" i="1" s="1"/>
  <c r="V410" i="1" s="1"/>
  <c r="AJ410" i="1"/>
  <c r="CQ410" i="1"/>
  <c r="CT410" i="1"/>
  <c r="S410" i="1" s="1"/>
  <c r="CU410" i="1"/>
  <c r="T410" i="1" s="1"/>
  <c r="CX410" i="1"/>
  <c r="FR410" i="1"/>
  <c r="GL410" i="1"/>
  <c r="GO410" i="1"/>
  <c r="GP410" i="1"/>
  <c r="GV410" i="1"/>
  <c r="HC410" i="1" s="1"/>
  <c r="I411" i="1"/>
  <c r="AC411" i="1"/>
  <c r="CQ411" i="1" s="1"/>
  <c r="P411" i="1" s="1"/>
  <c r="AE411" i="1"/>
  <c r="AD411" i="1" s="1"/>
  <c r="AF411" i="1"/>
  <c r="CT411" i="1" s="1"/>
  <c r="S411" i="1" s="1"/>
  <c r="AG411" i="1"/>
  <c r="CU411" i="1" s="1"/>
  <c r="T411" i="1" s="1"/>
  <c r="AH411" i="1"/>
  <c r="AI411" i="1"/>
  <c r="AJ411" i="1"/>
  <c r="CX411" i="1" s="1"/>
  <c r="W411" i="1" s="1"/>
  <c r="CS411" i="1"/>
  <c r="R411" i="1" s="1"/>
  <c r="GK411" i="1" s="1"/>
  <c r="CV411" i="1"/>
  <c r="U411" i="1" s="1"/>
  <c r="CW411" i="1"/>
  <c r="V411" i="1" s="1"/>
  <c r="FR411" i="1"/>
  <c r="GL411" i="1"/>
  <c r="GO411" i="1"/>
  <c r="GP411" i="1"/>
  <c r="GV411" i="1"/>
  <c r="GX411" i="1"/>
  <c r="HC411" i="1"/>
  <c r="AC412" i="1"/>
  <c r="AB412" i="1" s="1"/>
  <c r="AD412" i="1"/>
  <c r="CR412" i="1" s="1"/>
  <c r="AE412" i="1"/>
  <c r="CS412" i="1" s="1"/>
  <c r="AF412" i="1"/>
  <c r="AG412" i="1"/>
  <c r="AH412" i="1"/>
  <c r="CV412" i="1" s="1"/>
  <c r="AI412" i="1"/>
  <c r="CW412" i="1" s="1"/>
  <c r="AJ412" i="1"/>
  <c r="CQ412" i="1"/>
  <c r="CT412" i="1"/>
  <c r="CU412" i="1"/>
  <c r="CX412" i="1"/>
  <c r="FR412" i="1"/>
  <c r="GL412" i="1"/>
  <c r="GO412" i="1"/>
  <c r="GP412" i="1"/>
  <c r="GV412" i="1"/>
  <c r="HC412" i="1" s="1"/>
  <c r="I413" i="1"/>
  <c r="AC413" i="1"/>
  <c r="CQ413" i="1" s="1"/>
  <c r="P413" i="1" s="1"/>
  <c r="AE413" i="1"/>
  <c r="AD413" i="1" s="1"/>
  <c r="AF413" i="1"/>
  <c r="CT413" i="1" s="1"/>
  <c r="S413" i="1" s="1"/>
  <c r="AG413" i="1"/>
  <c r="CU413" i="1" s="1"/>
  <c r="T413" i="1" s="1"/>
  <c r="AH413" i="1"/>
  <c r="AI413" i="1"/>
  <c r="AJ413" i="1"/>
  <c r="CX413" i="1" s="1"/>
  <c r="W413" i="1" s="1"/>
  <c r="CS413" i="1"/>
  <c r="R413" i="1" s="1"/>
  <c r="GK413" i="1" s="1"/>
  <c r="CV413" i="1"/>
  <c r="U413" i="1" s="1"/>
  <c r="CW413" i="1"/>
  <c r="V413" i="1" s="1"/>
  <c r="FR413" i="1"/>
  <c r="GL413" i="1"/>
  <c r="GO413" i="1"/>
  <c r="GP413" i="1"/>
  <c r="GV413" i="1"/>
  <c r="GX413" i="1"/>
  <c r="HC413" i="1"/>
  <c r="C414" i="1"/>
  <c r="D414" i="1"/>
  <c r="I414" i="1"/>
  <c r="AC414" i="1"/>
  <c r="CQ414" i="1" s="1"/>
  <c r="P414" i="1" s="1"/>
  <c r="AE414" i="1"/>
  <c r="AD414" i="1" s="1"/>
  <c r="AF414" i="1"/>
  <c r="CT414" i="1" s="1"/>
  <c r="S414" i="1" s="1"/>
  <c r="AG414" i="1"/>
  <c r="CU414" i="1" s="1"/>
  <c r="T414" i="1" s="1"/>
  <c r="AH414" i="1"/>
  <c r="AI414" i="1"/>
  <c r="AJ414" i="1"/>
  <c r="CX414" i="1" s="1"/>
  <c r="W414" i="1" s="1"/>
  <c r="CS414" i="1"/>
  <c r="R414" i="1" s="1"/>
  <c r="GK414" i="1" s="1"/>
  <c r="CV414" i="1"/>
  <c r="U414" i="1" s="1"/>
  <c r="CW414" i="1"/>
  <c r="V414" i="1" s="1"/>
  <c r="FR414" i="1"/>
  <c r="GL414" i="1"/>
  <c r="GO414" i="1"/>
  <c r="GP414" i="1"/>
  <c r="GV414" i="1"/>
  <c r="GX414" i="1"/>
  <c r="HC414" i="1"/>
  <c r="C415" i="1"/>
  <c r="D415" i="1"/>
  <c r="AC415" i="1"/>
  <c r="CQ415" i="1" s="1"/>
  <c r="P415" i="1" s="1"/>
  <c r="AD415" i="1"/>
  <c r="CR415" i="1" s="1"/>
  <c r="Q415" i="1" s="1"/>
  <c r="AE415" i="1"/>
  <c r="AF415" i="1"/>
  <c r="AG415" i="1"/>
  <c r="CU415" i="1" s="1"/>
  <c r="T415" i="1" s="1"/>
  <c r="AH415" i="1"/>
  <c r="CV415" i="1" s="1"/>
  <c r="U415" i="1" s="1"/>
  <c r="AI415" i="1"/>
  <c r="AJ415" i="1"/>
  <c r="CS415" i="1"/>
  <c r="R415" i="1" s="1"/>
  <c r="GK415" i="1" s="1"/>
  <c r="CT415" i="1"/>
  <c r="S415" i="1" s="1"/>
  <c r="CW415" i="1"/>
  <c r="V415" i="1" s="1"/>
  <c r="CX415" i="1"/>
  <c r="W415" i="1" s="1"/>
  <c r="FR415" i="1"/>
  <c r="GL415" i="1"/>
  <c r="GO415" i="1"/>
  <c r="GP415" i="1"/>
  <c r="GV415" i="1"/>
  <c r="HC415" i="1"/>
  <c r="GX415" i="1" s="1"/>
  <c r="B417" i="1"/>
  <c r="B392" i="1" s="1"/>
  <c r="C417" i="1"/>
  <c r="C392" i="1" s="1"/>
  <c r="D417" i="1"/>
  <c r="D392" i="1" s="1"/>
  <c r="F417" i="1"/>
  <c r="F392" i="1" s="1"/>
  <c r="G417" i="1"/>
  <c r="G392" i="1" s="1"/>
  <c r="AO417" i="1"/>
  <c r="AO392" i="1" s="1"/>
  <c r="BX417" i="1"/>
  <c r="BX392" i="1" s="1"/>
  <c r="BY417" i="1"/>
  <c r="BY392" i="1" s="1"/>
  <c r="BZ417" i="1"/>
  <c r="CG417" i="1" s="1"/>
  <c r="CC417" i="1"/>
  <c r="CC392" i="1" s="1"/>
  <c r="CD417" i="1"/>
  <c r="CD392" i="1" s="1"/>
  <c r="CK417" i="1"/>
  <c r="CK392" i="1" s="1"/>
  <c r="CL417" i="1"/>
  <c r="CL392" i="1" s="1"/>
  <c r="F421" i="1"/>
  <c r="B449" i="1"/>
  <c r="B22" i="1" s="1"/>
  <c r="C449" i="1"/>
  <c r="C22" i="1" s="1"/>
  <c r="D449" i="1"/>
  <c r="D22" i="1" s="1"/>
  <c r="F449" i="1"/>
  <c r="F22" i="1" s="1"/>
  <c r="G449" i="1"/>
  <c r="G22" i="1" s="1"/>
  <c r="B481" i="1"/>
  <c r="B18" i="1" s="1"/>
  <c r="C481" i="1"/>
  <c r="C18" i="1" s="1"/>
  <c r="D481" i="1"/>
  <c r="D18" i="1" s="1"/>
  <c r="F481" i="1"/>
  <c r="F18" i="1" s="1"/>
  <c r="G481" i="1"/>
  <c r="G18" i="1" s="1"/>
  <c r="W300" i="5" l="1"/>
  <c r="X674" i="5"/>
  <c r="J922" i="5"/>
  <c r="P922" i="5" s="1"/>
  <c r="J687" i="5"/>
  <c r="P687" i="5" s="1"/>
  <c r="J590" i="5"/>
  <c r="P590" i="5" s="1"/>
  <c r="J1055" i="5"/>
  <c r="P1055" i="5" s="1"/>
  <c r="W373" i="5"/>
  <c r="G222" i="5"/>
  <c r="O222" i="5" s="1"/>
  <c r="W1209" i="5"/>
  <c r="G861" i="5"/>
  <c r="O861" i="5" s="1"/>
  <c r="J932" i="5"/>
  <c r="P932" i="5" s="1"/>
  <c r="X625" i="5"/>
  <c r="G330" i="5"/>
  <c r="O330" i="5" s="1"/>
  <c r="W1044" i="5"/>
  <c r="J1030" i="5"/>
  <c r="P1030" i="5" s="1"/>
  <c r="J1121" i="5" s="1"/>
  <c r="W1079" i="5"/>
  <c r="W1068" i="5"/>
  <c r="G698" i="5"/>
  <c r="O698" i="5" s="1"/>
  <c r="G408" i="5"/>
  <c r="O408" i="5" s="1"/>
  <c r="W155" i="5"/>
  <c r="J1068" i="5"/>
  <c r="P1068" i="5" s="1"/>
  <c r="X637" i="5"/>
  <c r="G687" i="5"/>
  <c r="O687" i="5" s="1"/>
  <c r="W1101" i="5"/>
  <c r="J861" i="5"/>
  <c r="P861" i="5" s="1"/>
  <c r="X740" i="5"/>
  <c r="G674" i="5"/>
  <c r="O674" i="5" s="1"/>
  <c r="G242" i="5"/>
  <c r="O242" i="5" s="1"/>
  <c r="G1101" i="5"/>
  <c r="O1101" i="5" s="1"/>
  <c r="W861" i="5"/>
  <c r="X687" i="5"/>
  <c r="G443" i="5"/>
  <c r="O443" i="5" s="1"/>
  <c r="W352" i="5"/>
  <c r="W232" i="5"/>
  <c r="W330" i="5"/>
  <c r="G625" i="5"/>
  <c r="O625" i="5" s="1"/>
  <c r="G1209" i="5"/>
  <c r="O1209" i="5" s="1"/>
  <c r="W1168" i="5"/>
  <c r="G25" i="5"/>
  <c r="J625" i="5"/>
  <c r="P625" i="5" s="1"/>
  <c r="W408" i="5"/>
  <c r="G341" i="5"/>
  <c r="O341" i="5" s="1"/>
  <c r="G504" i="5" s="1"/>
  <c r="W209" i="5"/>
  <c r="W443" i="5"/>
  <c r="G940" i="5"/>
  <c r="O940" i="5" s="1"/>
  <c r="J481" i="5"/>
  <c r="P481" i="5" s="1"/>
  <c r="J504" i="5" s="1"/>
  <c r="J730" i="5"/>
  <c r="P730" i="5" s="1"/>
  <c r="J777" i="5" s="1"/>
  <c r="J300" i="5"/>
  <c r="P300" i="5" s="1"/>
  <c r="W463" i="5"/>
  <c r="J873" i="5"/>
  <c r="P873" i="5" s="1"/>
  <c r="J942" i="5" s="1"/>
  <c r="X730" i="5"/>
  <c r="J1229" i="5"/>
  <c r="G300" i="5"/>
  <c r="O300" i="5" s="1"/>
  <c r="G27" i="5"/>
  <c r="G730" i="5"/>
  <c r="O730" i="5" s="1"/>
  <c r="G463" i="5"/>
  <c r="O463" i="5" s="1"/>
  <c r="G1229" i="5"/>
  <c r="G1121" i="5"/>
  <c r="CY415" i="1"/>
  <c r="X415" i="1" s="1"/>
  <c r="CZ415" i="1"/>
  <c r="Y415" i="1" s="1"/>
  <c r="CP414" i="1"/>
  <c r="O414" i="1" s="1"/>
  <c r="CY409" i="1"/>
  <c r="X409" i="1" s="1"/>
  <c r="CZ409" i="1"/>
  <c r="Y409" i="1" s="1"/>
  <c r="CY407" i="1"/>
  <c r="X407" i="1" s="1"/>
  <c r="CZ407" i="1"/>
  <c r="Y407" i="1" s="1"/>
  <c r="CZ406" i="1"/>
  <c r="Y406" i="1" s="1"/>
  <c r="CY406" i="1"/>
  <c r="X406" i="1" s="1"/>
  <c r="CY411" i="1"/>
  <c r="X411" i="1" s="1"/>
  <c r="CZ411" i="1"/>
  <c r="Y411" i="1" s="1"/>
  <c r="AB409" i="1"/>
  <c r="CR409" i="1"/>
  <c r="Q409" i="1" s="1"/>
  <c r="CR407" i="1"/>
  <c r="Q407" i="1" s="1"/>
  <c r="CP407" i="1" s="1"/>
  <c r="O407" i="1" s="1"/>
  <c r="AB407" i="1"/>
  <c r="AB406" i="1"/>
  <c r="CR406" i="1"/>
  <c r="Q406" i="1" s="1"/>
  <c r="CP406" i="1" s="1"/>
  <c r="O406" i="1" s="1"/>
  <c r="CY402" i="1"/>
  <c r="X402" i="1" s="1"/>
  <c r="CZ402" i="1"/>
  <c r="Y402" i="1" s="1"/>
  <c r="CY356" i="1"/>
  <c r="X356" i="1" s="1"/>
  <c r="CZ414" i="1"/>
  <c r="Y414" i="1" s="1"/>
  <c r="CY414" i="1"/>
  <c r="X414" i="1" s="1"/>
  <c r="CY413" i="1"/>
  <c r="X413" i="1" s="1"/>
  <c r="CZ413" i="1"/>
  <c r="Y413" i="1" s="1"/>
  <c r="AB411" i="1"/>
  <c r="CR411" i="1"/>
  <c r="Q411" i="1" s="1"/>
  <c r="CP411" i="1" s="1"/>
  <c r="O411" i="1" s="1"/>
  <c r="W410" i="1"/>
  <c r="CP409" i="1"/>
  <c r="O409" i="1" s="1"/>
  <c r="CP404" i="1"/>
  <c r="O404" i="1" s="1"/>
  <c r="CR403" i="1"/>
  <c r="Q403" i="1" s="1"/>
  <c r="CP403" i="1" s="1"/>
  <c r="O403" i="1" s="1"/>
  <c r="AB403" i="1"/>
  <c r="CY400" i="1"/>
  <c r="X400" i="1" s="1"/>
  <c r="CZ400" i="1"/>
  <c r="Y400" i="1" s="1"/>
  <c r="CY396" i="1"/>
  <c r="X396" i="1" s="1"/>
  <c r="CZ396" i="1"/>
  <c r="Y396" i="1" s="1"/>
  <c r="CY395" i="1"/>
  <c r="X395" i="1" s="1"/>
  <c r="CZ395" i="1"/>
  <c r="Y395" i="1" s="1"/>
  <c r="AB356" i="1"/>
  <c r="CR356" i="1"/>
  <c r="Q356" i="1" s="1"/>
  <c r="CP356" i="1" s="1"/>
  <c r="O356" i="1" s="1"/>
  <c r="CZ351" i="1"/>
  <c r="Y351" i="1" s="1"/>
  <c r="CY351" i="1"/>
  <c r="X351" i="1" s="1"/>
  <c r="CG392" i="1"/>
  <c r="AX417" i="1"/>
  <c r="AB414" i="1"/>
  <c r="CR414" i="1"/>
  <c r="Q414" i="1" s="1"/>
  <c r="AB413" i="1"/>
  <c r="CR413" i="1"/>
  <c r="Q413" i="1" s="1"/>
  <c r="CY405" i="1"/>
  <c r="X405" i="1" s="1"/>
  <c r="GN405" i="1" s="1"/>
  <c r="CZ405" i="1"/>
  <c r="Y405" i="1" s="1"/>
  <c r="GM405" i="1" s="1"/>
  <c r="CY399" i="1"/>
  <c r="X399" i="1" s="1"/>
  <c r="CZ399" i="1"/>
  <c r="Y399" i="1" s="1"/>
  <c r="GK396" i="1"/>
  <c r="CP394" i="1"/>
  <c r="O394" i="1" s="1"/>
  <c r="GK356" i="1"/>
  <c r="CZ356" i="1"/>
  <c r="Y356" i="1" s="1"/>
  <c r="CD320" i="1"/>
  <c r="AU358" i="1"/>
  <c r="CP413" i="1"/>
  <c r="O413" i="1" s="1"/>
  <c r="GK353" i="1"/>
  <c r="CZ353" i="1"/>
  <c r="Y353" i="1" s="1"/>
  <c r="CZ352" i="1"/>
  <c r="Y352" i="1" s="1"/>
  <c r="CY352" i="1"/>
  <c r="X352" i="1" s="1"/>
  <c r="T412" i="1"/>
  <c r="CZ410" i="1"/>
  <c r="Y410" i="1" s="1"/>
  <c r="CY410" i="1"/>
  <c r="X410" i="1" s="1"/>
  <c r="CY408" i="1"/>
  <c r="X408" i="1" s="1"/>
  <c r="CZ408" i="1"/>
  <c r="Y408" i="1" s="1"/>
  <c r="CZ404" i="1"/>
  <c r="Y404" i="1" s="1"/>
  <c r="CY404" i="1"/>
  <c r="X404" i="1" s="1"/>
  <c r="CP415" i="1"/>
  <c r="O415" i="1" s="1"/>
  <c r="GX410" i="1"/>
  <c r="P410" i="1"/>
  <c r="CP410" i="1" s="1"/>
  <c r="O410" i="1" s="1"/>
  <c r="AB408" i="1"/>
  <c r="CR408" i="1"/>
  <c r="Q408" i="1" s="1"/>
  <c r="CP408" i="1" s="1"/>
  <c r="O408" i="1" s="1"/>
  <c r="CR404" i="1"/>
  <c r="Q404" i="1" s="1"/>
  <c r="AB404" i="1"/>
  <c r="CY349" i="1"/>
  <c r="X349" i="1" s="1"/>
  <c r="CZ349" i="1"/>
  <c r="Y349" i="1" s="1"/>
  <c r="CX840" i="3"/>
  <c r="CX844" i="3"/>
  <c r="CX843" i="3"/>
  <c r="CX841" i="3"/>
  <c r="CX845" i="3"/>
  <c r="CX842" i="3"/>
  <c r="AB415" i="1"/>
  <c r="CI417" i="1"/>
  <c r="BC417" i="1"/>
  <c r="AU417" i="1"/>
  <c r="AQ417" i="1"/>
  <c r="I412" i="1"/>
  <c r="U412" i="1" s="1"/>
  <c r="AH417" i="1" s="1"/>
  <c r="AB401" i="1"/>
  <c r="AD400" i="1"/>
  <c r="CR400" i="1" s="1"/>
  <c r="Q400" i="1" s="1"/>
  <c r="CP400" i="1" s="1"/>
  <c r="O400" i="1" s="1"/>
  <c r="P399" i="1"/>
  <c r="CP399" i="1" s="1"/>
  <c r="O399" i="1" s="1"/>
  <c r="CY398" i="1"/>
  <c r="X398" i="1" s="1"/>
  <c r="GN398" i="1" s="1"/>
  <c r="CZ397" i="1"/>
  <c r="Y397" i="1" s="1"/>
  <c r="T396" i="1"/>
  <c r="AG417" i="1" s="1"/>
  <c r="AB396" i="1"/>
  <c r="CY394" i="1"/>
  <c r="X394" i="1" s="1"/>
  <c r="F371" i="1"/>
  <c r="BX320" i="1"/>
  <c r="AO358" i="1"/>
  <c r="CG358" i="1"/>
  <c r="P353" i="1"/>
  <c r="CP353" i="1" s="1"/>
  <c r="O353" i="1" s="1"/>
  <c r="AB353" i="1"/>
  <c r="CQ352" i="1"/>
  <c r="P352" i="1" s="1"/>
  <c r="CP352" i="1" s="1"/>
  <c r="O352" i="1" s="1"/>
  <c r="CQ351" i="1"/>
  <c r="P351" i="1" s="1"/>
  <c r="CP351" i="1" s="1"/>
  <c r="O351" i="1" s="1"/>
  <c r="AB348" i="1"/>
  <c r="CQ348" i="1"/>
  <c r="CY345" i="1"/>
  <c r="X345" i="1" s="1"/>
  <c r="CZ345" i="1"/>
  <c r="Y345" i="1" s="1"/>
  <c r="CR344" i="1"/>
  <c r="Q344" i="1" s="1"/>
  <c r="AB344" i="1"/>
  <c r="BY358" i="1"/>
  <c r="CY325" i="1"/>
  <c r="X325" i="1" s="1"/>
  <c r="GM325" i="1" s="1"/>
  <c r="CZ325" i="1"/>
  <c r="Y325" i="1" s="1"/>
  <c r="BY246" i="1"/>
  <c r="CI286" i="1"/>
  <c r="AP286" i="1"/>
  <c r="CZ284" i="1"/>
  <c r="Y284" i="1" s="1"/>
  <c r="CY284" i="1"/>
  <c r="X284" i="1" s="1"/>
  <c r="GK282" i="1"/>
  <c r="CZ282" i="1"/>
  <c r="Y282" i="1" s="1"/>
  <c r="GN281" i="1"/>
  <c r="CP279" i="1"/>
  <c r="O279" i="1" s="1"/>
  <c r="CY277" i="1"/>
  <c r="X277" i="1" s="1"/>
  <c r="GK276" i="1"/>
  <c r="CZ276" i="1"/>
  <c r="Y276" i="1" s="1"/>
  <c r="CY275" i="1"/>
  <c r="X275" i="1" s="1"/>
  <c r="CY274" i="1"/>
  <c r="X274" i="1" s="1"/>
  <c r="CZ274" i="1"/>
  <c r="Y274" i="1" s="1"/>
  <c r="CP273" i="1"/>
  <c r="O273" i="1" s="1"/>
  <c r="CR270" i="1"/>
  <c r="Q270" i="1" s="1"/>
  <c r="AB270" i="1"/>
  <c r="GN260" i="1"/>
  <c r="GM260" i="1"/>
  <c r="BB417" i="1"/>
  <c r="AT417" i="1"/>
  <c r="AP417" i="1"/>
  <c r="CS403" i="1"/>
  <c r="R403" i="1" s="1"/>
  <c r="GK403" i="1" s="1"/>
  <c r="CQ402" i="1"/>
  <c r="P402" i="1" s="1"/>
  <c r="CP402" i="1" s="1"/>
  <c r="O402" i="1" s="1"/>
  <c r="CS401" i="1"/>
  <c r="R401" i="1" s="1"/>
  <c r="CY401" i="1" s="1"/>
  <c r="X401" i="1" s="1"/>
  <c r="T399" i="1"/>
  <c r="CQ395" i="1"/>
  <c r="P395" i="1" s="1"/>
  <c r="CP395" i="1" s="1"/>
  <c r="O395" i="1" s="1"/>
  <c r="BZ392" i="1"/>
  <c r="BC358" i="1"/>
  <c r="CP355" i="1"/>
  <c r="O355" i="1" s="1"/>
  <c r="CQ354" i="1"/>
  <c r="P354" i="1" s="1"/>
  <c r="CP354" i="1" s="1"/>
  <c r="O354" i="1" s="1"/>
  <c r="CY353" i="1"/>
  <c r="X353" i="1" s="1"/>
  <c r="AD350" i="1"/>
  <c r="CS350" i="1"/>
  <c r="R350" i="1" s="1"/>
  <c r="CR346" i="1"/>
  <c r="Q346" i="1" s="1"/>
  <c r="AB346" i="1"/>
  <c r="CP341" i="1"/>
  <c r="O341" i="1" s="1"/>
  <c r="CR340" i="1"/>
  <c r="Q340" i="1" s="1"/>
  <c r="AB340" i="1"/>
  <c r="CP338" i="1"/>
  <c r="O338" i="1" s="1"/>
  <c r="CR336" i="1"/>
  <c r="Q336" i="1" s="1"/>
  <c r="AB336" i="1"/>
  <c r="CR333" i="1"/>
  <c r="Q333" i="1" s="1"/>
  <c r="AB333" i="1"/>
  <c r="CR330" i="1"/>
  <c r="Q330" i="1" s="1"/>
  <c r="AB330" i="1"/>
  <c r="CR328" i="1"/>
  <c r="Q328" i="1" s="1"/>
  <c r="AB328" i="1"/>
  <c r="CR326" i="1"/>
  <c r="Q326" i="1" s="1"/>
  <c r="CP326" i="1" s="1"/>
  <c r="O326" i="1" s="1"/>
  <c r="AB326" i="1"/>
  <c r="GN325" i="1"/>
  <c r="CZ324" i="1"/>
  <c r="Y324" i="1" s="1"/>
  <c r="CY324" i="1"/>
  <c r="X324" i="1" s="1"/>
  <c r="CR322" i="1"/>
  <c r="Q322" i="1" s="1"/>
  <c r="CP322" i="1" s="1"/>
  <c r="O322" i="1" s="1"/>
  <c r="AB322" i="1"/>
  <c r="CR284" i="1"/>
  <c r="Q284" i="1" s="1"/>
  <c r="AB284" i="1"/>
  <c r="CP283" i="1"/>
  <c r="O283" i="1" s="1"/>
  <c r="AB277" i="1"/>
  <c r="CR277" i="1"/>
  <c r="Q277" i="1" s="1"/>
  <c r="AB275" i="1"/>
  <c r="CR275" i="1"/>
  <c r="Q275" i="1" s="1"/>
  <c r="CY273" i="1"/>
  <c r="X273" i="1" s="1"/>
  <c r="CZ273" i="1"/>
  <c r="Y273" i="1" s="1"/>
  <c r="CZ268" i="1"/>
  <c r="Y268" i="1" s="1"/>
  <c r="CY268" i="1"/>
  <c r="X268" i="1" s="1"/>
  <c r="R264" i="1"/>
  <c r="GK264" i="1" s="1"/>
  <c r="GX264" i="1"/>
  <c r="GK255" i="1"/>
  <c r="CX832" i="3"/>
  <c r="CX836" i="3"/>
  <c r="CX835" i="3"/>
  <c r="CX839" i="3"/>
  <c r="CX833" i="3"/>
  <c r="CX837" i="3"/>
  <c r="CX838" i="3"/>
  <c r="CX834" i="3"/>
  <c r="CX831" i="3"/>
  <c r="CX829" i="3"/>
  <c r="CX830" i="3"/>
  <c r="CX828" i="3"/>
  <c r="CX827" i="3"/>
  <c r="CX826" i="3"/>
  <c r="AB349" i="1"/>
  <c r="CQ349" i="1"/>
  <c r="P349" i="1" s="1"/>
  <c r="CP349" i="1" s="1"/>
  <c r="O349" i="1" s="1"/>
  <c r="CP344" i="1"/>
  <c r="O344" i="1" s="1"/>
  <c r="GX337" i="1"/>
  <c r="S337" i="1"/>
  <c r="Q337" i="1"/>
  <c r="CY335" i="1"/>
  <c r="X335" i="1" s="1"/>
  <c r="CZ335" i="1"/>
  <c r="Y335" i="1" s="1"/>
  <c r="CY331" i="1"/>
  <c r="X331" i="1" s="1"/>
  <c r="CZ331" i="1"/>
  <c r="Y331" i="1" s="1"/>
  <c r="CR324" i="1"/>
  <c r="Q324" i="1" s="1"/>
  <c r="AB324" i="1"/>
  <c r="CP284" i="1"/>
  <c r="O284" i="1" s="1"/>
  <c r="GK277" i="1"/>
  <c r="CZ277" i="1"/>
  <c r="Y277" i="1" s="1"/>
  <c r="GK275" i="1"/>
  <c r="CZ275" i="1"/>
  <c r="Y275" i="1" s="1"/>
  <c r="CZ271" i="1"/>
  <c r="Y271" i="1" s="1"/>
  <c r="CY271" i="1"/>
  <c r="X271" i="1" s="1"/>
  <c r="CZ266" i="1"/>
  <c r="Y266" i="1" s="1"/>
  <c r="CY266" i="1"/>
  <c r="X266" i="1" s="1"/>
  <c r="CZ264" i="1"/>
  <c r="Y264" i="1" s="1"/>
  <c r="CY264" i="1"/>
  <c r="X264" i="1" s="1"/>
  <c r="CZ261" i="1"/>
  <c r="Y261" i="1" s="1"/>
  <c r="CY261" i="1"/>
  <c r="X261" i="1" s="1"/>
  <c r="CP261" i="1"/>
  <c r="O261" i="1" s="1"/>
  <c r="CD246" i="1"/>
  <c r="AU286" i="1"/>
  <c r="AB398" i="1"/>
  <c r="AD397" i="1"/>
  <c r="CR397" i="1" s="1"/>
  <c r="Q397" i="1" s="1"/>
  <c r="CP397" i="1" s="1"/>
  <c r="O397" i="1" s="1"/>
  <c r="P396" i="1"/>
  <c r="CP396" i="1" s="1"/>
  <c r="O396" i="1" s="1"/>
  <c r="AB394" i="1"/>
  <c r="AB355" i="1"/>
  <c r="CY354" i="1"/>
  <c r="X354" i="1" s="1"/>
  <c r="CR347" i="1"/>
  <c r="Q347" i="1" s="1"/>
  <c r="CP347" i="1" s="1"/>
  <c r="O347" i="1" s="1"/>
  <c r="AB347" i="1"/>
  <c r="CP346" i="1"/>
  <c r="O346" i="1" s="1"/>
  <c r="CY343" i="1"/>
  <c r="X343" i="1" s="1"/>
  <c r="CZ343" i="1"/>
  <c r="Y343" i="1" s="1"/>
  <c r="CR341" i="1"/>
  <c r="Q341" i="1" s="1"/>
  <c r="AB341" i="1"/>
  <c r="CP340" i="1"/>
  <c r="O340" i="1" s="1"/>
  <c r="CR338" i="1"/>
  <c r="Q338" i="1" s="1"/>
  <c r="AB338" i="1"/>
  <c r="R337" i="1"/>
  <c r="GK337" i="1" s="1"/>
  <c r="T337" i="1"/>
  <c r="CP336" i="1"/>
  <c r="O336" i="1" s="1"/>
  <c r="CR335" i="1"/>
  <c r="Q335" i="1" s="1"/>
  <c r="CP335" i="1" s="1"/>
  <c r="O335" i="1" s="1"/>
  <c r="AB335" i="1"/>
  <c r="CP333" i="1"/>
  <c r="O333" i="1" s="1"/>
  <c r="CC358" i="1"/>
  <c r="CR331" i="1"/>
  <c r="Q331" i="1" s="1"/>
  <c r="CP331" i="1" s="1"/>
  <c r="O331" i="1" s="1"/>
  <c r="AB331" i="1"/>
  <c r="CP330" i="1"/>
  <c r="O330" i="1" s="1"/>
  <c r="CR329" i="1"/>
  <c r="Q329" i="1" s="1"/>
  <c r="CP329" i="1" s="1"/>
  <c r="O329" i="1" s="1"/>
  <c r="AB329" i="1"/>
  <c r="CP328" i="1"/>
  <c r="O328" i="1" s="1"/>
  <c r="CR327" i="1"/>
  <c r="Q327" i="1" s="1"/>
  <c r="CP327" i="1" s="1"/>
  <c r="O327" i="1" s="1"/>
  <c r="AB327" i="1"/>
  <c r="CP324" i="1"/>
  <c r="O324" i="1" s="1"/>
  <c r="CR323" i="1"/>
  <c r="Q323" i="1" s="1"/>
  <c r="CP323" i="1" s="1"/>
  <c r="O323" i="1" s="1"/>
  <c r="AB323" i="1"/>
  <c r="CZ283" i="1"/>
  <c r="Y283" i="1" s="1"/>
  <c r="AB282" i="1"/>
  <c r="CR282" i="1"/>
  <c r="Q282" i="1" s="1"/>
  <c r="CY280" i="1"/>
  <c r="X280" i="1" s="1"/>
  <c r="CZ280" i="1"/>
  <c r="Y280" i="1" s="1"/>
  <c r="AB276" i="1"/>
  <c r="CR276" i="1"/>
  <c r="Q276" i="1" s="1"/>
  <c r="BZ246" i="1"/>
  <c r="AQ286" i="1"/>
  <c r="V264" i="1"/>
  <c r="Q263" i="1"/>
  <c r="CX804" i="3"/>
  <c r="CX808" i="3"/>
  <c r="CX812" i="3"/>
  <c r="CX816" i="3"/>
  <c r="CX803" i="3"/>
  <c r="CX807" i="3"/>
  <c r="CX811" i="3"/>
  <c r="CX815" i="3"/>
  <c r="CX805" i="3"/>
  <c r="CX809" i="3"/>
  <c r="CX813" i="3"/>
  <c r="CX814" i="3"/>
  <c r="CX810" i="3"/>
  <c r="CX806" i="3"/>
  <c r="CX792" i="3"/>
  <c r="CX796" i="3"/>
  <c r="CX800" i="3"/>
  <c r="CX791" i="3"/>
  <c r="CX795" i="3"/>
  <c r="CX799" i="3"/>
  <c r="CX789" i="3"/>
  <c r="CX793" i="3"/>
  <c r="CX797" i="3"/>
  <c r="CX801" i="3"/>
  <c r="CX798" i="3"/>
  <c r="CX794" i="3"/>
  <c r="CX790" i="3"/>
  <c r="CX802" i="3"/>
  <c r="CX776" i="3"/>
  <c r="CX780" i="3"/>
  <c r="CX784" i="3"/>
  <c r="CX788" i="3"/>
  <c r="CX775" i="3"/>
  <c r="CX779" i="3"/>
  <c r="CX783" i="3"/>
  <c r="CX787" i="3"/>
  <c r="CX777" i="3"/>
  <c r="CX781" i="3"/>
  <c r="CX785" i="3"/>
  <c r="CX782" i="3"/>
  <c r="CX778" i="3"/>
  <c r="CX786" i="3"/>
  <c r="CX772" i="3"/>
  <c r="CX771" i="3"/>
  <c r="CX769" i="3"/>
  <c r="CX773" i="3"/>
  <c r="CX774" i="3"/>
  <c r="CX770" i="3"/>
  <c r="BB286" i="1"/>
  <c r="CS283" i="1"/>
  <c r="R283" i="1" s="1"/>
  <c r="GK283" i="1" s="1"/>
  <c r="P280" i="1"/>
  <c r="CP280" i="1" s="1"/>
  <c r="O280" i="1" s="1"/>
  <c r="AD274" i="1"/>
  <c r="CR274" i="1" s="1"/>
  <c r="Q274" i="1" s="1"/>
  <c r="CP274" i="1" s="1"/>
  <c r="O274" i="1" s="1"/>
  <c r="W272" i="1"/>
  <c r="S272" i="1"/>
  <c r="CP272" i="1" s="1"/>
  <c r="O272" i="1" s="1"/>
  <c r="T268" i="1"/>
  <c r="AB268" i="1"/>
  <c r="P266" i="1"/>
  <c r="CP266" i="1" s="1"/>
  <c r="O266" i="1" s="1"/>
  <c r="AD265" i="1"/>
  <c r="CR265" i="1" s="1"/>
  <c r="Q264" i="1"/>
  <c r="S263" i="1"/>
  <c r="V263" i="1"/>
  <c r="U262" i="1"/>
  <c r="AB258" i="1"/>
  <c r="W256" i="1"/>
  <c r="S256" i="1"/>
  <c r="W255" i="1"/>
  <c r="S255" i="1"/>
  <c r="AB254" i="1"/>
  <c r="CZ253" i="1"/>
  <c r="Y253" i="1" s="1"/>
  <c r="CY253" i="1"/>
  <c r="X253" i="1" s="1"/>
  <c r="CP252" i="1"/>
  <c r="O252" i="1" s="1"/>
  <c r="CP251" i="1"/>
  <c r="O251" i="1" s="1"/>
  <c r="GX250" i="1"/>
  <c r="P250" i="1"/>
  <c r="CR249" i="1"/>
  <c r="Q249" i="1" s="1"/>
  <c r="AB249" i="1"/>
  <c r="CR248" i="1"/>
  <c r="Q248" i="1" s="1"/>
  <c r="AB248" i="1"/>
  <c r="CY210" i="1"/>
  <c r="X210" i="1" s="1"/>
  <c r="CZ210" i="1"/>
  <c r="Y210" i="1" s="1"/>
  <c r="CP209" i="1"/>
  <c r="O209" i="1" s="1"/>
  <c r="CR208" i="1"/>
  <c r="Q208" i="1" s="1"/>
  <c r="AB208" i="1"/>
  <c r="CP205" i="1"/>
  <c r="O205" i="1" s="1"/>
  <c r="CR204" i="1"/>
  <c r="Q204" i="1" s="1"/>
  <c r="AB204" i="1"/>
  <c r="CP200" i="1"/>
  <c r="O200" i="1" s="1"/>
  <c r="CP195" i="1"/>
  <c r="O195" i="1" s="1"/>
  <c r="CP193" i="1"/>
  <c r="O193" i="1" s="1"/>
  <c r="CZ183" i="1"/>
  <c r="Y183" i="1" s="1"/>
  <c r="CY183" i="1"/>
  <c r="X183" i="1" s="1"/>
  <c r="Q184" i="1"/>
  <c r="V184" i="1"/>
  <c r="R184" i="1"/>
  <c r="GK184" i="1" s="1"/>
  <c r="CZ182" i="1"/>
  <c r="Y182" i="1" s="1"/>
  <c r="CY182" i="1"/>
  <c r="X182" i="1" s="1"/>
  <c r="CS347" i="1"/>
  <c r="R347" i="1" s="1"/>
  <c r="CX732" i="3"/>
  <c r="CX736" i="3"/>
  <c r="CX731" i="3"/>
  <c r="CX735" i="3"/>
  <c r="CX730" i="3"/>
  <c r="CX734" i="3"/>
  <c r="CX729" i="3"/>
  <c r="CX733" i="3"/>
  <c r="CX737" i="3"/>
  <c r="CS346" i="1"/>
  <c r="R346" i="1" s="1"/>
  <c r="GK346" i="1" s="1"/>
  <c r="CQ345" i="1"/>
  <c r="P345" i="1" s="1"/>
  <c r="CP345" i="1" s="1"/>
  <c r="O345" i="1" s="1"/>
  <c r="CS344" i="1"/>
  <c r="R344" i="1" s="1"/>
  <c r="GK344" i="1" s="1"/>
  <c r="CQ343" i="1"/>
  <c r="P343" i="1" s="1"/>
  <c r="CP343" i="1" s="1"/>
  <c r="O343" i="1" s="1"/>
  <c r="CQ342" i="1"/>
  <c r="CS341" i="1"/>
  <c r="R341" i="1" s="1"/>
  <c r="GK341" i="1" s="1"/>
  <c r="CX704" i="3"/>
  <c r="CX708" i="3"/>
  <c r="CX712" i="3"/>
  <c r="CX703" i="3"/>
  <c r="CX707" i="3"/>
  <c r="CX711" i="3"/>
  <c r="CX702" i="3"/>
  <c r="CX706" i="3"/>
  <c r="CX710" i="3"/>
  <c r="CX701" i="3"/>
  <c r="CX705" i="3"/>
  <c r="CX709" i="3"/>
  <c r="CS340" i="1"/>
  <c r="R340" i="1" s="1"/>
  <c r="GK340" i="1" s="1"/>
  <c r="CQ339" i="1"/>
  <c r="CS338" i="1"/>
  <c r="R338" i="1" s="1"/>
  <c r="GK338" i="1" s="1"/>
  <c r="CQ337" i="1"/>
  <c r="P337" i="1" s="1"/>
  <c r="CP337" i="1" s="1"/>
  <c r="O337" i="1" s="1"/>
  <c r="CS336" i="1"/>
  <c r="R336" i="1" s="1"/>
  <c r="GK336" i="1" s="1"/>
  <c r="CX692" i="3"/>
  <c r="CX696" i="3"/>
  <c r="CX700" i="3"/>
  <c r="CX691" i="3"/>
  <c r="CX695" i="3"/>
  <c r="CX699" i="3"/>
  <c r="CX690" i="3"/>
  <c r="CX694" i="3"/>
  <c r="CX698" i="3"/>
  <c r="CX689" i="3"/>
  <c r="CX693" i="3"/>
  <c r="CX697" i="3"/>
  <c r="CS335" i="1"/>
  <c r="R335" i="1" s="1"/>
  <c r="GK335" i="1" s="1"/>
  <c r="CQ334" i="1"/>
  <c r="CS333" i="1"/>
  <c r="R333" i="1" s="1"/>
  <c r="GK333" i="1" s="1"/>
  <c r="CQ332" i="1"/>
  <c r="CS331" i="1"/>
  <c r="R331" i="1" s="1"/>
  <c r="GK331" i="1" s="1"/>
  <c r="CX680" i="3"/>
  <c r="CX684" i="3"/>
  <c r="CX688" i="3"/>
  <c r="CX679" i="3"/>
  <c r="CX683" i="3"/>
  <c r="CX687" i="3"/>
  <c r="CX678" i="3"/>
  <c r="CX682" i="3"/>
  <c r="CX686" i="3"/>
  <c r="CX677" i="3"/>
  <c r="CX681" i="3"/>
  <c r="CX685" i="3"/>
  <c r="CS330" i="1"/>
  <c r="R330" i="1" s="1"/>
  <c r="GK330" i="1" s="1"/>
  <c r="CX676" i="3"/>
  <c r="CX675" i="3"/>
  <c r="CX674" i="3"/>
  <c r="CS329" i="1"/>
  <c r="R329" i="1" s="1"/>
  <c r="GK329" i="1" s="1"/>
  <c r="CX672" i="3"/>
  <c r="CX671" i="3"/>
  <c r="CX673" i="3"/>
  <c r="CS328" i="1"/>
  <c r="R328" i="1" s="1"/>
  <c r="GK328" i="1" s="1"/>
  <c r="CX668" i="3"/>
  <c r="CX670" i="3"/>
  <c r="CX669" i="3"/>
  <c r="CS327" i="1"/>
  <c r="R327" i="1" s="1"/>
  <c r="GK327" i="1" s="1"/>
  <c r="CX667" i="3"/>
  <c r="CX666" i="3"/>
  <c r="CX665" i="3"/>
  <c r="CS326" i="1"/>
  <c r="R326" i="1" s="1"/>
  <c r="GK326" i="1" s="1"/>
  <c r="CS323" i="1"/>
  <c r="R323" i="1" s="1"/>
  <c r="GK323" i="1" s="1"/>
  <c r="CX653" i="3"/>
  <c r="CX652" i="3"/>
  <c r="CX654" i="3"/>
  <c r="CS322" i="1"/>
  <c r="R322" i="1" s="1"/>
  <c r="CY322" i="1" s="1"/>
  <c r="X322" i="1" s="1"/>
  <c r="CX649" i="3"/>
  <c r="CX651" i="3"/>
  <c r="CX650" i="3"/>
  <c r="CG286" i="1"/>
  <c r="AO286" i="1"/>
  <c r="T280" i="1"/>
  <c r="CZ278" i="1"/>
  <c r="Y278" i="1" s="1"/>
  <c r="GN278" i="1" s="1"/>
  <c r="AB274" i="1"/>
  <c r="CQ271" i="1"/>
  <c r="P271" i="1" s="1"/>
  <c r="CP271" i="1" s="1"/>
  <c r="O271" i="1" s="1"/>
  <c r="W270" i="1"/>
  <c r="S270" i="1"/>
  <c r="CP270" i="1" s="1"/>
  <c r="O270" i="1" s="1"/>
  <c r="CZ269" i="1"/>
  <c r="Y269" i="1" s="1"/>
  <c r="GM269" i="1" s="1"/>
  <c r="U268" i="1"/>
  <c r="AB266" i="1"/>
  <c r="AB265" i="1"/>
  <c r="P264" i="1"/>
  <c r="CP264" i="1" s="1"/>
  <c r="O264" i="1" s="1"/>
  <c r="GX263" i="1"/>
  <c r="CX568" i="3"/>
  <c r="CX572" i="3"/>
  <c r="CX576" i="3"/>
  <c r="CX580" i="3"/>
  <c r="CX569" i="3"/>
  <c r="CX573" i="3"/>
  <c r="CX577" i="3"/>
  <c r="CX581" i="3"/>
  <c r="CX571" i="3"/>
  <c r="CX575" i="3"/>
  <c r="CX579" i="3"/>
  <c r="CX570" i="3"/>
  <c r="CX574" i="3"/>
  <c r="CX578" i="3"/>
  <c r="CX582" i="3"/>
  <c r="I263" i="1"/>
  <c r="T263" i="1" s="1"/>
  <c r="I265" i="1"/>
  <c r="T265" i="1" s="1"/>
  <c r="I267" i="1"/>
  <c r="P267" i="1" s="1"/>
  <c r="Q259" i="1"/>
  <c r="Q256" i="1"/>
  <c r="CP256" i="1" s="1"/>
  <c r="O256" i="1" s="1"/>
  <c r="Q255" i="1"/>
  <c r="CP255" i="1" s="1"/>
  <c r="O255" i="1" s="1"/>
  <c r="CR253" i="1"/>
  <c r="Q253" i="1" s="1"/>
  <c r="AB253" i="1"/>
  <c r="W250" i="1"/>
  <c r="CP249" i="1"/>
  <c r="O249" i="1" s="1"/>
  <c r="CP248" i="1"/>
  <c r="O248" i="1" s="1"/>
  <c r="CZ207" i="1"/>
  <c r="Y207" i="1" s="1"/>
  <c r="CY206" i="1"/>
  <c r="X206" i="1" s="1"/>
  <c r="GO206" i="1" s="1"/>
  <c r="CZ206" i="1"/>
  <c r="Y206" i="1" s="1"/>
  <c r="CY202" i="1"/>
  <c r="X202" i="1" s="1"/>
  <c r="CZ202" i="1"/>
  <c r="Y202" i="1" s="1"/>
  <c r="CZ198" i="1"/>
  <c r="Y198" i="1" s="1"/>
  <c r="CY198" i="1"/>
  <c r="X198" i="1" s="1"/>
  <c r="CY191" i="1"/>
  <c r="X191" i="1" s="1"/>
  <c r="CZ191" i="1"/>
  <c r="Y191" i="1" s="1"/>
  <c r="V186" i="1"/>
  <c r="R186" i="1"/>
  <c r="GK186" i="1" s="1"/>
  <c r="CP282" i="1"/>
  <c r="O282" i="1" s="1"/>
  <c r="CZ281" i="1"/>
  <c r="Y281" i="1" s="1"/>
  <c r="GM281" i="1" s="1"/>
  <c r="CP277" i="1"/>
  <c r="O277" i="1" s="1"/>
  <c r="CP276" i="1"/>
  <c r="O276" i="1" s="1"/>
  <c r="CP275" i="1"/>
  <c r="O275" i="1" s="1"/>
  <c r="R267" i="1"/>
  <c r="GK267" i="1" s="1"/>
  <c r="T264" i="1"/>
  <c r="CZ262" i="1"/>
  <c r="Y262" i="1" s="1"/>
  <c r="CY262" i="1"/>
  <c r="X262" i="1" s="1"/>
  <c r="GN262" i="1" s="1"/>
  <c r="CX548" i="3"/>
  <c r="CX552" i="3"/>
  <c r="CX556" i="3"/>
  <c r="CX560" i="3"/>
  <c r="CX547" i="3"/>
  <c r="CX551" i="3"/>
  <c r="CX555" i="3"/>
  <c r="CX559" i="3"/>
  <c r="CX545" i="3"/>
  <c r="CX549" i="3"/>
  <c r="CX553" i="3"/>
  <c r="CX557" i="3"/>
  <c r="CX561" i="3"/>
  <c r="CX558" i="3"/>
  <c r="CX554" i="3"/>
  <c r="CX550" i="3"/>
  <c r="CX546" i="3"/>
  <c r="I257" i="1"/>
  <c r="T257" i="1" s="1"/>
  <c r="I259" i="1"/>
  <c r="U259" i="1" s="1"/>
  <c r="CP253" i="1"/>
  <c r="O253" i="1" s="1"/>
  <c r="CZ209" i="1"/>
  <c r="Y209" i="1" s="1"/>
  <c r="CY209" i="1"/>
  <c r="X209" i="1" s="1"/>
  <c r="CP208" i="1"/>
  <c r="O208" i="1" s="1"/>
  <c r="CR207" i="1"/>
  <c r="Q207" i="1" s="1"/>
  <c r="CP207" i="1" s="1"/>
  <c r="O207" i="1" s="1"/>
  <c r="AB207" i="1"/>
  <c r="CZ205" i="1"/>
  <c r="Y205" i="1" s="1"/>
  <c r="CY205" i="1"/>
  <c r="X205" i="1" s="1"/>
  <c r="P196" i="1"/>
  <c r="CY188" i="1"/>
  <c r="X188" i="1" s="1"/>
  <c r="CZ188" i="1"/>
  <c r="Y188" i="1" s="1"/>
  <c r="CY187" i="1"/>
  <c r="X187" i="1" s="1"/>
  <c r="CZ187" i="1"/>
  <c r="Y187" i="1" s="1"/>
  <c r="CP185" i="1"/>
  <c r="O185" i="1" s="1"/>
  <c r="CR180" i="1"/>
  <c r="Q180" i="1" s="1"/>
  <c r="AB180" i="1"/>
  <c r="CX752" i="3"/>
  <c r="CX751" i="3"/>
  <c r="CX749" i="3"/>
  <c r="CX750" i="3"/>
  <c r="CX740" i="3"/>
  <c r="CX744" i="3"/>
  <c r="CX748" i="3"/>
  <c r="CX739" i="3"/>
  <c r="CX743" i="3"/>
  <c r="CX747" i="3"/>
  <c r="CX738" i="3"/>
  <c r="CX742" i="3"/>
  <c r="CX746" i="3"/>
  <c r="CX741" i="3"/>
  <c r="CX745" i="3"/>
  <c r="I348" i="1"/>
  <c r="W348" i="1" s="1"/>
  <c r="CX716" i="3"/>
  <c r="CX720" i="3"/>
  <c r="CX724" i="3"/>
  <c r="CX728" i="3"/>
  <c r="CX715" i="3"/>
  <c r="CX719" i="3"/>
  <c r="CX723" i="3"/>
  <c r="CX727" i="3"/>
  <c r="CX714" i="3"/>
  <c r="CX718" i="3"/>
  <c r="CX722" i="3"/>
  <c r="CX726" i="3"/>
  <c r="CX713" i="3"/>
  <c r="CX717" i="3"/>
  <c r="CX721" i="3"/>
  <c r="CX725" i="3"/>
  <c r="I342" i="1"/>
  <c r="U342" i="1" s="1"/>
  <c r="I339" i="1"/>
  <c r="GX339" i="1" s="1"/>
  <c r="I337" i="1"/>
  <c r="W337" i="1" s="1"/>
  <c r="I334" i="1"/>
  <c r="W334" i="1" s="1"/>
  <c r="I332" i="1"/>
  <c r="S332" i="1" s="1"/>
  <c r="AB279" i="1"/>
  <c r="CX617" i="3"/>
  <c r="CX621" i="3"/>
  <c r="CX625" i="3"/>
  <c r="CX618" i="3"/>
  <c r="CX624" i="3"/>
  <c r="CX626" i="3"/>
  <c r="CX623" i="3"/>
  <c r="CX620" i="3"/>
  <c r="CX622" i="3"/>
  <c r="CX628" i="3"/>
  <c r="CX619" i="3"/>
  <c r="CX627" i="3"/>
  <c r="CX613" i="3"/>
  <c r="CX616" i="3"/>
  <c r="CX615" i="3"/>
  <c r="CX612" i="3"/>
  <c r="CX614" i="3"/>
  <c r="CX611" i="3"/>
  <c r="P268" i="1"/>
  <c r="CP268" i="1" s="1"/>
  <c r="O268" i="1" s="1"/>
  <c r="AD267" i="1"/>
  <c r="CR267" i="1" s="1"/>
  <c r="S265" i="1"/>
  <c r="V265" i="1"/>
  <c r="U264" i="1"/>
  <c r="AB262" i="1"/>
  <c r="W259" i="1"/>
  <c r="I258" i="1"/>
  <c r="W258" i="1" s="1"/>
  <c r="T256" i="1"/>
  <c r="T255" i="1"/>
  <c r="CZ254" i="1"/>
  <c r="Y254" i="1" s="1"/>
  <c r="CP254" i="1"/>
  <c r="O254" i="1" s="1"/>
  <c r="CY252" i="1"/>
  <c r="X252" i="1" s="1"/>
  <c r="CZ252" i="1"/>
  <c r="Y252" i="1" s="1"/>
  <c r="CY251" i="1"/>
  <c r="X251" i="1" s="1"/>
  <c r="CZ251" i="1"/>
  <c r="Y251" i="1" s="1"/>
  <c r="S250" i="1"/>
  <c r="U250" i="1"/>
  <c r="Q250" i="1"/>
  <c r="CZ249" i="1"/>
  <c r="Y249" i="1" s="1"/>
  <c r="CY249" i="1"/>
  <c r="X249" i="1" s="1"/>
  <c r="CZ248" i="1"/>
  <c r="Y248" i="1" s="1"/>
  <c r="CY248" i="1"/>
  <c r="X248" i="1" s="1"/>
  <c r="CR209" i="1"/>
  <c r="Q209" i="1" s="1"/>
  <c r="AB209" i="1"/>
  <c r="CY208" i="1"/>
  <c r="X208" i="1" s="1"/>
  <c r="CR205" i="1"/>
  <c r="Q205" i="1" s="1"/>
  <c r="AB205" i="1"/>
  <c r="CY204" i="1"/>
  <c r="X204" i="1" s="1"/>
  <c r="CP204" i="1"/>
  <c r="O204" i="1" s="1"/>
  <c r="CY200" i="1"/>
  <c r="X200" i="1" s="1"/>
  <c r="CZ200" i="1"/>
  <c r="Y200" i="1" s="1"/>
  <c r="CY199" i="1"/>
  <c r="X199" i="1" s="1"/>
  <c r="CZ199" i="1"/>
  <c r="Y199" i="1" s="1"/>
  <c r="CP197" i="1"/>
  <c r="O197" i="1" s="1"/>
  <c r="U196" i="1"/>
  <c r="CY195" i="1"/>
  <c r="X195" i="1" s="1"/>
  <c r="CZ195" i="1"/>
  <c r="Y195" i="1" s="1"/>
  <c r="CY194" i="1"/>
  <c r="X194" i="1" s="1"/>
  <c r="CZ194" i="1"/>
  <c r="Y194" i="1" s="1"/>
  <c r="CY189" i="1"/>
  <c r="X189" i="1" s="1"/>
  <c r="GO189" i="1" s="1"/>
  <c r="CZ189" i="1"/>
  <c r="Y189" i="1" s="1"/>
  <c r="CP188" i="1"/>
  <c r="O188" i="1" s="1"/>
  <c r="CY186" i="1"/>
  <c r="X186" i="1" s="1"/>
  <c r="GM181" i="1"/>
  <c r="GK180" i="1"/>
  <c r="CY180" i="1"/>
  <c r="X180" i="1" s="1"/>
  <c r="CZ180" i="1"/>
  <c r="Y180" i="1" s="1"/>
  <c r="CX564" i="3"/>
  <c r="CX563" i="3"/>
  <c r="CX565" i="3"/>
  <c r="CX567" i="3"/>
  <c r="CX566" i="3"/>
  <c r="CX562" i="3"/>
  <c r="CX528" i="3"/>
  <c r="CX532" i="3"/>
  <c r="CX536" i="3"/>
  <c r="CX540" i="3"/>
  <c r="CX544" i="3"/>
  <c r="CX531" i="3"/>
  <c r="CX535" i="3"/>
  <c r="CX539" i="3"/>
  <c r="CX543" i="3"/>
  <c r="CX529" i="3"/>
  <c r="CX533" i="3"/>
  <c r="CX537" i="3"/>
  <c r="CX541" i="3"/>
  <c r="CX542" i="3"/>
  <c r="CX538" i="3"/>
  <c r="CX534" i="3"/>
  <c r="CX530" i="3"/>
  <c r="CX527" i="3"/>
  <c r="CX525" i="3"/>
  <c r="CX526" i="3"/>
  <c r="CI212" i="1"/>
  <c r="BC212" i="1"/>
  <c r="AQ212" i="1"/>
  <c r="T202" i="1"/>
  <c r="AB202" i="1"/>
  <c r="CY201" i="1"/>
  <c r="X201" i="1" s="1"/>
  <c r="GM201" i="1" s="1"/>
  <c r="CZ197" i="1"/>
  <c r="Y197" i="1" s="1"/>
  <c r="CX440" i="3"/>
  <c r="CX444" i="3"/>
  <c r="CX439" i="3"/>
  <c r="CX443" i="3"/>
  <c r="CX447" i="3"/>
  <c r="CX438" i="3"/>
  <c r="CX442" i="3"/>
  <c r="CX446" i="3"/>
  <c r="CX441" i="3"/>
  <c r="CX445" i="3"/>
  <c r="I196" i="1"/>
  <c r="T194" i="1"/>
  <c r="AB194" i="1"/>
  <c r="CY193" i="1"/>
  <c r="X193" i="1" s="1"/>
  <c r="AD192" i="1"/>
  <c r="CR192" i="1" s="1"/>
  <c r="T191" i="1"/>
  <c r="AB191" i="1"/>
  <c r="W185" i="1"/>
  <c r="S185" i="1"/>
  <c r="U183" i="1"/>
  <c r="Q183" i="1"/>
  <c r="CP183" i="1" s="1"/>
  <c r="O183" i="1" s="1"/>
  <c r="CP180" i="1"/>
  <c r="O180" i="1" s="1"/>
  <c r="CY178" i="1"/>
  <c r="X178" i="1" s="1"/>
  <c r="GO178" i="1" s="1"/>
  <c r="CZ178" i="1"/>
  <c r="Y178" i="1" s="1"/>
  <c r="W176" i="1"/>
  <c r="R176" i="1"/>
  <c r="GK176" i="1" s="1"/>
  <c r="U176" i="1"/>
  <c r="CY175" i="1"/>
  <c r="X175" i="1" s="1"/>
  <c r="CZ175" i="1"/>
  <c r="Y175" i="1" s="1"/>
  <c r="CY174" i="1"/>
  <c r="X174" i="1" s="1"/>
  <c r="CZ174" i="1"/>
  <c r="Y174" i="1" s="1"/>
  <c r="CP171" i="1"/>
  <c r="O171" i="1" s="1"/>
  <c r="CR170" i="1"/>
  <c r="Q170" i="1" s="1"/>
  <c r="AB170" i="1"/>
  <c r="CR167" i="1"/>
  <c r="Q167" i="1" s="1"/>
  <c r="AB167" i="1"/>
  <c r="CR165" i="1"/>
  <c r="Q165" i="1" s="1"/>
  <c r="CP165" i="1" s="1"/>
  <c r="O165" i="1" s="1"/>
  <c r="AB165" i="1"/>
  <c r="CY161" i="1"/>
  <c r="X161" i="1" s="1"/>
  <c r="CZ161" i="1"/>
  <c r="Y161" i="1" s="1"/>
  <c r="CY159" i="1"/>
  <c r="X159" i="1" s="1"/>
  <c r="CZ159" i="1"/>
  <c r="Y159" i="1" s="1"/>
  <c r="CZ115" i="1"/>
  <c r="Y115" i="1" s="1"/>
  <c r="CY115" i="1"/>
  <c r="X115" i="1" s="1"/>
  <c r="BB212" i="1"/>
  <c r="AX212" i="1"/>
  <c r="AP212" i="1"/>
  <c r="CQ210" i="1"/>
  <c r="P210" i="1" s="1"/>
  <c r="CP210" i="1" s="1"/>
  <c r="O210" i="1" s="1"/>
  <c r="CS208" i="1"/>
  <c r="R208" i="1" s="1"/>
  <c r="GK208" i="1" s="1"/>
  <c r="CX503" i="3"/>
  <c r="CX502" i="3"/>
  <c r="CS207" i="1"/>
  <c r="R207" i="1" s="1"/>
  <c r="GK207" i="1" s="1"/>
  <c r="CS204" i="1"/>
  <c r="R204" i="1" s="1"/>
  <c r="GK204" i="1" s="1"/>
  <c r="CZ203" i="1"/>
  <c r="Y203" i="1" s="1"/>
  <c r="GM203" i="1" s="1"/>
  <c r="CQ199" i="1"/>
  <c r="P199" i="1" s="1"/>
  <c r="CP199" i="1" s="1"/>
  <c r="O199" i="1" s="1"/>
  <c r="CQ198" i="1"/>
  <c r="P198" i="1" s="1"/>
  <c r="CP198" i="1" s="1"/>
  <c r="O198" i="1" s="1"/>
  <c r="CY197" i="1"/>
  <c r="X197" i="1" s="1"/>
  <c r="AB192" i="1"/>
  <c r="CQ187" i="1"/>
  <c r="P187" i="1" s="1"/>
  <c r="CP187" i="1" s="1"/>
  <c r="O187" i="1" s="1"/>
  <c r="CQ186" i="1"/>
  <c r="P186" i="1" s="1"/>
  <c r="CP186" i="1" s="1"/>
  <c r="O186" i="1" s="1"/>
  <c r="U186" i="1"/>
  <c r="Q186" i="1"/>
  <c r="CX404" i="3"/>
  <c r="CX402" i="3"/>
  <c r="CX408" i="3"/>
  <c r="CX401" i="3"/>
  <c r="CX407" i="3"/>
  <c r="CX411" i="3"/>
  <c r="CX406" i="3"/>
  <c r="CX410" i="3"/>
  <c r="CX403" i="3"/>
  <c r="CX405" i="3"/>
  <c r="CX409" i="3"/>
  <c r="CQ182" i="1"/>
  <c r="P182" i="1" s="1"/>
  <c r="CP182" i="1" s="1"/>
  <c r="O182" i="1" s="1"/>
  <c r="CZ181" i="1"/>
  <c r="Y181" i="1" s="1"/>
  <c r="GO181" i="1" s="1"/>
  <c r="CY179" i="1"/>
  <c r="X179" i="1" s="1"/>
  <c r="CZ179" i="1"/>
  <c r="Y179" i="1" s="1"/>
  <c r="V176" i="1"/>
  <c r="P176" i="1"/>
  <c r="CR175" i="1"/>
  <c r="Q175" i="1" s="1"/>
  <c r="AB175" i="1"/>
  <c r="CR174" i="1"/>
  <c r="Q174" i="1" s="1"/>
  <c r="AB174" i="1"/>
  <c r="CY173" i="1"/>
  <c r="X173" i="1" s="1"/>
  <c r="CZ173" i="1"/>
  <c r="Y173" i="1" s="1"/>
  <c r="CY171" i="1"/>
  <c r="X171" i="1" s="1"/>
  <c r="CZ171" i="1"/>
  <c r="Y171" i="1" s="1"/>
  <c r="CZ168" i="1"/>
  <c r="Y168" i="1" s="1"/>
  <c r="CY163" i="1"/>
  <c r="X163" i="1" s="1"/>
  <c r="CZ163" i="1"/>
  <c r="Y163" i="1" s="1"/>
  <c r="CY162" i="1"/>
  <c r="X162" i="1" s="1"/>
  <c r="CZ162" i="1"/>
  <c r="Y162" i="1" s="1"/>
  <c r="GN160" i="1"/>
  <c r="CC26" i="1"/>
  <c r="AT123" i="1"/>
  <c r="CX516" i="3"/>
  <c r="CX520" i="3"/>
  <c r="CX524" i="3"/>
  <c r="CX515" i="3"/>
  <c r="CX519" i="3"/>
  <c r="CX523" i="3"/>
  <c r="CX514" i="3"/>
  <c r="CX517" i="3"/>
  <c r="CX521" i="3"/>
  <c r="CX522" i="3"/>
  <c r="CX518" i="3"/>
  <c r="CX508" i="3"/>
  <c r="CX512" i="3"/>
  <c r="CX511" i="3"/>
  <c r="CX510" i="3"/>
  <c r="CX509" i="3"/>
  <c r="CX513" i="3"/>
  <c r="V196" i="1"/>
  <c r="R196" i="1"/>
  <c r="GK196" i="1" s="1"/>
  <c r="CP179" i="1"/>
  <c r="O179" i="1" s="1"/>
  <c r="CY177" i="1"/>
  <c r="X177" i="1" s="1"/>
  <c r="CZ177" i="1"/>
  <c r="Y177" i="1" s="1"/>
  <c r="GX176" i="1"/>
  <c r="CR171" i="1"/>
  <c r="Q171" i="1" s="1"/>
  <c r="AB171" i="1"/>
  <c r="CP170" i="1"/>
  <c r="O170" i="1" s="1"/>
  <c r="V169" i="1"/>
  <c r="CR168" i="1"/>
  <c r="Q168" i="1" s="1"/>
  <c r="CP168" i="1" s="1"/>
  <c r="O168" i="1" s="1"/>
  <c r="AB168" i="1"/>
  <c r="CP167" i="1"/>
  <c r="O167" i="1" s="1"/>
  <c r="CR166" i="1"/>
  <c r="Q166" i="1" s="1"/>
  <c r="CP166" i="1" s="1"/>
  <c r="O166" i="1" s="1"/>
  <c r="AB166" i="1"/>
  <c r="CR164" i="1"/>
  <c r="Q164" i="1" s="1"/>
  <c r="CP164" i="1" s="1"/>
  <c r="O164" i="1" s="1"/>
  <c r="AB164" i="1"/>
  <c r="CP163" i="1"/>
  <c r="O163" i="1" s="1"/>
  <c r="GN119" i="1"/>
  <c r="GM119" i="1"/>
  <c r="U116" i="1"/>
  <c r="P202" i="1"/>
  <c r="CP202" i="1" s="1"/>
  <c r="O202" i="1" s="1"/>
  <c r="AB201" i="1"/>
  <c r="AB200" i="1"/>
  <c r="GX196" i="1"/>
  <c r="AD196" i="1"/>
  <c r="CR196" i="1" s="1"/>
  <c r="Q196" i="1" s="1"/>
  <c r="AB195" i="1"/>
  <c r="P194" i="1"/>
  <c r="CP194" i="1" s="1"/>
  <c r="O194" i="1" s="1"/>
  <c r="AB193" i="1"/>
  <c r="P191" i="1"/>
  <c r="CP191" i="1" s="1"/>
  <c r="O191" i="1" s="1"/>
  <c r="AB190" i="1"/>
  <c r="CX420" i="3"/>
  <c r="CX424" i="3"/>
  <c r="CX428" i="3"/>
  <c r="CX419" i="3"/>
  <c r="CX423" i="3"/>
  <c r="CX427" i="3"/>
  <c r="CX418" i="3"/>
  <c r="CX422" i="3"/>
  <c r="CX426" i="3"/>
  <c r="CX421" i="3"/>
  <c r="CX425" i="3"/>
  <c r="I190" i="1"/>
  <c r="Q190" i="1" s="1"/>
  <c r="I192" i="1"/>
  <c r="GX192" i="1" s="1"/>
  <c r="AB188" i="1"/>
  <c r="W184" i="1"/>
  <c r="S184" i="1"/>
  <c r="CP184" i="1" s="1"/>
  <c r="O184" i="1" s="1"/>
  <c r="CX392" i="3"/>
  <c r="CX396" i="3"/>
  <c r="CX400" i="3"/>
  <c r="CX394" i="3"/>
  <c r="CX391" i="3"/>
  <c r="CX393" i="3"/>
  <c r="CX399" i="3"/>
  <c r="CX390" i="3"/>
  <c r="CX398" i="3"/>
  <c r="CX395" i="3"/>
  <c r="CX397" i="3"/>
  <c r="AB179" i="1"/>
  <c r="CR177" i="1"/>
  <c r="Q177" i="1" s="1"/>
  <c r="CP177" i="1" s="1"/>
  <c r="O177" i="1" s="1"/>
  <c r="AB177" i="1"/>
  <c r="CP175" i="1"/>
  <c r="O175" i="1" s="1"/>
  <c r="CP174" i="1"/>
  <c r="O174" i="1" s="1"/>
  <c r="CP173" i="1"/>
  <c r="O173" i="1" s="1"/>
  <c r="U169" i="1"/>
  <c r="GM118" i="1"/>
  <c r="GN118" i="1"/>
  <c r="CZ114" i="1"/>
  <c r="Y114" i="1" s="1"/>
  <c r="CY114" i="1"/>
  <c r="X114" i="1" s="1"/>
  <c r="CX432" i="3"/>
  <c r="CX436" i="3"/>
  <c r="CX431" i="3"/>
  <c r="CX435" i="3"/>
  <c r="CX430" i="3"/>
  <c r="CX434" i="3"/>
  <c r="CX429" i="3"/>
  <c r="CX433" i="3"/>
  <c r="CX437" i="3"/>
  <c r="CY160" i="1"/>
  <c r="X160" i="1" s="1"/>
  <c r="GM160" i="1" s="1"/>
  <c r="AD159" i="1"/>
  <c r="CR159" i="1" s="1"/>
  <c r="Q159" i="1" s="1"/>
  <c r="I116" i="1"/>
  <c r="P116" i="1" s="1"/>
  <c r="U115" i="1"/>
  <c r="Q115" i="1"/>
  <c r="CP115" i="1" s="1"/>
  <c r="O115" i="1" s="1"/>
  <c r="CX282" i="3"/>
  <c r="CX284" i="3"/>
  <c r="CX283" i="3"/>
  <c r="CR112" i="1"/>
  <c r="Q112" i="1" s="1"/>
  <c r="CP112" i="1" s="1"/>
  <c r="O112" i="1" s="1"/>
  <c r="AB112" i="1"/>
  <c r="CP109" i="1"/>
  <c r="O109" i="1" s="1"/>
  <c r="GX108" i="1"/>
  <c r="V108" i="1"/>
  <c r="R108" i="1"/>
  <c r="GK108" i="1" s="1"/>
  <c r="CY107" i="1"/>
  <c r="X107" i="1" s="1"/>
  <c r="CZ107" i="1"/>
  <c r="Y107" i="1" s="1"/>
  <c r="GX105" i="1"/>
  <c r="W105" i="1"/>
  <c r="S105" i="1"/>
  <c r="CY103" i="1"/>
  <c r="X103" i="1" s="1"/>
  <c r="CZ103" i="1"/>
  <c r="Y103" i="1" s="1"/>
  <c r="CR102" i="1"/>
  <c r="Q102" i="1" s="1"/>
  <c r="CP102" i="1" s="1"/>
  <c r="O102" i="1" s="1"/>
  <c r="AB102" i="1"/>
  <c r="CZ98" i="1"/>
  <c r="Y98" i="1" s="1"/>
  <c r="CY97" i="1"/>
  <c r="X97" i="1" s="1"/>
  <c r="CZ97" i="1"/>
  <c r="Y97" i="1" s="1"/>
  <c r="CR96" i="1"/>
  <c r="Q96" i="1" s="1"/>
  <c r="AB96" i="1"/>
  <c r="T92" i="1"/>
  <c r="GK89" i="1"/>
  <c r="CZ89" i="1"/>
  <c r="Y89" i="1" s="1"/>
  <c r="S78" i="1"/>
  <c r="V78" i="1"/>
  <c r="CX372" i="3"/>
  <c r="CX376" i="3"/>
  <c r="CX380" i="3"/>
  <c r="CX370" i="3"/>
  <c r="CX378" i="3"/>
  <c r="CX369" i="3"/>
  <c r="CX375" i="3"/>
  <c r="CX377" i="3"/>
  <c r="CX374" i="3"/>
  <c r="CX371" i="3"/>
  <c r="CX373" i="3"/>
  <c r="CX379" i="3"/>
  <c r="CX352" i="3"/>
  <c r="CX356" i="3"/>
  <c r="CX354" i="3"/>
  <c r="CX353" i="3"/>
  <c r="CX359" i="3"/>
  <c r="CX358" i="3"/>
  <c r="CX355" i="3"/>
  <c r="CX357" i="3"/>
  <c r="CS170" i="1"/>
  <c r="R170" i="1" s="1"/>
  <c r="GK170" i="1" s="1"/>
  <c r="CQ169" i="1"/>
  <c r="CS168" i="1"/>
  <c r="R168" i="1" s="1"/>
  <c r="GK168" i="1" s="1"/>
  <c r="CX344" i="3"/>
  <c r="CX348" i="3"/>
  <c r="CX346" i="3"/>
  <c r="CX343" i="3"/>
  <c r="CX345" i="3"/>
  <c r="CX351" i="3"/>
  <c r="CX350" i="3"/>
  <c r="CX347" i="3"/>
  <c r="CX349" i="3"/>
  <c r="CS167" i="1"/>
  <c r="R167" i="1" s="1"/>
  <c r="GK167" i="1" s="1"/>
  <c r="CX340" i="3"/>
  <c r="CX342" i="3"/>
  <c r="CX341" i="3"/>
  <c r="CS166" i="1"/>
  <c r="R166" i="1" s="1"/>
  <c r="GK166" i="1" s="1"/>
  <c r="CX337" i="3"/>
  <c r="CX338" i="3"/>
  <c r="CX339" i="3"/>
  <c r="CS165" i="1"/>
  <c r="R165" i="1" s="1"/>
  <c r="GK165" i="1" s="1"/>
  <c r="CX336" i="3"/>
  <c r="CX335" i="3"/>
  <c r="CX334" i="3"/>
  <c r="CS164" i="1"/>
  <c r="R164" i="1" s="1"/>
  <c r="CY164" i="1" s="1"/>
  <c r="X164" i="1" s="1"/>
  <c r="CQ162" i="1"/>
  <c r="P162" i="1" s="1"/>
  <c r="CP162" i="1" s="1"/>
  <c r="O162" i="1" s="1"/>
  <c r="CQ161" i="1"/>
  <c r="P161" i="1" s="1"/>
  <c r="AB159" i="1"/>
  <c r="CG123" i="1"/>
  <c r="BC123" i="1"/>
  <c r="CZ118" i="1"/>
  <c r="Y118" i="1" s="1"/>
  <c r="CX290" i="3"/>
  <c r="CX294" i="3"/>
  <c r="CX289" i="3"/>
  <c r="CX293" i="3"/>
  <c r="CX292" i="3"/>
  <c r="CX295" i="3"/>
  <c r="CX291" i="3"/>
  <c r="GX117" i="1"/>
  <c r="AB117" i="1"/>
  <c r="CQ114" i="1"/>
  <c r="P114" i="1" s="1"/>
  <c r="CP114" i="1" s="1"/>
  <c r="O114" i="1" s="1"/>
  <c r="CZ113" i="1"/>
  <c r="Y113" i="1" s="1"/>
  <c r="GN113" i="1" s="1"/>
  <c r="CY109" i="1"/>
  <c r="X109" i="1" s="1"/>
  <c r="CZ109" i="1"/>
  <c r="Y109" i="1" s="1"/>
  <c r="T108" i="1"/>
  <c r="U108" i="1"/>
  <c r="Q108" i="1"/>
  <c r="CY106" i="1"/>
  <c r="X106" i="1" s="1"/>
  <c r="CZ106" i="1"/>
  <c r="Y106" i="1" s="1"/>
  <c r="CR105" i="1"/>
  <c r="Q105" i="1" s="1"/>
  <c r="CP105" i="1" s="1"/>
  <c r="O105" i="1" s="1"/>
  <c r="AB105" i="1"/>
  <c r="CP99" i="1"/>
  <c r="O99" i="1" s="1"/>
  <c r="CR98" i="1"/>
  <c r="Q98" i="1" s="1"/>
  <c r="CP98" i="1" s="1"/>
  <c r="O98" i="1" s="1"/>
  <c r="AB98" i="1"/>
  <c r="CZ95" i="1"/>
  <c r="Y95" i="1" s="1"/>
  <c r="CY94" i="1"/>
  <c r="X94" i="1" s="1"/>
  <c r="CZ94" i="1"/>
  <c r="Y94" i="1" s="1"/>
  <c r="CR93" i="1"/>
  <c r="Q93" i="1" s="1"/>
  <c r="AB93" i="1"/>
  <c r="P92" i="1"/>
  <c r="CP92" i="1" s="1"/>
  <c r="O92" i="1" s="1"/>
  <c r="CY91" i="1"/>
  <c r="X91" i="1" s="1"/>
  <c r="CZ91" i="1"/>
  <c r="Y91" i="1" s="1"/>
  <c r="CP84" i="1"/>
  <c r="O84" i="1" s="1"/>
  <c r="U75" i="1"/>
  <c r="BB123" i="1"/>
  <c r="AQ123" i="1"/>
  <c r="CZ117" i="1"/>
  <c r="Y117" i="1" s="1"/>
  <c r="CY101" i="1"/>
  <c r="X101" i="1" s="1"/>
  <c r="CZ101" i="1"/>
  <c r="Y101" i="1" s="1"/>
  <c r="CP96" i="1"/>
  <c r="O96" i="1" s="1"/>
  <c r="CR95" i="1"/>
  <c r="Q95" i="1" s="1"/>
  <c r="CP95" i="1" s="1"/>
  <c r="O95" i="1" s="1"/>
  <c r="AB95" i="1"/>
  <c r="CY90" i="1"/>
  <c r="X90" i="1" s="1"/>
  <c r="CZ90" i="1"/>
  <c r="Y90" i="1" s="1"/>
  <c r="GM83" i="1"/>
  <c r="GN83" i="1"/>
  <c r="CX384" i="3"/>
  <c r="CX388" i="3"/>
  <c r="CX386" i="3"/>
  <c r="CX383" i="3"/>
  <c r="CX385" i="3"/>
  <c r="CX382" i="3"/>
  <c r="CX381" i="3"/>
  <c r="CX387" i="3"/>
  <c r="I176" i="1"/>
  <c r="Q176" i="1" s="1"/>
  <c r="CX360" i="3"/>
  <c r="CX364" i="3"/>
  <c r="CX368" i="3"/>
  <c r="CX362" i="3"/>
  <c r="CX361" i="3"/>
  <c r="CX367" i="3"/>
  <c r="CX366" i="3"/>
  <c r="CX363" i="3"/>
  <c r="CX365" i="3"/>
  <c r="I172" i="1"/>
  <c r="S172" i="1" s="1"/>
  <c r="I169" i="1"/>
  <c r="R169" i="1" s="1"/>
  <c r="GK169" i="1" s="1"/>
  <c r="AB160" i="1"/>
  <c r="CI123" i="1"/>
  <c r="AU123" i="1"/>
  <c r="AP123" i="1"/>
  <c r="AB119" i="1"/>
  <c r="U117" i="1"/>
  <c r="Q117" i="1"/>
  <c r="CP117" i="1" s="1"/>
  <c r="O117" i="1" s="1"/>
  <c r="W116" i="1"/>
  <c r="AB116" i="1"/>
  <c r="CX286" i="3"/>
  <c r="CX285" i="3"/>
  <c r="CX288" i="3"/>
  <c r="CX287" i="3"/>
  <c r="W108" i="1"/>
  <c r="S108" i="1"/>
  <c r="CY104" i="1"/>
  <c r="X104" i="1" s="1"/>
  <c r="CZ104" i="1"/>
  <c r="Y104" i="1" s="1"/>
  <c r="CY100" i="1"/>
  <c r="X100" i="1" s="1"/>
  <c r="CZ100" i="1"/>
  <c r="Y100" i="1" s="1"/>
  <c r="CR99" i="1"/>
  <c r="Q99" i="1" s="1"/>
  <c r="AB99" i="1"/>
  <c r="CP93" i="1"/>
  <c r="O93" i="1" s="1"/>
  <c r="CR92" i="1"/>
  <c r="Q92" i="1" s="1"/>
  <c r="AB92" i="1"/>
  <c r="GM87" i="1"/>
  <c r="GN87" i="1"/>
  <c r="CY82" i="1"/>
  <c r="X82" i="1" s="1"/>
  <c r="CZ82" i="1"/>
  <c r="Y82" i="1" s="1"/>
  <c r="CX306" i="3"/>
  <c r="CX308" i="3"/>
  <c r="CX307" i="3"/>
  <c r="CX179" i="3"/>
  <c r="CX183" i="3"/>
  <c r="CX178" i="3"/>
  <c r="CX180" i="3"/>
  <c r="CX177" i="3"/>
  <c r="CX182" i="3"/>
  <c r="CX181" i="3"/>
  <c r="GX84" i="1"/>
  <c r="W84" i="1"/>
  <c r="S84" i="1"/>
  <c r="AB84" i="1"/>
  <c r="AD81" i="1"/>
  <c r="CR81" i="1" s="1"/>
  <c r="Q81" i="1" s="1"/>
  <c r="CS81" i="1"/>
  <c r="R81" i="1" s="1"/>
  <c r="GX78" i="1"/>
  <c r="U77" i="1"/>
  <c r="CT76" i="1"/>
  <c r="W74" i="1"/>
  <c r="R74" i="1"/>
  <c r="GK74" i="1" s="1"/>
  <c r="S74" i="1"/>
  <c r="CS73" i="1"/>
  <c r="R73" i="1" s="1"/>
  <c r="GK73" i="1" s="1"/>
  <c r="GX72" i="1"/>
  <c r="AB72" i="1"/>
  <c r="CR72" i="1"/>
  <c r="Q72" i="1" s="1"/>
  <c r="U71" i="1"/>
  <c r="CT70" i="1"/>
  <c r="S70" i="1" s="1"/>
  <c r="W69" i="1"/>
  <c r="R69" i="1"/>
  <c r="GK69" i="1" s="1"/>
  <c r="CR68" i="1"/>
  <c r="Q68" i="1" s="1"/>
  <c r="AB68" i="1"/>
  <c r="CX122" i="3"/>
  <c r="CX121" i="3"/>
  <c r="CX119" i="3"/>
  <c r="CX123" i="3"/>
  <c r="CX124" i="3"/>
  <c r="CX120" i="3"/>
  <c r="I69" i="1"/>
  <c r="CS67" i="1"/>
  <c r="R67" i="1" s="1"/>
  <c r="GK67" i="1" s="1"/>
  <c r="P66" i="1"/>
  <c r="CP66" i="1" s="1"/>
  <c r="O66" i="1" s="1"/>
  <c r="W64" i="1"/>
  <c r="R64" i="1"/>
  <c r="GK64" i="1" s="1"/>
  <c r="P64" i="1"/>
  <c r="AB109" i="1"/>
  <c r="CX274" i="3"/>
  <c r="CX273" i="3"/>
  <c r="AB108" i="1"/>
  <c r="CQ107" i="1"/>
  <c r="P107" i="1" s="1"/>
  <c r="CP107" i="1" s="1"/>
  <c r="O107" i="1" s="1"/>
  <c r="CQ106" i="1"/>
  <c r="P106" i="1" s="1"/>
  <c r="CP106" i="1" s="1"/>
  <c r="O106" i="1" s="1"/>
  <c r="CS105" i="1"/>
  <c r="R105" i="1" s="1"/>
  <c r="GK105" i="1" s="1"/>
  <c r="CQ104" i="1"/>
  <c r="P104" i="1" s="1"/>
  <c r="CP104" i="1" s="1"/>
  <c r="O104" i="1" s="1"/>
  <c r="CQ103" i="1"/>
  <c r="P103" i="1" s="1"/>
  <c r="CP103" i="1" s="1"/>
  <c r="O103" i="1" s="1"/>
  <c r="CS102" i="1"/>
  <c r="R102" i="1" s="1"/>
  <c r="GK102" i="1" s="1"/>
  <c r="CQ101" i="1"/>
  <c r="P101" i="1" s="1"/>
  <c r="CP101" i="1" s="1"/>
  <c r="O101" i="1" s="1"/>
  <c r="CQ100" i="1"/>
  <c r="P100" i="1" s="1"/>
  <c r="CP100" i="1" s="1"/>
  <c r="O100" i="1" s="1"/>
  <c r="CS99" i="1"/>
  <c r="R99" i="1" s="1"/>
  <c r="GK99" i="1" s="1"/>
  <c r="CX227" i="3"/>
  <c r="CX231" i="3"/>
  <c r="CX235" i="3"/>
  <c r="CX226" i="3"/>
  <c r="CX230" i="3"/>
  <c r="CX234" i="3"/>
  <c r="CX229" i="3"/>
  <c r="CX233" i="3"/>
  <c r="CX228" i="3"/>
  <c r="CX232" i="3"/>
  <c r="CS98" i="1"/>
  <c r="R98" i="1" s="1"/>
  <c r="GK98" i="1" s="1"/>
  <c r="CQ97" i="1"/>
  <c r="P97" i="1" s="1"/>
  <c r="CP97" i="1" s="1"/>
  <c r="O97" i="1" s="1"/>
  <c r="CS96" i="1"/>
  <c r="R96" i="1" s="1"/>
  <c r="GK96" i="1" s="1"/>
  <c r="CX219" i="3"/>
  <c r="CX223" i="3"/>
  <c r="CX218" i="3"/>
  <c r="CX222" i="3"/>
  <c r="CX217" i="3"/>
  <c r="CX221" i="3"/>
  <c r="CX225" i="3"/>
  <c r="CX220" i="3"/>
  <c r="CX224" i="3"/>
  <c r="CS95" i="1"/>
  <c r="R95" i="1" s="1"/>
  <c r="GK95" i="1" s="1"/>
  <c r="CQ94" i="1"/>
  <c r="P94" i="1" s="1"/>
  <c r="CP94" i="1" s="1"/>
  <c r="O94" i="1" s="1"/>
  <c r="CS93" i="1"/>
  <c r="R93" i="1" s="1"/>
  <c r="GK93" i="1" s="1"/>
  <c r="CX211" i="3"/>
  <c r="CX215" i="3"/>
  <c r="CX210" i="3"/>
  <c r="CX214" i="3"/>
  <c r="CX213" i="3"/>
  <c r="CX212" i="3"/>
  <c r="CX216" i="3"/>
  <c r="CS92" i="1"/>
  <c r="R92" i="1" s="1"/>
  <c r="GK92" i="1" s="1"/>
  <c r="CQ91" i="1"/>
  <c r="P91" i="1" s="1"/>
  <c r="CP91" i="1" s="1"/>
  <c r="O91" i="1" s="1"/>
  <c r="CQ90" i="1"/>
  <c r="P90" i="1" s="1"/>
  <c r="CP90" i="1" s="1"/>
  <c r="O90" i="1" s="1"/>
  <c r="Q89" i="1"/>
  <c r="CP89" i="1" s="1"/>
  <c r="O89" i="1" s="1"/>
  <c r="W88" i="1"/>
  <c r="S88" i="1"/>
  <c r="CP88" i="1" s="1"/>
  <c r="O88" i="1" s="1"/>
  <c r="AB88" i="1"/>
  <c r="CY86" i="1"/>
  <c r="X86" i="1" s="1"/>
  <c r="CY85" i="1"/>
  <c r="X85" i="1" s="1"/>
  <c r="CQ81" i="1"/>
  <c r="P81" i="1" s="1"/>
  <c r="AB80" i="1"/>
  <c r="GX77" i="1"/>
  <c r="CR77" i="1"/>
  <c r="Q77" i="1" s="1"/>
  <c r="AB77" i="1"/>
  <c r="T75" i="1"/>
  <c r="W75" i="1"/>
  <c r="S75" i="1"/>
  <c r="CQ74" i="1"/>
  <c r="P74" i="1" s="1"/>
  <c r="AB74" i="1"/>
  <c r="CX138" i="3"/>
  <c r="CX142" i="3"/>
  <c r="CX146" i="3"/>
  <c r="CX139" i="3"/>
  <c r="CX143" i="3"/>
  <c r="CX147" i="3"/>
  <c r="CX137" i="3"/>
  <c r="CX141" i="3"/>
  <c r="CX145" i="3"/>
  <c r="CX149" i="3"/>
  <c r="CX140" i="3"/>
  <c r="CX144" i="3"/>
  <c r="CX148" i="3"/>
  <c r="I75" i="1"/>
  <c r="I80" i="1"/>
  <c r="I76" i="1"/>
  <c r="I79" i="1"/>
  <c r="R72" i="1"/>
  <c r="GK72" i="1" s="1"/>
  <c r="GX71" i="1"/>
  <c r="AB71" i="1"/>
  <c r="CR71" i="1"/>
  <c r="Q71" i="1" s="1"/>
  <c r="AB69" i="1"/>
  <c r="CQ69" i="1"/>
  <c r="P69" i="1" s="1"/>
  <c r="P67" i="1"/>
  <c r="U66" i="1"/>
  <c r="CZ65" i="1"/>
  <c r="Y65" i="1" s="1"/>
  <c r="CY65" i="1"/>
  <c r="X65" i="1" s="1"/>
  <c r="CT111" i="1"/>
  <c r="S111" i="1" s="1"/>
  <c r="CT110" i="1"/>
  <c r="S110" i="1" s="1"/>
  <c r="AB86" i="1"/>
  <c r="AB85" i="1"/>
  <c r="AD82" i="1"/>
  <c r="CR82" i="1" s="1"/>
  <c r="Q82" i="1" s="1"/>
  <c r="CS82" i="1"/>
  <c r="R82" i="1" s="1"/>
  <c r="GK82" i="1" s="1"/>
  <c r="S80" i="1"/>
  <c r="V79" i="1"/>
  <c r="W78" i="1"/>
  <c r="R78" i="1"/>
  <c r="GK78" i="1" s="1"/>
  <c r="P76" i="1"/>
  <c r="CX130" i="3"/>
  <c r="CX134" i="3"/>
  <c r="CX131" i="3"/>
  <c r="CX135" i="3"/>
  <c r="CX133" i="3"/>
  <c r="CX132" i="3"/>
  <c r="CX136" i="3"/>
  <c r="CP70" i="1"/>
  <c r="O70" i="1" s="1"/>
  <c r="GX69" i="1"/>
  <c r="T69" i="1"/>
  <c r="CP68" i="1"/>
  <c r="O68" i="1" s="1"/>
  <c r="CR66" i="1"/>
  <c r="Q66" i="1" s="1"/>
  <c r="AB66" i="1"/>
  <c r="CR65" i="1"/>
  <c r="Q65" i="1" s="1"/>
  <c r="AB65" i="1"/>
  <c r="CZ64" i="1"/>
  <c r="Y64" i="1" s="1"/>
  <c r="CY64" i="1"/>
  <c r="X64" i="1" s="1"/>
  <c r="AB63" i="1"/>
  <c r="CR63" i="1"/>
  <c r="Q63" i="1" s="1"/>
  <c r="CP63" i="1" s="1"/>
  <c r="O63" i="1" s="1"/>
  <c r="CX278" i="3"/>
  <c r="CX277" i="3"/>
  <c r="CX281" i="3"/>
  <c r="CX276" i="3"/>
  <c r="CX280" i="3"/>
  <c r="CX279" i="3"/>
  <c r="CX275" i="3"/>
  <c r="CX263" i="3"/>
  <c r="CX262" i="3"/>
  <c r="CX266" i="3"/>
  <c r="CX270" i="3"/>
  <c r="CX265" i="3"/>
  <c r="CX269" i="3"/>
  <c r="CX264" i="3"/>
  <c r="CX268" i="3"/>
  <c r="CX272" i="3"/>
  <c r="CX267" i="3"/>
  <c r="CX271" i="3"/>
  <c r="CX251" i="3"/>
  <c r="CX255" i="3"/>
  <c r="CX259" i="3"/>
  <c r="CX250" i="3"/>
  <c r="CX254" i="3"/>
  <c r="CX258" i="3"/>
  <c r="CX249" i="3"/>
  <c r="CX253" i="3"/>
  <c r="CX257" i="3"/>
  <c r="CX261" i="3"/>
  <c r="CX252" i="3"/>
  <c r="CX256" i="3"/>
  <c r="CX260" i="3"/>
  <c r="CX239" i="3"/>
  <c r="CX243" i="3"/>
  <c r="CX247" i="3"/>
  <c r="CX238" i="3"/>
  <c r="CX242" i="3"/>
  <c r="CX246" i="3"/>
  <c r="CX237" i="3"/>
  <c r="CX241" i="3"/>
  <c r="CX245" i="3"/>
  <c r="CX236" i="3"/>
  <c r="CX240" i="3"/>
  <c r="CX244" i="3"/>
  <c r="CX248" i="3"/>
  <c r="CX203" i="3"/>
  <c r="CX207" i="3"/>
  <c r="CX206" i="3"/>
  <c r="CX205" i="3"/>
  <c r="CX209" i="3"/>
  <c r="CX204" i="3"/>
  <c r="CX208" i="3"/>
  <c r="CX195" i="3"/>
  <c r="CX199" i="3"/>
  <c r="CX194" i="3"/>
  <c r="CX198" i="3"/>
  <c r="CX202" i="3"/>
  <c r="CX193" i="3"/>
  <c r="CX197" i="3"/>
  <c r="CX201" i="3"/>
  <c r="CX196" i="3"/>
  <c r="CX200" i="3"/>
  <c r="AB89" i="1"/>
  <c r="CX187" i="3"/>
  <c r="CX191" i="3"/>
  <c r="CX186" i="3"/>
  <c r="CX190" i="3"/>
  <c r="CX185" i="3"/>
  <c r="CX189" i="3"/>
  <c r="CX184" i="3"/>
  <c r="CX188" i="3"/>
  <c r="CX192" i="3"/>
  <c r="AB87" i="1"/>
  <c r="CP86" i="1"/>
  <c r="O86" i="1" s="1"/>
  <c r="CP85" i="1"/>
  <c r="O85" i="1" s="1"/>
  <c r="AB83" i="1"/>
  <c r="CQ82" i="1"/>
  <c r="P82" i="1" s="1"/>
  <c r="AB82" i="1"/>
  <c r="GX80" i="1"/>
  <c r="U80" i="1"/>
  <c r="T79" i="1"/>
  <c r="W79" i="1"/>
  <c r="S79" i="1"/>
  <c r="AB79" i="1"/>
  <c r="AB78" i="1"/>
  <c r="CQ78" i="1"/>
  <c r="P78" i="1" s="1"/>
  <c r="CP78" i="1" s="1"/>
  <c r="O78" i="1" s="1"/>
  <c r="Q75" i="1"/>
  <c r="AB73" i="1"/>
  <c r="CR73" i="1"/>
  <c r="Q73" i="1" s="1"/>
  <c r="CP73" i="1" s="1"/>
  <c r="O73" i="1" s="1"/>
  <c r="U72" i="1"/>
  <c r="V72" i="1"/>
  <c r="CR67" i="1"/>
  <c r="Q67" i="1" s="1"/>
  <c r="AB67" i="1"/>
  <c r="CX114" i="3"/>
  <c r="CX118" i="3"/>
  <c r="CX113" i="3"/>
  <c r="CX117" i="3"/>
  <c r="CX111" i="3"/>
  <c r="CX115" i="3"/>
  <c r="CX116" i="3"/>
  <c r="CX112" i="3"/>
  <c r="CS66" i="1"/>
  <c r="R66" i="1" s="1"/>
  <c r="GK66" i="1" s="1"/>
  <c r="CP65" i="1"/>
  <c r="O65" i="1" s="1"/>
  <c r="GK63" i="1"/>
  <c r="CY63" i="1"/>
  <c r="X63" i="1" s="1"/>
  <c r="CZ63" i="1"/>
  <c r="Y63" i="1" s="1"/>
  <c r="CX162" i="3"/>
  <c r="CX163" i="3"/>
  <c r="CX167" i="3"/>
  <c r="CX166" i="3"/>
  <c r="CX168" i="3"/>
  <c r="CX165" i="3"/>
  <c r="CX164" i="3"/>
  <c r="CX169" i="3"/>
  <c r="CX150" i="3"/>
  <c r="CX154" i="3"/>
  <c r="CX158" i="3"/>
  <c r="CX151" i="3"/>
  <c r="CX155" i="3"/>
  <c r="CX159" i="3"/>
  <c r="CX153" i="3"/>
  <c r="CX157" i="3"/>
  <c r="CX161" i="3"/>
  <c r="CX152" i="3"/>
  <c r="CX156" i="3"/>
  <c r="CX160" i="3"/>
  <c r="U78" i="1"/>
  <c r="Q78" i="1"/>
  <c r="W77" i="1"/>
  <c r="S77" i="1"/>
  <c r="CP77" i="1" s="1"/>
  <c r="O77" i="1" s="1"/>
  <c r="U69" i="1"/>
  <c r="Q69" i="1"/>
  <c r="W68" i="1"/>
  <c r="S68" i="1"/>
  <c r="W67" i="1"/>
  <c r="S67" i="1"/>
  <c r="W66" i="1"/>
  <c r="S66" i="1"/>
  <c r="CX106" i="3"/>
  <c r="CX110" i="3"/>
  <c r="CX109" i="3"/>
  <c r="CX107" i="3"/>
  <c r="CX108" i="3"/>
  <c r="AB64" i="1"/>
  <c r="Q62" i="1"/>
  <c r="Q59" i="1"/>
  <c r="CP58" i="1"/>
  <c r="O58" i="1" s="1"/>
  <c r="CP57" i="1"/>
  <c r="O57" i="1" s="1"/>
  <c r="CP54" i="1"/>
  <c r="O54" i="1" s="1"/>
  <c r="CP53" i="1"/>
  <c r="O53" i="1" s="1"/>
  <c r="W51" i="1"/>
  <c r="CX90" i="3"/>
  <c r="CX94" i="3"/>
  <c r="CX89" i="3"/>
  <c r="CX93" i="3"/>
  <c r="CX97" i="3"/>
  <c r="CX88" i="3"/>
  <c r="CX92" i="3"/>
  <c r="CX96" i="3"/>
  <c r="CX87" i="3"/>
  <c r="CX91" i="3"/>
  <c r="CX95" i="3"/>
  <c r="I60" i="1"/>
  <c r="S60" i="1" s="1"/>
  <c r="I62" i="1"/>
  <c r="U62" i="1" s="1"/>
  <c r="CY48" i="1"/>
  <c r="X48" i="1" s="1"/>
  <c r="CZ48" i="1"/>
  <c r="Y48" i="1" s="1"/>
  <c r="CY47" i="1"/>
  <c r="X47" i="1" s="1"/>
  <c r="CZ47" i="1"/>
  <c r="Y47" i="1" s="1"/>
  <c r="CR46" i="1"/>
  <c r="Q46" i="1" s="1"/>
  <c r="AB46" i="1"/>
  <c r="CP45" i="1"/>
  <c r="O45" i="1" s="1"/>
  <c r="U74" i="1"/>
  <c r="Q74" i="1"/>
  <c r="W73" i="1"/>
  <c r="S73" i="1"/>
  <c r="W72" i="1"/>
  <c r="S72" i="1"/>
  <c r="CP72" i="1" s="1"/>
  <c r="O72" i="1" s="1"/>
  <c r="W71" i="1"/>
  <c r="S71" i="1"/>
  <c r="CX126" i="3"/>
  <c r="CX127" i="3"/>
  <c r="CX125" i="3"/>
  <c r="CX129" i="3"/>
  <c r="CX128" i="3"/>
  <c r="U64" i="1"/>
  <c r="Q64" i="1"/>
  <c r="W62" i="1"/>
  <c r="I61" i="1"/>
  <c r="W61" i="1" s="1"/>
  <c r="T59" i="1"/>
  <c r="AB59" i="1"/>
  <c r="CZ58" i="1"/>
  <c r="Y58" i="1" s="1"/>
  <c r="CY58" i="1"/>
  <c r="X58" i="1" s="1"/>
  <c r="CZ56" i="1"/>
  <c r="Y56" i="1" s="1"/>
  <c r="CY56" i="1"/>
  <c r="X56" i="1" s="1"/>
  <c r="CY55" i="1"/>
  <c r="X55" i="1" s="1"/>
  <c r="GN55" i="1" s="1"/>
  <c r="CZ55" i="1"/>
  <c r="Y55" i="1" s="1"/>
  <c r="CZ53" i="1"/>
  <c r="Y53" i="1" s="1"/>
  <c r="CY53" i="1"/>
  <c r="X53" i="1" s="1"/>
  <c r="CY52" i="1"/>
  <c r="X52" i="1" s="1"/>
  <c r="GN52" i="1" s="1"/>
  <c r="CZ52" i="1"/>
  <c r="Y52" i="1" s="1"/>
  <c r="S51" i="1"/>
  <c r="U51" i="1"/>
  <c r="Q51" i="1"/>
  <c r="CZ50" i="1"/>
  <c r="Y50" i="1" s="1"/>
  <c r="CY50" i="1"/>
  <c r="X50" i="1" s="1"/>
  <c r="CZ49" i="1"/>
  <c r="Y49" i="1" s="1"/>
  <c r="CY49" i="1"/>
  <c r="X49" i="1" s="1"/>
  <c r="CP48" i="1"/>
  <c r="O48" i="1" s="1"/>
  <c r="CY44" i="1"/>
  <c r="X44" i="1" s="1"/>
  <c r="CZ44" i="1"/>
  <c r="Y44" i="1" s="1"/>
  <c r="V62" i="1"/>
  <c r="R62" i="1"/>
  <c r="GK62" i="1" s="1"/>
  <c r="AB61" i="1"/>
  <c r="GX60" i="1"/>
  <c r="W59" i="1"/>
  <c r="S59" i="1"/>
  <c r="CP59" i="1" s="1"/>
  <c r="O59" i="1" s="1"/>
  <c r="V59" i="1"/>
  <c r="CY57" i="1"/>
  <c r="X57" i="1" s="1"/>
  <c r="CZ57" i="1"/>
  <c r="Y57" i="1" s="1"/>
  <c r="CR56" i="1"/>
  <c r="Q56" i="1" s="1"/>
  <c r="CP56" i="1" s="1"/>
  <c r="O56" i="1" s="1"/>
  <c r="AB56" i="1"/>
  <c r="CY54" i="1"/>
  <c r="X54" i="1" s="1"/>
  <c r="CZ54" i="1"/>
  <c r="Y54" i="1" s="1"/>
  <c r="CR53" i="1"/>
  <c r="Q53" i="1" s="1"/>
  <c r="AB53" i="1"/>
  <c r="GM52" i="1"/>
  <c r="GX51" i="1"/>
  <c r="P51" i="1"/>
  <c r="CR50" i="1"/>
  <c r="Q50" i="1" s="1"/>
  <c r="CP50" i="1" s="1"/>
  <c r="O50" i="1" s="1"/>
  <c r="AB50" i="1"/>
  <c r="CR49" i="1"/>
  <c r="Q49" i="1" s="1"/>
  <c r="CP49" i="1" s="1"/>
  <c r="O49" i="1" s="1"/>
  <c r="AB49" i="1"/>
  <c r="CP46" i="1"/>
  <c r="O46" i="1" s="1"/>
  <c r="CR45" i="1"/>
  <c r="Q45" i="1" s="1"/>
  <c r="AB45" i="1"/>
  <c r="CY43" i="1"/>
  <c r="X43" i="1" s="1"/>
  <c r="CZ43" i="1"/>
  <c r="Y43" i="1" s="1"/>
  <c r="CR42" i="1"/>
  <c r="Q42" i="1" s="1"/>
  <c r="CP42" i="1" s="1"/>
  <c r="O42" i="1" s="1"/>
  <c r="AB42" i="1"/>
  <c r="CX82" i="3"/>
  <c r="CX86" i="3"/>
  <c r="CX81" i="3"/>
  <c r="CX85" i="3"/>
  <c r="CX80" i="3"/>
  <c r="CX84" i="3"/>
  <c r="CX83" i="3"/>
  <c r="CX78" i="3"/>
  <c r="CX77" i="3"/>
  <c r="CX76" i="3"/>
  <c r="CX79" i="3"/>
  <c r="AB40" i="1"/>
  <c r="CP33" i="1"/>
  <c r="O33" i="1" s="1"/>
  <c r="CS32" i="1"/>
  <c r="R32" i="1" s="1"/>
  <c r="CZ32" i="1" s="1"/>
  <c r="Y32" i="1" s="1"/>
  <c r="AD32" i="1"/>
  <c r="CR32" i="1" s="1"/>
  <c r="Q32" i="1" s="1"/>
  <c r="CP32" i="1" s="1"/>
  <c r="O32" i="1" s="1"/>
  <c r="CQ47" i="1"/>
  <c r="P47" i="1" s="1"/>
  <c r="CP47" i="1" s="1"/>
  <c r="O47" i="1" s="1"/>
  <c r="CS46" i="1"/>
  <c r="R46" i="1" s="1"/>
  <c r="GK46" i="1" s="1"/>
  <c r="CX58" i="3"/>
  <c r="CX62" i="3"/>
  <c r="CX57" i="3"/>
  <c r="CX61" i="3"/>
  <c r="CX56" i="3"/>
  <c r="CX60" i="3"/>
  <c r="CX59" i="3"/>
  <c r="CS45" i="1"/>
  <c r="R45" i="1" s="1"/>
  <c r="GK45" i="1" s="1"/>
  <c r="CQ44" i="1"/>
  <c r="P44" i="1" s="1"/>
  <c r="CP44" i="1" s="1"/>
  <c r="O44" i="1" s="1"/>
  <c r="CQ43" i="1"/>
  <c r="P43" i="1" s="1"/>
  <c r="CP43" i="1" s="1"/>
  <c r="O43" i="1" s="1"/>
  <c r="CS42" i="1"/>
  <c r="R42" i="1" s="1"/>
  <c r="GK42" i="1" s="1"/>
  <c r="CQ41" i="1"/>
  <c r="P41" i="1" s="1"/>
  <c r="CP41" i="1" s="1"/>
  <c r="O41" i="1" s="1"/>
  <c r="AD38" i="1"/>
  <c r="CS38" i="1"/>
  <c r="R38" i="1" s="1"/>
  <c r="AD36" i="1"/>
  <c r="CS36" i="1"/>
  <c r="R36" i="1" s="1"/>
  <c r="CY36" i="1" s="1"/>
  <c r="X36" i="1" s="1"/>
  <c r="AD34" i="1"/>
  <c r="CS34" i="1"/>
  <c r="R34" i="1" s="1"/>
  <c r="CS28" i="1"/>
  <c r="R28" i="1" s="1"/>
  <c r="AD28" i="1"/>
  <c r="CR28" i="1" s="1"/>
  <c r="Q28" i="1" s="1"/>
  <c r="CP28" i="1" s="1"/>
  <c r="O28" i="1" s="1"/>
  <c r="CX70" i="3"/>
  <c r="CX74" i="3"/>
  <c r="CX69" i="3"/>
  <c r="CX73" i="3"/>
  <c r="CX68" i="3"/>
  <c r="CX72" i="3"/>
  <c r="CX71" i="3"/>
  <c r="CX75" i="3"/>
  <c r="CY35" i="1"/>
  <c r="X35" i="1" s="1"/>
  <c r="GN29" i="1"/>
  <c r="GM29" i="1"/>
  <c r="CX54" i="3"/>
  <c r="CX53" i="3"/>
  <c r="CX52" i="3"/>
  <c r="CX55" i="3"/>
  <c r="CY41" i="1"/>
  <c r="X41" i="1" s="1"/>
  <c r="AD39" i="1"/>
  <c r="CS39" i="1"/>
  <c r="R39" i="1" s="1"/>
  <c r="GK39" i="1" s="1"/>
  <c r="CZ37" i="1"/>
  <c r="Y37" i="1" s="1"/>
  <c r="AD37" i="1"/>
  <c r="CS37" i="1"/>
  <c r="R37" i="1" s="1"/>
  <c r="GK37" i="1" s="1"/>
  <c r="CZ35" i="1"/>
  <c r="Y35" i="1" s="1"/>
  <c r="AD35" i="1"/>
  <c r="CS35" i="1"/>
  <c r="R35" i="1" s="1"/>
  <c r="GK35" i="1" s="1"/>
  <c r="CX34" i="3"/>
  <c r="CX38" i="3"/>
  <c r="CX42" i="3"/>
  <c r="CX33" i="3"/>
  <c r="CX37" i="3"/>
  <c r="CX41" i="3"/>
  <c r="CX32" i="3"/>
  <c r="CX36" i="3"/>
  <c r="CX40" i="3"/>
  <c r="CX35" i="3"/>
  <c r="CX39" i="3"/>
  <c r="CX26" i="3"/>
  <c r="CX25" i="3"/>
  <c r="CX29" i="3"/>
  <c r="CX28" i="3"/>
  <c r="CX27" i="3"/>
  <c r="CP31" i="1"/>
  <c r="O31" i="1" s="1"/>
  <c r="AD30" i="1"/>
  <c r="CR30" i="1" s="1"/>
  <c r="Q30" i="1" s="1"/>
  <c r="CP30" i="1" s="1"/>
  <c r="O30" i="1" s="1"/>
  <c r="AB29" i="1"/>
  <c r="CX46" i="3"/>
  <c r="CX50" i="3"/>
  <c r="CX45" i="3"/>
  <c r="CX49" i="3"/>
  <c r="CX44" i="3"/>
  <c r="CX48" i="3"/>
  <c r="CX43" i="3"/>
  <c r="CX47" i="3"/>
  <c r="CX51" i="3"/>
  <c r="I40" i="1"/>
  <c r="AB31" i="1"/>
  <c r="CX18" i="3"/>
  <c r="CX22" i="3"/>
  <c r="CX21" i="3"/>
  <c r="CX20" i="3"/>
  <c r="CX19" i="3"/>
  <c r="CX17" i="3"/>
  <c r="CX16" i="3"/>
  <c r="CX15" i="3"/>
  <c r="CX14" i="3"/>
  <c r="CX13" i="3"/>
  <c r="CX12" i="3"/>
  <c r="CX6" i="3"/>
  <c r="CX10" i="3"/>
  <c r="CX5" i="3"/>
  <c r="CX9" i="3"/>
  <c r="CX4" i="3"/>
  <c r="CX8" i="3"/>
  <c r="CX7" i="3"/>
  <c r="CX2" i="3"/>
  <c r="CX1" i="3"/>
  <c r="CX3" i="3"/>
  <c r="G21" i="5" l="1"/>
  <c r="G23" i="5"/>
  <c r="G942" i="5"/>
  <c r="G777" i="5"/>
  <c r="G22" i="5"/>
  <c r="GN112" i="1"/>
  <c r="GM112" i="1"/>
  <c r="GM49" i="1"/>
  <c r="GN49" i="1"/>
  <c r="GM117" i="1"/>
  <c r="GN117" i="1"/>
  <c r="GN30" i="1"/>
  <c r="GM30" i="1"/>
  <c r="GM183" i="1"/>
  <c r="GO183" i="1"/>
  <c r="GN274" i="1"/>
  <c r="GM274" i="1"/>
  <c r="AG392" i="1"/>
  <c r="T417" i="1"/>
  <c r="GN400" i="1"/>
  <c r="GM400" i="1"/>
  <c r="GM56" i="1"/>
  <c r="GN56" i="1"/>
  <c r="GM50" i="1"/>
  <c r="GN50" i="1"/>
  <c r="GM63" i="1"/>
  <c r="GN63" i="1"/>
  <c r="GN89" i="1"/>
  <c r="GM89" i="1"/>
  <c r="GM98" i="1"/>
  <c r="GN98" i="1"/>
  <c r="GM177" i="1"/>
  <c r="GO177" i="1"/>
  <c r="GM207" i="1"/>
  <c r="GM331" i="1"/>
  <c r="GN331" i="1"/>
  <c r="GM335" i="1"/>
  <c r="GN335" i="1"/>
  <c r="GM356" i="1"/>
  <c r="GN356" i="1"/>
  <c r="GM115" i="1"/>
  <c r="GN115" i="1"/>
  <c r="AH392" i="1"/>
  <c r="U417" i="1"/>
  <c r="GN408" i="1"/>
  <c r="GM408" i="1"/>
  <c r="GM411" i="1"/>
  <c r="GN411" i="1"/>
  <c r="GM407" i="1"/>
  <c r="GN407" i="1"/>
  <c r="GN397" i="1"/>
  <c r="GM397" i="1"/>
  <c r="GM406" i="1"/>
  <c r="GN406" i="1"/>
  <c r="T40" i="1"/>
  <c r="W40" i="1"/>
  <c r="GK28" i="1"/>
  <c r="CY28" i="1"/>
  <c r="X28" i="1" s="1"/>
  <c r="U60" i="1"/>
  <c r="CP67" i="1"/>
  <c r="O67" i="1" s="1"/>
  <c r="R76" i="1"/>
  <c r="GK76" i="1" s="1"/>
  <c r="T76" i="1"/>
  <c r="GX76" i="1"/>
  <c r="AB28" i="1"/>
  <c r="AB30" i="1"/>
  <c r="CY37" i="1"/>
  <c r="X37" i="1" s="1"/>
  <c r="V40" i="1"/>
  <c r="GN33" i="1"/>
  <c r="GM33" i="1"/>
  <c r="P61" i="1"/>
  <c r="CY46" i="1"/>
  <c r="X46" i="1" s="1"/>
  <c r="GM58" i="1"/>
  <c r="GN58" i="1"/>
  <c r="CZ68" i="1"/>
  <c r="Y68" i="1" s="1"/>
  <c r="CY68" i="1"/>
  <c r="X68" i="1" s="1"/>
  <c r="GM65" i="1"/>
  <c r="GN65" i="1"/>
  <c r="GM86" i="1"/>
  <c r="GN86" i="1"/>
  <c r="T80" i="1"/>
  <c r="W80" i="1"/>
  <c r="R80" i="1"/>
  <c r="GK80" i="1" s="1"/>
  <c r="GN97" i="1"/>
  <c r="GM97" i="1"/>
  <c r="GN103" i="1"/>
  <c r="GM103" i="1"/>
  <c r="CP64" i="1"/>
  <c r="O64" i="1" s="1"/>
  <c r="AB32" i="1"/>
  <c r="AB37" i="1"/>
  <c r="CR37" i="1"/>
  <c r="Q37" i="1" s="1"/>
  <c r="CP37" i="1" s="1"/>
  <c r="O37" i="1" s="1"/>
  <c r="CZ39" i="1"/>
  <c r="Y39" i="1" s="1"/>
  <c r="CZ28" i="1"/>
  <c r="Y28" i="1" s="1"/>
  <c r="GK34" i="1"/>
  <c r="CZ34" i="1"/>
  <c r="Y34" i="1" s="1"/>
  <c r="GK38" i="1"/>
  <c r="CZ38" i="1"/>
  <c r="Y38" i="1" s="1"/>
  <c r="GN43" i="1"/>
  <c r="GM43" i="1"/>
  <c r="CY34" i="1"/>
  <c r="X34" i="1" s="1"/>
  <c r="CY38" i="1"/>
  <c r="X38" i="1" s="1"/>
  <c r="GM55" i="1"/>
  <c r="R60" i="1"/>
  <c r="GK60" i="1" s="1"/>
  <c r="T61" i="1"/>
  <c r="CY42" i="1"/>
  <c r="X42" i="1" s="1"/>
  <c r="GN42" i="1" s="1"/>
  <c r="CY45" i="1"/>
  <c r="X45" i="1" s="1"/>
  <c r="CY51" i="1"/>
  <c r="X51" i="1" s="1"/>
  <c r="CZ51" i="1"/>
  <c r="Y51" i="1" s="1"/>
  <c r="U61" i="1"/>
  <c r="GX62" i="1"/>
  <c r="GM54" i="1"/>
  <c r="GN54" i="1"/>
  <c r="S61" i="1"/>
  <c r="S62" i="1"/>
  <c r="Q80" i="1"/>
  <c r="CP82" i="1"/>
  <c r="O82" i="1" s="1"/>
  <c r="P60" i="1"/>
  <c r="CP60" i="1" s="1"/>
  <c r="O60" i="1" s="1"/>
  <c r="P75" i="1"/>
  <c r="CP75" i="1" s="1"/>
  <c r="O75" i="1" s="1"/>
  <c r="R75" i="1"/>
  <c r="GK75" i="1" s="1"/>
  <c r="GX75" i="1"/>
  <c r="CP74" i="1"/>
  <c r="O74" i="1" s="1"/>
  <c r="Q76" i="1"/>
  <c r="AB81" i="1"/>
  <c r="GN90" i="1"/>
  <c r="GM90" i="1"/>
  <c r="GN100" i="1"/>
  <c r="GM100" i="1"/>
  <c r="GN104" i="1"/>
  <c r="GM104" i="1"/>
  <c r="T60" i="1"/>
  <c r="S69" i="1"/>
  <c r="CP69" i="1" s="1"/>
  <c r="O69" i="1" s="1"/>
  <c r="V69" i="1"/>
  <c r="V75" i="1"/>
  <c r="P80" i="1"/>
  <c r="CZ102" i="1"/>
  <c r="Y102" i="1" s="1"/>
  <c r="S116" i="1"/>
  <c r="CY92" i="1"/>
  <c r="X92" i="1" s="1"/>
  <c r="CZ99" i="1"/>
  <c r="Y99" i="1" s="1"/>
  <c r="BB26" i="1"/>
  <c r="F136" i="1"/>
  <c r="BB449" i="1"/>
  <c r="CY95" i="1"/>
  <c r="X95" i="1" s="1"/>
  <c r="GN95" i="1" s="1"/>
  <c r="CP161" i="1"/>
  <c r="O161" i="1" s="1"/>
  <c r="CZ78" i="1"/>
  <c r="Y78" i="1" s="1"/>
  <c r="CY78" i="1"/>
  <c r="X78" i="1" s="1"/>
  <c r="CZ93" i="1"/>
  <c r="Y93" i="1" s="1"/>
  <c r="CY98" i="1"/>
  <c r="X98" i="1" s="1"/>
  <c r="CP159" i="1"/>
  <c r="O159" i="1" s="1"/>
  <c r="CY167" i="1"/>
  <c r="X167" i="1" s="1"/>
  <c r="GX169" i="1"/>
  <c r="GX172" i="1"/>
  <c r="S176" i="1"/>
  <c r="GO191" i="1"/>
  <c r="GM191" i="1"/>
  <c r="GO194" i="1"/>
  <c r="GM194" i="1"/>
  <c r="GM113" i="1"/>
  <c r="T176" i="1"/>
  <c r="GM179" i="1"/>
  <c r="GO179" i="1"/>
  <c r="CY168" i="1"/>
  <c r="X168" i="1" s="1"/>
  <c r="GO168" i="1" s="1"/>
  <c r="Q172" i="1"/>
  <c r="GM182" i="1"/>
  <c r="GN182" i="1"/>
  <c r="R190" i="1"/>
  <c r="GK190" i="1" s="1"/>
  <c r="GM198" i="1"/>
  <c r="GO198" i="1"/>
  <c r="GP210" i="1"/>
  <c r="GM210" i="1"/>
  <c r="AB196" i="1"/>
  <c r="CZ186" i="1"/>
  <c r="Y186" i="1" s="1"/>
  <c r="T190" i="1"/>
  <c r="GM254" i="1"/>
  <c r="GN254" i="1"/>
  <c r="R257" i="1"/>
  <c r="U258" i="1"/>
  <c r="R265" i="1"/>
  <c r="GK265" i="1" s="1"/>
  <c r="W267" i="1"/>
  <c r="S192" i="1"/>
  <c r="GO201" i="1"/>
  <c r="GM206" i="1"/>
  <c r="GP208" i="1"/>
  <c r="S267" i="1"/>
  <c r="GM189" i="1"/>
  <c r="P192" i="1"/>
  <c r="CY207" i="1"/>
  <c r="X207" i="1" s="1"/>
  <c r="GP207" i="1" s="1"/>
  <c r="CD212" i="1" s="1"/>
  <c r="S258" i="1"/>
  <c r="S259" i="1"/>
  <c r="W263" i="1"/>
  <c r="P339" i="1"/>
  <c r="GN343" i="1"/>
  <c r="GM343" i="1"/>
  <c r="GO200" i="1"/>
  <c r="GM200" i="1"/>
  <c r="CP250" i="1"/>
  <c r="O250" i="1" s="1"/>
  <c r="U257" i="1"/>
  <c r="T258" i="1"/>
  <c r="AG286" i="1" s="1"/>
  <c r="R263" i="1"/>
  <c r="GK263" i="1" s="1"/>
  <c r="Q265" i="1"/>
  <c r="AB267" i="1"/>
  <c r="BB246" i="1"/>
  <c r="F299" i="1"/>
  <c r="GM262" i="1"/>
  <c r="AQ246" i="1"/>
  <c r="F296" i="1"/>
  <c r="T334" i="1"/>
  <c r="CZ344" i="1"/>
  <c r="Y344" i="1" s="1"/>
  <c r="GM396" i="1"/>
  <c r="GN396" i="1"/>
  <c r="AU246" i="1"/>
  <c r="F305" i="1"/>
  <c r="CZ329" i="1"/>
  <c r="Y329" i="1" s="1"/>
  <c r="W332" i="1"/>
  <c r="GX334" i="1"/>
  <c r="U337" i="1"/>
  <c r="CY338" i="1"/>
  <c r="X338" i="1" s="1"/>
  <c r="W342" i="1"/>
  <c r="GM278" i="1"/>
  <c r="R339" i="1"/>
  <c r="GK339" i="1" s="1"/>
  <c r="T342" i="1"/>
  <c r="AB350" i="1"/>
  <c r="CR350" i="1"/>
  <c r="Q350" i="1" s="1"/>
  <c r="CP350" i="1" s="1"/>
  <c r="O350" i="1" s="1"/>
  <c r="BC320" i="1"/>
  <c r="F374" i="1"/>
  <c r="AB400" i="1"/>
  <c r="AP392" i="1"/>
  <c r="F426" i="1"/>
  <c r="V258" i="1"/>
  <c r="U263" i="1"/>
  <c r="AP246" i="1"/>
  <c r="F295" i="1"/>
  <c r="CY326" i="1"/>
  <c r="X326" i="1" s="1"/>
  <c r="GM326" i="1" s="1"/>
  <c r="CY330" i="1"/>
  <c r="X330" i="1" s="1"/>
  <c r="GX332" i="1"/>
  <c r="CZ336" i="1"/>
  <c r="Y336" i="1" s="1"/>
  <c r="Q339" i="1"/>
  <c r="CZ340" i="1"/>
  <c r="Y340" i="1" s="1"/>
  <c r="S342" i="1"/>
  <c r="P348" i="1"/>
  <c r="GN351" i="1"/>
  <c r="GM351" i="1"/>
  <c r="CG320" i="1"/>
  <c r="AX358" i="1"/>
  <c r="BC392" i="1"/>
  <c r="F433" i="1"/>
  <c r="GM398" i="1"/>
  <c r="GN394" i="1"/>
  <c r="GM394" i="1"/>
  <c r="S348" i="1"/>
  <c r="GX412" i="1"/>
  <c r="CJ417" i="1" s="1"/>
  <c r="S412" i="1"/>
  <c r="V412" i="1"/>
  <c r="AI417" i="1" s="1"/>
  <c r="GN31" i="1"/>
  <c r="GM31" i="1"/>
  <c r="U40" i="1"/>
  <c r="R40" i="1"/>
  <c r="GK40" i="1" s="1"/>
  <c r="GM41" i="1"/>
  <c r="GN41" i="1"/>
  <c r="AB35" i="1"/>
  <c r="CR35" i="1"/>
  <c r="Q35" i="1" s="1"/>
  <c r="CP35" i="1" s="1"/>
  <c r="O35" i="1" s="1"/>
  <c r="Q40" i="1"/>
  <c r="CY39" i="1"/>
  <c r="X39" i="1" s="1"/>
  <c r="AB34" i="1"/>
  <c r="CR34" i="1"/>
  <c r="Q34" i="1" s="1"/>
  <c r="CP34" i="1" s="1"/>
  <c r="O34" i="1" s="1"/>
  <c r="AB38" i="1"/>
  <c r="CR38" i="1"/>
  <c r="Q38" i="1" s="1"/>
  <c r="CP38" i="1" s="1"/>
  <c r="O38" i="1" s="1"/>
  <c r="GN44" i="1"/>
  <c r="GM44" i="1"/>
  <c r="V60" i="1"/>
  <c r="GM48" i="1"/>
  <c r="GN48" i="1"/>
  <c r="W60" i="1"/>
  <c r="CZ71" i="1"/>
  <c r="Y71" i="1" s="1"/>
  <c r="CY71" i="1"/>
  <c r="X71" i="1" s="1"/>
  <c r="CZ73" i="1"/>
  <c r="Y73" i="1" s="1"/>
  <c r="CY73" i="1"/>
  <c r="X73" i="1" s="1"/>
  <c r="GN73" i="1" s="1"/>
  <c r="P40" i="1"/>
  <c r="Q60" i="1"/>
  <c r="CZ67" i="1"/>
  <c r="Y67" i="1" s="1"/>
  <c r="CY67" i="1"/>
  <c r="X67" i="1" s="1"/>
  <c r="T62" i="1"/>
  <c r="CY110" i="1"/>
  <c r="X110" i="1" s="1"/>
  <c r="CZ110" i="1"/>
  <c r="Y110" i="1" s="1"/>
  <c r="P79" i="1"/>
  <c r="CP79" i="1" s="1"/>
  <c r="O79" i="1" s="1"/>
  <c r="R79" i="1"/>
  <c r="GK79" i="1" s="1"/>
  <c r="GX79" i="1"/>
  <c r="CY75" i="1"/>
  <c r="X75" i="1" s="1"/>
  <c r="CZ75" i="1"/>
  <c r="Y75" i="1" s="1"/>
  <c r="U76" i="1"/>
  <c r="Q79" i="1"/>
  <c r="CP81" i="1"/>
  <c r="O81" i="1" s="1"/>
  <c r="CZ88" i="1"/>
  <c r="Y88" i="1" s="1"/>
  <c r="CY88" i="1"/>
  <c r="X88" i="1" s="1"/>
  <c r="GM88" i="1" s="1"/>
  <c r="GN91" i="1"/>
  <c r="GM91" i="1"/>
  <c r="GN101" i="1"/>
  <c r="GM101" i="1"/>
  <c r="P62" i="1"/>
  <c r="CP62" i="1" s="1"/>
  <c r="O62" i="1" s="1"/>
  <c r="CZ74" i="1"/>
  <c r="Y74" i="1" s="1"/>
  <c r="CY74" i="1"/>
  <c r="X74" i="1" s="1"/>
  <c r="S76" i="1"/>
  <c r="V80" i="1"/>
  <c r="CZ84" i="1"/>
  <c r="Y84" i="1" s="1"/>
  <c r="CY84" i="1"/>
  <c r="X84" i="1" s="1"/>
  <c r="CZ96" i="1"/>
  <c r="Y96" i="1" s="1"/>
  <c r="CY102" i="1"/>
  <c r="X102" i="1" s="1"/>
  <c r="GM102" i="1" s="1"/>
  <c r="CY108" i="1"/>
  <c r="X108" i="1" s="1"/>
  <c r="CZ108" i="1"/>
  <c r="Y108" i="1" s="1"/>
  <c r="AP26" i="1"/>
  <c r="F132" i="1"/>
  <c r="U79" i="1"/>
  <c r="CY99" i="1"/>
  <c r="X99" i="1" s="1"/>
  <c r="CP108" i="1"/>
  <c r="O108" i="1" s="1"/>
  <c r="BC26" i="1"/>
  <c r="F139" i="1"/>
  <c r="BC449" i="1"/>
  <c r="GO162" i="1"/>
  <c r="GM162" i="1"/>
  <c r="P169" i="1"/>
  <c r="AC212" i="1" s="1"/>
  <c r="CY93" i="1"/>
  <c r="X93" i="1" s="1"/>
  <c r="GM93" i="1" s="1"/>
  <c r="CY105" i="1"/>
  <c r="X105" i="1" s="1"/>
  <c r="GN105" i="1" s="1"/>
  <c r="CZ105" i="1"/>
  <c r="Y105" i="1" s="1"/>
  <c r="GM109" i="1"/>
  <c r="GN109" i="1"/>
  <c r="T116" i="1"/>
  <c r="CZ165" i="1"/>
  <c r="Y165" i="1" s="1"/>
  <c r="Q169" i="1"/>
  <c r="AD212" i="1" s="1"/>
  <c r="CZ170" i="1"/>
  <c r="Y170" i="1" s="1"/>
  <c r="GO173" i="1"/>
  <c r="GM173" i="1"/>
  <c r="R192" i="1"/>
  <c r="GK192" i="1" s="1"/>
  <c r="GO163" i="1"/>
  <c r="GM163" i="1"/>
  <c r="GX190" i="1"/>
  <c r="AT26" i="1"/>
  <c r="F141" i="1"/>
  <c r="CZ166" i="1"/>
  <c r="Y166" i="1" s="1"/>
  <c r="W169" i="1"/>
  <c r="U172" i="1"/>
  <c r="AH212" i="1" s="1"/>
  <c r="V190" i="1"/>
  <c r="GM199" i="1"/>
  <c r="GO199" i="1"/>
  <c r="AP157" i="1"/>
  <c r="F221" i="1"/>
  <c r="CY185" i="1"/>
  <c r="X185" i="1" s="1"/>
  <c r="CZ185" i="1"/>
  <c r="Y185" i="1" s="1"/>
  <c r="Q192" i="1"/>
  <c r="S196" i="1"/>
  <c r="T196" i="1"/>
  <c r="AQ157" i="1"/>
  <c r="F222" i="1"/>
  <c r="GO188" i="1"/>
  <c r="GM188" i="1"/>
  <c r="W192" i="1"/>
  <c r="CZ204" i="1"/>
  <c r="Y204" i="1" s="1"/>
  <c r="GO204" i="1" s="1"/>
  <c r="CZ208" i="1"/>
  <c r="Y208" i="1" s="1"/>
  <c r="GM208" i="1" s="1"/>
  <c r="V257" i="1"/>
  <c r="GX267" i="1"/>
  <c r="W257" i="1"/>
  <c r="GM275" i="1"/>
  <c r="GN275" i="1"/>
  <c r="GM282" i="1"/>
  <c r="GN282" i="1"/>
  <c r="P190" i="1"/>
  <c r="GM248" i="1"/>
  <c r="GN248" i="1"/>
  <c r="GX259" i="1"/>
  <c r="GM271" i="1"/>
  <c r="GN271" i="1"/>
  <c r="AO246" i="1"/>
  <c r="F290" i="1"/>
  <c r="AO449" i="1"/>
  <c r="P332" i="1"/>
  <c r="GK347" i="1"/>
  <c r="CZ347" i="1"/>
  <c r="Y347" i="1" s="1"/>
  <c r="GO203" i="1"/>
  <c r="GM205" i="1"/>
  <c r="GO205" i="1"/>
  <c r="GM209" i="1"/>
  <c r="GP209" i="1"/>
  <c r="CZ256" i="1"/>
  <c r="Y256" i="1" s="1"/>
  <c r="CY256" i="1"/>
  <c r="X256" i="1" s="1"/>
  <c r="GM256" i="1" s="1"/>
  <c r="S257" i="1"/>
  <c r="R259" i="1"/>
  <c r="GK259" i="1" s="1"/>
  <c r="W265" i="1"/>
  <c r="V332" i="1"/>
  <c r="R334" i="1"/>
  <c r="GK334" i="1" s="1"/>
  <c r="V339" i="1"/>
  <c r="V342" i="1"/>
  <c r="CY344" i="1"/>
  <c r="X344" i="1" s="1"/>
  <c r="GM344" i="1" s="1"/>
  <c r="Q348" i="1"/>
  <c r="GM284" i="1"/>
  <c r="GO284" i="1"/>
  <c r="CY329" i="1"/>
  <c r="X329" i="1" s="1"/>
  <c r="GM329" i="1" s="1"/>
  <c r="Q334" i="1"/>
  <c r="CY337" i="1"/>
  <c r="X337" i="1" s="1"/>
  <c r="CZ337" i="1"/>
  <c r="Y337" i="1" s="1"/>
  <c r="W339" i="1"/>
  <c r="U265" i="1"/>
  <c r="T332" i="1"/>
  <c r="V334" i="1"/>
  <c r="V337" i="1"/>
  <c r="R342" i="1"/>
  <c r="GK342" i="1" s="1"/>
  <c r="V348" i="1"/>
  <c r="CZ401" i="1"/>
  <c r="Y401" i="1" s="1"/>
  <c r="GM401" i="1" s="1"/>
  <c r="GK401" i="1"/>
  <c r="AT392" i="1"/>
  <c r="F435" i="1"/>
  <c r="P265" i="1"/>
  <c r="CP265" i="1" s="1"/>
  <c r="O265" i="1" s="1"/>
  <c r="GN279" i="1"/>
  <c r="GM279" i="1"/>
  <c r="CI246" i="1"/>
  <c r="AZ286" i="1"/>
  <c r="CZ328" i="1"/>
  <c r="Y328" i="1" s="1"/>
  <c r="Q332" i="1"/>
  <c r="AD358" i="1" s="1"/>
  <c r="CZ333" i="1"/>
  <c r="Y333" i="1" s="1"/>
  <c r="CY336" i="1"/>
  <c r="X336" i="1" s="1"/>
  <c r="GM336" i="1" s="1"/>
  <c r="U339" i="1"/>
  <c r="CY340" i="1"/>
  <c r="X340" i="1" s="1"/>
  <c r="GX342" i="1"/>
  <c r="GN352" i="1"/>
  <c r="GM352" i="1"/>
  <c r="AO320" i="1"/>
  <c r="F362" i="1"/>
  <c r="CI392" i="1"/>
  <c r="AZ417" i="1"/>
  <c r="CZ403" i="1"/>
  <c r="Y403" i="1" s="1"/>
  <c r="Q412" i="1"/>
  <c r="R412" i="1"/>
  <c r="GK412" i="1" s="1"/>
  <c r="W412" i="1"/>
  <c r="AJ417" i="1" s="1"/>
  <c r="AD417" i="1"/>
  <c r="GN414" i="1"/>
  <c r="GM414" i="1"/>
  <c r="GN45" i="1"/>
  <c r="CZ46" i="1"/>
  <c r="Y46" i="1" s="1"/>
  <c r="GM46" i="1" s="1"/>
  <c r="GM85" i="1"/>
  <c r="GN85" i="1"/>
  <c r="CY111" i="1"/>
  <c r="X111" i="1" s="1"/>
  <c r="CZ111" i="1"/>
  <c r="Y111" i="1" s="1"/>
  <c r="GN106" i="1"/>
  <c r="GM106" i="1"/>
  <c r="GK81" i="1"/>
  <c r="CZ81" i="1"/>
  <c r="Y81" i="1" s="1"/>
  <c r="CY96" i="1"/>
  <c r="X96" i="1" s="1"/>
  <c r="AU26" i="1"/>
  <c r="F142" i="1"/>
  <c r="W76" i="1"/>
  <c r="GM92" i="1"/>
  <c r="GN92" i="1"/>
  <c r="GM114" i="1"/>
  <c r="GN114" i="1"/>
  <c r="CG26" i="1"/>
  <c r="AX123" i="1"/>
  <c r="GK164" i="1"/>
  <c r="CP110" i="1"/>
  <c r="O110" i="1" s="1"/>
  <c r="CY165" i="1"/>
  <c r="X165" i="1" s="1"/>
  <c r="GM165" i="1" s="1"/>
  <c r="CY170" i="1"/>
  <c r="X170" i="1" s="1"/>
  <c r="GM174" i="1"/>
  <c r="GO174" i="1"/>
  <c r="T192" i="1"/>
  <c r="U192" i="1"/>
  <c r="V192" i="1"/>
  <c r="AI212" i="1" s="1"/>
  <c r="GO202" i="1"/>
  <c r="GM202" i="1"/>
  <c r="P172" i="1"/>
  <c r="CP172" i="1" s="1"/>
  <c r="O172" i="1" s="1"/>
  <c r="CY166" i="1"/>
  <c r="X166" i="1" s="1"/>
  <c r="GM166" i="1" s="1"/>
  <c r="R172" i="1"/>
  <c r="GK172" i="1" s="1"/>
  <c r="CP176" i="1"/>
  <c r="O176" i="1" s="1"/>
  <c r="GM186" i="1"/>
  <c r="GO186" i="1"/>
  <c r="AX157" i="1"/>
  <c r="F219" i="1"/>
  <c r="T169" i="1"/>
  <c r="GM171" i="1"/>
  <c r="GO171" i="1"/>
  <c r="GO180" i="1"/>
  <c r="GM180" i="1"/>
  <c r="BC157" i="1"/>
  <c r="F228" i="1"/>
  <c r="AH286" i="1"/>
  <c r="GX258" i="1"/>
  <c r="R258" i="1"/>
  <c r="GK258" i="1" s="1"/>
  <c r="CY265" i="1"/>
  <c r="X265" i="1" s="1"/>
  <c r="CZ265" i="1"/>
  <c r="Y265" i="1" s="1"/>
  <c r="GM268" i="1"/>
  <c r="GN268" i="1"/>
  <c r="GO185" i="1"/>
  <c r="GM185" i="1"/>
  <c r="CP196" i="1"/>
  <c r="O196" i="1" s="1"/>
  <c r="Q258" i="1"/>
  <c r="GM276" i="1"/>
  <c r="GN276" i="1"/>
  <c r="GM178" i="1"/>
  <c r="GM249" i="1"/>
  <c r="GO249" i="1"/>
  <c r="CP267" i="1"/>
  <c r="O267" i="1" s="1"/>
  <c r="GM264" i="1"/>
  <c r="GN264" i="1"/>
  <c r="CG246" i="1"/>
  <c r="AX286" i="1"/>
  <c r="GK322" i="1"/>
  <c r="AE358" i="1"/>
  <c r="GN337" i="1"/>
  <c r="GM337" i="1"/>
  <c r="GN345" i="1"/>
  <c r="GM345" i="1"/>
  <c r="GM193" i="1"/>
  <c r="GO193" i="1"/>
  <c r="GM251" i="1"/>
  <c r="GN251" i="1"/>
  <c r="GX257" i="1"/>
  <c r="CJ286" i="1" s="1"/>
  <c r="V259" i="1"/>
  <c r="CZ263" i="1"/>
  <c r="Y263" i="1" s="1"/>
  <c r="CY263" i="1"/>
  <c r="X263" i="1" s="1"/>
  <c r="GX265" i="1"/>
  <c r="GM280" i="1"/>
  <c r="GN280" i="1"/>
  <c r="T259" i="1"/>
  <c r="CC320" i="1"/>
  <c r="AT358" i="1"/>
  <c r="GM340" i="1"/>
  <c r="GN340" i="1"/>
  <c r="U348" i="1"/>
  <c r="GM261" i="1"/>
  <c r="GN261" i="1"/>
  <c r="T267" i="1"/>
  <c r="CZ323" i="1"/>
  <c r="Y323" i="1" s="1"/>
  <c r="CZ327" i="1"/>
  <c r="Y327" i="1" s="1"/>
  <c r="U334" i="1"/>
  <c r="CZ341" i="1"/>
  <c r="Y341" i="1" s="1"/>
  <c r="CY347" i="1"/>
  <c r="X347" i="1" s="1"/>
  <c r="GM347" i="1" s="1"/>
  <c r="P259" i="1"/>
  <c r="CP259" i="1" s="1"/>
  <c r="O259" i="1" s="1"/>
  <c r="R332" i="1"/>
  <c r="GK332" i="1" s="1"/>
  <c r="GN338" i="1"/>
  <c r="GX348" i="1"/>
  <c r="GN354" i="1"/>
  <c r="GM354" i="1"/>
  <c r="GN395" i="1"/>
  <c r="GM395" i="1"/>
  <c r="GN402" i="1"/>
  <c r="GM402" i="1"/>
  <c r="BB392" i="1"/>
  <c r="F430" i="1"/>
  <c r="GN269" i="1"/>
  <c r="GM273" i="1"/>
  <c r="GN273" i="1"/>
  <c r="CY328" i="1"/>
  <c r="X328" i="1" s="1"/>
  <c r="GM328" i="1" s="1"/>
  <c r="U332" i="1"/>
  <c r="CY333" i="1"/>
  <c r="X333" i="1" s="1"/>
  <c r="BY320" i="1"/>
  <c r="AP358" i="1"/>
  <c r="CI358" i="1"/>
  <c r="S339" i="1"/>
  <c r="Q342" i="1"/>
  <c r="CZ346" i="1"/>
  <c r="Y346" i="1" s="1"/>
  <c r="GN346" i="1" s="1"/>
  <c r="T348" i="1"/>
  <c r="GM399" i="1"/>
  <c r="GN399" i="1"/>
  <c r="AQ392" i="1"/>
  <c r="F427" i="1"/>
  <c r="CY403" i="1"/>
  <c r="X403" i="1" s="1"/>
  <c r="GM403" i="1" s="1"/>
  <c r="GM415" i="1"/>
  <c r="GN415" i="1"/>
  <c r="GM413" i="1"/>
  <c r="GN413" i="1"/>
  <c r="AX392" i="1"/>
  <c r="F424" i="1"/>
  <c r="GK36" i="1"/>
  <c r="CZ36" i="1"/>
  <c r="Y36" i="1" s="1"/>
  <c r="GK32" i="1"/>
  <c r="CY32" i="1"/>
  <c r="X32" i="1" s="1"/>
  <c r="GN32" i="1" s="1"/>
  <c r="CZ59" i="1"/>
  <c r="Y59" i="1" s="1"/>
  <c r="CY59" i="1"/>
  <c r="X59" i="1" s="1"/>
  <c r="GN59" i="1" s="1"/>
  <c r="GX61" i="1"/>
  <c r="R61" i="1"/>
  <c r="GK61" i="1" s="1"/>
  <c r="GM57" i="1"/>
  <c r="GN57" i="1"/>
  <c r="GM78" i="1"/>
  <c r="GN78" i="1"/>
  <c r="GN68" i="1"/>
  <c r="GM68" i="1"/>
  <c r="AB39" i="1"/>
  <c r="CR39" i="1"/>
  <c r="Q39" i="1" s="1"/>
  <c r="CP39" i="1" s="1"/>
  <c r="O39" i="1" s="1"/>
  <c r="AB36" i="1"/>
  <c r="CR36" i="1"/>
  <c r="Q36" i="1" s="1"/>
  <c r="CP36" i="1" s="1"/>
  <c r="O36" i="1" s="1"/>
  <c r="GN47" i="1"/>
  <c r="GM47" i="1"/>
  <c r="GX40" i="1"/>
  <c r="S40" i="1"/>
  <c r="CP51" i="1"/>
  <c r="O51" i="1" s="1"/>
  <c r="CZ42" i="1"/>
  <c r="Y42" i="1" s="1"/>
  <c r="CZ45" i="1"/>
  <c r="Y45" i="1" s="1"/>
  <c r="GM45" i="1" s="1"/>
  <c r="CZ72" i="1"/>
  <c r="Y72" i="1" s="1"/>
  <c r="CY72" i="1"/>
  <c r="X72" i="1" s="1"/>
  <c r="GN72" i="1" s="1"/>
  <c r="Q61" i="1"/>
  <c r="GM53" i="1"/>
  <c r="GN53" i="1"/>
  <c r="CZ66" i="1"/>
  <c r="Y66" i="1" s="1"/>
  <c r="CY66" i="1"/>
  <c r="X66" i="1" s="1"/>
  <c r="GN66" i="1" s="1"/>
  <c r="CZ77" i="1"/>
  <c r="Y77" i="1" s="1"/>
  <c r="CY77" i="1"/>
  <c r="X77" i="1" s="1"/>
  <c r="GN77" i="1" s="1"/>
  <c r="V61" i="1"/>
  <c r="CP71" i="1"/>
  <c r="O71" i="1" s="1"/>
  <c r="V76" i="1"/>
  <c r="CZ80" i="1"/>
  <c r="Y80" i="1" s="1"/>
  <c r="CY80" i="1"/>
  <c r="X80" i="1" s="1"/>
  <c r="CY81" i="1"/>
  <c r="X81" i="1" s="1"/>
  <c r="GN94" i="1"/>
  <c r="GM94" i="1"/>
  <c r="GN107" i="1"/>
  <c r="GM107" i="1"/>
  <c r="CZ70" i="1"/>
  <c r="Y70" i="1" s="1"/>
  <c r="CY70" i="1"/>
  <c r="X70" i="1" s="1"/>
  <c r="GM70" i="1" s="1"/>
  <c r="CI26" i="1"/>
  <c r="AZ123" i="1"/>
  <c r="CZ92" i="1"/>
  <c r="Y92" i="1" s="1"/>
  <c r="GM96" i="1"/>
  <c r="GN96" i="1"/>
  <c r="AQ26" i="1"/>
  <c r="F133" i="1"/>
  <c r="AQ449" i="1"/>
  <c r="GM84" i="1"/>
  <c r="GN84" i="1"/>
  <c r="GM99" i="1"/>
  <c r="GN99" i="1"/>
  <c r="CP111" i="1"/>
  <c r="O111" i="1" s="1"/>
  <c r="GX116" i="1"/>
  <c r="Q116" i="1"/>
  <c r="CP116" i="1" s="1"/>
  <c r="O116" i="1" s="1"/>
  <c r="V116" i="1"/>
  <c r="R116" i="1"/>
  <c r="GK116" i="1" s="1"/>
  <c r="CZ167" i="1"/>
  <c r="Y167" i="1" s="1"/>
  <c r="GN167" i="1" s="1"/>
  <c r="S169" i="1"/>
  <c r="T172" i="1"/>
  <c r="GM175" i="1"/>
  <c r="GO175" i="1"/>
  <c r="CZ184" i="1"/>
  <c r="Y184" i="1" s="1"/>
  <c r="CY184" i="1"/>
  <c r="X184" i="1" s="1"/>
  <c r="GM184" i="1" s="1"/>
  <c r="W190" i="1"/>
  <c r="S190" i="1"/>
  <c r="GM170" i="1"/>
  <c r="GO170" i="1"/>
  <c r="V172" i="1"/>
  <c r="CZ164" i="1"/>
  <c r="Y164" i="1" s="1"/>
  <c r="GM164" i="1" s="1"/>
  <c r="W172" i="1"/>
  <c r="GM187" i="1"/>
  <c r="GO187" i="1"/>
  <c r="BB157" i="1"/>
  <c r="F225" i="1"/>
  <c r="CI157" i="1"/>
  <c r="AZ212" i="1"/>
  <c r="GO197" i="1"/>
  <c r="GM197" i="1"/>
  <c r="CY250" i="1"/>
  <c r="X250" i="1" s="1"/>
  <c r="CZ250" i="1"/>
  <c r="Y250" i="1" s="1"/>
  <c r="AF286" i="1"/>
  <c r="P258" i="1"/>
  <c r="CP258" i="1" s="1"/>
  <c r="O258" i="1" s="1"/>
  <c r="Q267" i="1"/>
  <c r="U190" i="1"/>
  <c r="W196" i="1"/>
  <c r="GM253" i="1"/>
  <c r="GN253" i="1"/>
  <c r="V267" i="1"/>
  <c r="GM277" i="1"/>
  <c r="GN277" i="1"/>
  <c r="AJ286" i="1"/>
  <c r="CY270" i="1"/>
  <c r="X270" i="1" s="1"/>
  <c r="GM270" i="1" s="1"/>
  <c r="CZ270" i="1"/>
  <c r="Y270" i="1" s="1"/>
  <c r="P334" i="1"/>
  <c r="CP334" i="1" s="1"/>
  <c r="O334" i="1" s="1"/>
  <c r="P342" i="1"/>
  <c r="GO195" i="1"/>
  <c r="GM195" i="1"/>
  <c r="GM252" i="1"/>
  <c r="GN252" i="1"/>
  <c r="CZ255" i="1"/>
  <c r="Y255" i="1" s="1"/>
  <c r="CY255" i="1"/>
  <c r="X255" i="1" s="1"/>
  <c r="GM255" i="1" s="1"/>
  <c r="Q257" i="1"/>
  <c r="AD286" i="1" s="1"/>
  <c r="GM266" i="1"/>
  <c r="GN266" i="1"/>
  <c r="CY272" i="1"/>
  <c r="X272" i="1" s="1"/>
  <c r="GN272" i="1" s="1"/>
  <c r="CZ272" i="1"/>
  <c r="Y272" i="1" s="1"/>
  <c r="U267" i="1"/>
  <c r="CY283" i="1"/>
  <c r="X283" i="1" s="1"/>
  <c r="GO283" i="1" s="1"/>
  <c r="GM324" i="1"/>
  <c r="GN324" i="1"/>
  <c r="GN328" i="1"/>
  <c r="GM333" i="1"/>
  <c r="GN333" i="1"/>
  <c r="R348" i="1"/>
  <c r="GK348" i="1" s="1"/>
  <c r="P257" i="1"/>
  <c r="CY323" i="1"/>
  <c r="X323" i="1" s="1"/>
  <c r="GM323" i="1" s="1"/>
  <c r="CY327" i="1"/>
  <c r="X327" i="1" s="1"/>
  <c r="GM327" i="1" s="1"/>
  <c r="S334" i="1"/>
  <c r="CZ338" i="1"/>
  <c r="Y338" i="1" s="1"/>
  <c r="GM338" i="1" s="1"/>
  <c r="CY341" i="1"/>
  <c r="X341" i="1" s="1"/>
  <c r="GM341" i="1" s="1"/>
  <c r="GN349" i="1"/>
  <c r="GM349" i="1"/>
  <c r="T339" i="1"/>
  <c r="GN341" i="1"/>
  <c r="GK350" i="1"/>
  <c r="CZ350" i="1"/>
  <c r="Y350" i="1" s="1"/>
  <c r="GN355" i="1"/>
  <c r="GM355" i="1"/>
  <c r="P263" i="1"/>
  <c r="CP263" i="1" s="1"/>
  <c r="O263" i="1" s="1"/>
  <c r="CZ322" i="1"/>
  <c r="Y322" i="1" s="1"/>
  <c r="GM322" i="1" s="1"/>
  <c r="CZ326" i="1"/>
  <c r="Y326" i="1" s="1"/>
  <c r="CZ330" i="1"/>
  <c r="Y330" i="1" s="1"/>
  <c r="GM330" i="1" s="1"/>
  <c r="CY346" i="1"/>
  <c r="X346" i="1" s="1"/>
  <c r="GM346" i="1" s="1"/>
  <c r="CY350" i="1"/>
  <c r="X350" i="1" s="1"/>
  <c r="GM353" i="1"/>
  <c r="GN353" i="1"/>
  <c r="AB397" i="1"/>
  <c r="AU392" i="1"/>
  <c r="F436" i="1"/>
  <c r="GM410" i="1"/>
  <c r="GN410" i="1"/>
  <c r="AU320" i="1"/>
  <c r="F377" i="1"/>
  <c r="AC417" i="1"/>
  <c r="GM404" i="1"/>
  <c r="GN404" i="1"/>
  <c r="GM409" i="1"/>
  <c r="GN409" i="1"/>
  <c r="P412" i="1"/>
  <c r="CP412" i="1" s="1"/>
  <c r="O412" i="1" s="1"/>
  <c r="AH157" i="1" l="1"/>
  <c r="U212" i="1"/>
  <c r="AC157" i="1"/>
  <c r="P212" i="1"/>
  <c r="CF212" i="1"/>
  <c r="CH212" i="1"/>
  <c r="CE212" i="1"/>
  <c r="AI157" i="1"/>
  <c r="V212" i="1"/>
  <c r="CD157" i="1"/>
  <c r="AU212" i="1"/>
  <c r="CJ246" i="1"/>
  <c r="BA286" i="1"/>
  <c r="AG246" i="1"/>
  <c r="T286" i="1"/>
  <c r="AD246" i="1"/>
  <c r="Q286" i="1"/>
  <c r="AD320" i="1"/>
  <c r="Q358" i="1"/>
  <c r="AD157" i="1"/>
  <c r="Q212" i="1"/>
  <c r="CP257" i="1"/>
  <c r="O257" i="1" s="1"/>
  <c r="AB286" i="1" s="1"/>
  <c r="AQ22" i="1"/>
  <c r="F459" i="1"/>
  <c r="AQ481" i="1"/>
  <c r="CZ40" i="1"/>
  <c r="Y40" i="1" s="1"/>
  <c r="CY40" i="1"/>
  <c r="X40" i="1" s="1"/>
  <c r="AF123" i="1"/>
  <c r="CY339" i="1"/>
  <c r="X339" i="1" s="1"/>
  <c r="CZ339" i="1"/>
  <c r="Y339" i="1" s="1"/>
  <c r="AE320" i="1"/>
  <c r="R358" i="1"/>
  <c r="GN263" i="1"/>
  <c r="GM263" i="1"/>
  <c r="CY334" i="1"/>
  <c r="X334" i="1" s="1"/>
  <c r="CZ334" i="1"/>
  <c r="Y334" i="1" s="1"/>
  <c r="CP342" i="1"/>
  <c r="O342" i="1" s="1"/>
  <c r="AJ246" i="1"/>
  <c r="W286" i="1"/>
  <c r="GM167" i="1"/>
  <c r="CY169" i="1"/>
  <c r="X169" i="1" s="1"/>
  <c r="CZ169" i="1"/>
  <c r="Y169" i="1" s="1"/>
  <c r="AF212" i="1"/>
  <c r="CJ123" i="1"/>
  <c r="CI320" i="1"/>
  <c r="AZ358" i="1"/>
  <c r="AZ449" i="1" s="1"/>
  <c r="AH358" i="1"/>
  <c r="AJ392" i="1"/>
  <c r="W417" i="1"/>
  <c r="GN344" i="1"/>
  <c r="CY196" i="1"/>
  <c r="X196" i="1" s="1"/>
  <c r="GM196" i="1" s="1"/>
  <c r="CZ196" i="1"/>
  <c r="Y196" i="1" s="1"/>
  <c r="GO196" i="1" s="1"/>
  <c r="GM108" i="1"/>
  <c r="GN108" i="1"/>
  <c r="CZ79" i="1"/>
  <c r="Y79" i="1" s="1"/>
  <c r="GN38" i="1"/>
  <c r="GM38" i="1"/>
  <c r="AD123" i="1"/>
  <c r="CY348" i="1"/>
  <c r="X348" i="1" s="1"/>
  <c r="CZ348" i="1"/>
  <c r="Y348" i="1" s="1"/>
  <c r="AX320" i="1"/>
  <c r="F365" i="1"/>
  <c r="CP348" i="1"/>
  <c r="O348" i="1" s="1"/>
  <c r="CP339" i="1"/>
  <c r="O339" i="1" s="1"/>
  <c r="CY192" i="1"/>
  <c r="X192" i="1" s="1"/>
  <c r="CZ192" i="1"/>
  <c r="Y192" i="1" s="1"/>
  <c r="GK257" i="1"/>
  <c r="AE286" i="1"/>
  <c r="GM204" i="1"/>
  <c r="CJ212" i="1"/>
  <c r="CZ116" i="1"/>
  <c r="Y116" i="1" s="1"/>
  <c r="GM116" i="1" s="1"/>
  <c r="CY116" i="1"/>
  <c r="X116" i="1" s="1"/>
  <c r="GN116" i="1" s="1"/>
  <c r="CP80" i="1"/>
  <c r="O80" i="1" s="1"/>
  <c r="GM75" i="1"/>
  <c r="GN75" i="1"/>
  <c r="CZ62" i="1"/>
  <c r="Y62" i="1" s="1"/>
  <c r="CY62" i="1"/>
  <c r="X62" i="1" s="1"/>
  <c r="GM62" i="1" s="1"/>
  <c r="CP61" i="1"/>
  <c r="O61" i="1" s="1"/>
  <c r="AJ123" i="1"/>
  <c r="GN401" i="1"/>
  <c r="GN256" i="1"/>
  <c r="GN347" i="1"/>
  <c r="GM272" i="1"/>
  <c r="GO184" i="1"/>
  <c r="GO164" i="1"/>
  <c r="GN102" i="1"/>
  <c r="GM73" i="1"/>
  <c r="GN323" i="1"/>
  <c r="AK358" i="1"/>
  <c r="GN165" i="1"/>
  <c r="GM105" i="1"/>
  <c r="GM42" i="1"/>
  <c r="GM95" i="1"/>
  <c r="CZ60" i="1"/>
  <c r="Y60" i="1" s="1"/>
  <c r="GM168" i="1"/>
  <c r="GM59" i="1"/>
  <c r="AC392" i="1"/>
  <c r="CF417" i="1"/>
  <c r="CH417" i="1"/>
  <c r="CE417" i="1"/>
  <c r="P417" i="1"/>
  <c r="CZ190" i="1"/>
  <c r="Y190" i="1" s="1"/>
  <c r="CY190" i="1"/>
  <c r="X190" i="1" s="1"/>
  <c r="AK212" i="1" s="1"/>
  <c r="AZ26" i="1"/>
  <c r="F134" i="1"/>
  <c r="GN71" i="1"/>
  <c r="GM71" i="1"/>
  <c r="GN39" i="1"/>
  <c r="GM39" i="1"/>
  <c r="AP320" i="1"/>
  <c r="F367" i="1"/>
  <c r="GN330" i="1"/>
  <c r="AX246" i="1"/>
  <c r="F293" i="1"/>
  <c r="AH246" i="1"/>
  <c r="U286" i="1"/>
  <c r="AG212" i="1"/>
  <c r="AX26" i="1"/>
  <c r="F130" i="1"/>
  <c r="AX449" i="1"/>
  <c r="AE417" i="1"/>
  <c r="F428" i="1"/>
  <c r="AZ392" i="1"/>
  <c r="GM283" i="1"/>
  <c r="CZ257" i="1"/>
  <c r="Y257" i="1" s="1"/>
  <c r="CY257" i="1"/>
  <c r="X257" i="1" s="1"/>
  <c r="AK286" i="1" s="1"/>
  <c r="CP332" i="1"/>
  <c r="O332" i="1" s="1"/>
  <c r="AC358" i="1"/>
  <c r="BC22" i="1"/>
  <c r="F465" i="1"/>
  <c r="BC481" i="1"/>
  <c r="CZ76" i="1"/>
  <c r="Y76" i="1" s="1"/>
  <c r="CY76" i="1"/>
  <c r="X76" i="1" s="1"/>
  <c r="GN70" i="1"/>
  <c r="CY79" i="1"/>
  <c r="X79" i="1" s="1"/>
  <c r="GN79" i="1" s="1"/>
  <c r="CP40" i="1"/>
  <c r="O40" i="1" s="1"/>
  <c r="AC123" i="1"/>
  <c r="GN46" i="1"/>
  <c r="AI392" i="1"/>
  <c r="V417" i="1"/>
  <c r="AB417" i="1"/>
  <c r="CY342" i="1"/>
  <c r="X342" i="1" s="1"/>
  <c r="CZ342" i="1"/>
  <c r="Y342" i="1" s="1"/>
  <c r="AL358" i="1" s="1"/>
  <c r="CJ358" i="1"/>
  <c r="GN350" i="1"/>
  <c r="GM350" i="1"/>
  <c r="GN336" i="1"/>
  <c r="CP192" i="1"/>
  <c r="O192" i="1" s="1"/>
  <c r="GN161" i="1"/>
  <c r="GM161" i="1"/>
  <c r="GM74" i="1"/>
  <c r="GN74" i="1"/>
  <c r="CZ61" i="1"/>
  <c r="Y61" i="1" s="1"/>
  <c r="CY61" i="1"/>
  <c r="X61" i="1" s="1"/>
  <c r="AL123" i="1"/>
  <c r="AE123" i="1"/>
  <c r="AG123" i="1"/>
  <c r="GN322" i="1"/>
  <c r="GN329" i="1"/>
  <c r="GN255" i="1"/>
  <c r="GN270" i="1"/>
  <c r="AF358" i="1"/>
  <c r="GM77" i="1"/>
  <c r="GM32" i="1"/>
  <c r="GN166" i="1"/>
  <c r="CZ172" i="1"/>
  <c r="Y172" i="1" s="1"/>
  <c r="GN88" i="1"/>
  <c r="GM111" i="1"/>
  <c r="GN111" i="1"/>
  <c r="GO172" i="1"/>
  <c r="GN110" i="1"/>
  <c r="GM110" i="1"/>
  <c r="GM66" i="1"/>
  <c r="AZ246" i="1"/>
  <c r="F297" i="1"/>
  <c r="GN265" i="1"/>
  <c r="GM265" i="1"/>
  <c r="AI358" i="1"/>
  <c r="AO22" i="1"/>
  <c r="AO481" i="1"/>
  <c r="F453" i="1"/>
  <c r="AI286" i="1"/>
  <c r="AJ212" i="1"/>
  <c r="CP169" i="1"/>
  <c r="O169" i="1" s="1"/>
  <c r="GM79" i="1"/>
  <c r="GN34" i="1"/>
  <c r="GM34" i="1"/>
  <c r="AH123" i="1"/>
  <c r="CZ412" i="1"/>
  <c r="Y412" i="1" s="1"/>
  <c r="AL417" i="1" s="1"/>
  <c r="CY412" i="1"/>
  <c r="X412" i="1" s="1"/>
  <c r="GM412" i="1" s="1"/>
  <c r="CA417" i="1" s="1"/>
  <c r="AF417" i="1"/>
  <c r="AJ358" i="1"/>
  <c r="AC286" i="1"/>
  <c r="CZ259" i="1"/>
  <c r="Y259" i="1" s="1"/>
  <c r="CY259" i="1"/>
  <c r="X259" i="1" s="1"/>
  <c r="GM259" i="1" s="1"/>
  <c r="CY176" i="1"/>
  <c r="X176" i="1" s="1"/>
  <c r="GM176" i="1" s="1"/>
  <c r="CZ176" i="1"/>
  <c r="Y176" i="1" s="1"/>
  <c r="GO176" i="1" s="1"/>
  <c r="GO159" i="1"/>
  <c r="GM159" i="1"/>
  <c r="GN93" i="1"/>
  <c r="GN82" i="1"/>
  <c r="GM82" i="1"/>
  <c r="GM64" i="1"/>
  <c r="GN64" i="1"/>
  <c r="GN67" i="1"/>
  <c r="GM67" i="1"/>
  <c r="GN326" i="1"/>
  <c r="GN327" i="1"/>
  <c r="GN403" i="1"/>
  <c r="U392" i="1"/>
  <c r="F439" i="1"/>
  <c r="CZ332" i="1"/>
  <c r="Y332" i="1" s="1"/>
  <c r="GM72" i="1"/>
  <c r="T392" i="1"/>
  <c r="F438" i="1"/>
  <c r="CY172" i="1"/>
  <c r="X172" i="1" s="1"/>
  <c r="GM172" i="1" s="1"/>
  <c r="GM28" i="1"/>
  <c r="GN334" i="1"/>
  <c r="GM334" i="1"/>
  <c r="AF246" i="1"/>
  <c r="S286" i="1"/>
  <c r="GM51" i="1"/>
  <c r="GN51" i="1"/>
  <c r="AZ157" i="1"/>
  <c r="F223" i="1"/>
  <c r="GN36" i="1"/>
  <c r="GM36" i="1"/>
  <c r="AT320" i="1"/>
  <c r="F376" i="1"/>
  <c r="AE212" i="1"/>
  <c r="AD392" i="1"/>
  <c r="Q417" i="1"/>
  <c r="AG358" i="1"/>
  <c r="CP190" i="1"/>
  <c r="O190" i="1" s="1"/>
  <c r="AP449" i="1"/>
  <c r="GN81" i="1"/>
  <c r="GM81" i="1"/>
  <c r="GN35" i="1"/>
  <c r="GM35" i="1"/>
  <c r="BA417" i="1"/>
  <c r="CJ392" i="1"/>
  <c r="GO250" i="1"/>
  <c r="CC286" i="1" s="1"/>
  <c r="GM250" i="1"/>
  <c r="CZ258" i="1"/>
  <c r="Y258" i="1" s="1"/>
  <c r="AL286" i="1" s="1"/>
  <c r="CY258" i="1"/>
  <c r="X258" i="1" s="1"/>
  <c r="GM258" i="1" s="1"/>
  <c r="CY267" i="1"/>
  <c r="X267" i="1" s="1"/>
  <c r="GM267" i="1" s="1"/>
  <c r="CZ267" i="1"/>
  <c r="Y267" i="1" s="1"/>
  <c r="BB22" i="1"/>
  <c r="BB481" i="1"/>
  <c r="F462" i="1"/>
  <c r="CZ69" i="1"/>
  <c r="Y69" i="1" s="1"/>
  <c r="CY69" i="1"/>
  <c r="X69" i="1" s="1"/>
  <c r="GM69" i="1" s="1"/>
  <c r="GN37" i="1"/>
  <c r="GM37" i="1"/>
  <c r="AI123" i="1"/>
  <c r="CP76" i="1"/>
  <c r="O76" i="1" s="1"/>
  <c r="CY332" i="1"/>
  <c r="X332" i="1" s="1"/>
  <c r="CY60" i="1"/>
  <c r="X60" i="1" s="1"/>
  <c r="GM60" i="1" s="1"/>
  <c r="GN28" i="1"/>
  <c r="AL320" i="1" l="1"/>
  <c r="Y358" i="1"/>
  <c r="Y417" i="1"/>
  <c r="AL392" i="1"/>
  <c r="AL246" i="1"/>
  <c r="Y286" i="1"/>
  <c r="AK157" i="1"/>
  <c r="X212" i="1"/>
  <c r="CC246" i="1"/>
  <c r="AT286" i="1"/>
  <c r="CA392" i="1"/>
  <c r="AR417" i="1"/>
  <c r="AK246" i="1"/>
  <c r="X286" i="1"/>
  <c r="AZ22" i="1"/>
  <c r="F460" i="1"/>
  <c r="AZ481" i="1"/>
  <c r="AB246" i="1"/>
  <c r="O286" i="1"/>
  <c r="BA392" i="1"/>
  <c r="F437" i="1"/>
  <c r="AH26" i="1"/>
  <c r="U123" i="1"/>
  <c r="AI320" i="1"/>
  <c r="V358" i="1"/>
  <c r="AL26" i="1"/>
  <c r="Y123" i="1"/>
  <c r="CB212" i="1"/>
  <c r="AB392" i="1"/>
  <c r="O417" i="1"/>
  <c r="P392" i="1"/>
  <c r="F420" i="1"/>
  <c r="GN80" i="1"/>
  <c r="GM80" i="1"/>
  <c r="BB18" i="1"/>
  <c r="F494" i="1"/>
  <c r="AK417" i="1"/>
  <c r="AP22" i="1"/>
  <c r="F458" i="1"/>
  <c r="G16" i="2" s="1"/>
  <c r="G18" i="2" s="1"/>
  <c r="AP481" i="1"/>
  <c r="AF392" i="1"/>
  <c r="S417" i="1"/>
  <c r="GO169" i="1"/>
  <c r="GM169" i="1"/>
  <c r="CA212" i="1" s="1"/>
  <c r="AF320" i="1"/>
  <c r="S358" i="1"/>
  <c r="GO192" i="1"/>
  <c r="CC212" i="1" s="1"/>
  <c r="GM192" i="1"/>
  <c r="CJ320" i="1"/>
  <c r="BA358" i="1"/>
  <c r="F440" i="1"/>
  <c r="V392" i="1"/>
  <c r="GM40" i="1"/>
  <c r="CA123" i="1" s="1"/>
  <c r="GN40" i="1"/>
  <c r="AE392" i="1"/>
  <c r="R417" i="1"/>
  <c r="AG157" i="1"/>
  <c r="T212" i="1"/>
  <c r="GN267" i="1"/>
  <c r="GN259" i="1"/>
  <c r="CE392" i="1"/>
  <c r="AV417" i="1"/>
  <c r="GN62" i="1"/>
  <c r="GN342" i="1"/>
  <c r="GM342" i="1"/>
  <c r="Q157" i="1"/>
  <c r="F224" i="1"/>
  <c r="AB123" i="1"/>
  <c r="P157" i="1"/>
  <c r="F215" i="1"/>
  <c r="GM76" i="1"/>
  <c r="GN76" i="1"/>
  <c r="GM190" i="1"/>
  <c r="GO190" i="1"/>
  <c r="AC246" i="1"/>
  <c r="CE286" i="1"/>
  <c r="P286" i="1"/>
  <c r="CF286" i="1"/>
  <c r="CH286" i="1"/>
  <c r="BC18" i="1"/>
  <c r="F497" i="1"/>
  <c r="GN258" i="1"/>
  <c r="CH392" i="1"/>
  <c r="AY417" i="1"/>
  <c r="AJ26" i="1"/>
  <c r="W123" i="1"/>
  <c r="AE246" i="1"/>
  <c r="R286" i="1"/>
  <c r="GN339" i="1"/>
  <c r="GM339" i="1"/>
  <c r="CJ26" i="1"/>
  <c r="BA123" i="1"/>
  <c r="GN412" i="1"/>
  <c r="CB417" i="1" s="1"/>
  <c r="GM257" i="1"/>
  <c r="CA286" i="1" s="1"/>
  <c r="GN257" i="1"/>
  <c r="CB286" i="1" s="1"/>
  <c r="BA246" i="1"/>
  <c r="F306" i="1"/>
  <c r="V157" i="1"/>
  <c r="F235" i="1"/>
  <c r="CE157" i="1"/>
  <c r="AV212" i="1"/>
  <c r="AE157" i="1"/>
  <c r="R212" i="1"/>
  <c r="AJ157" i="1"/>
  <c r="W212" i="1"/>
  <c r="AO18" i="1"/>
  <c r="F485" i="1"/>
  <c r="AG26" i="1"/>
  <c r="T123" i="1"/>
  <c r="AC320" i="1"/>
  <c r="P358" i="1"/>
  <c r="CE358" i="1"/>
  <c r="CF358" i="1"/>
  <c r="CH358" i="1"/>
  <c r="AX22" i="1"/>
  <c r="F456" i="1"/>
  <c r="AX481" i="1"/>
  <c r="U246" i="1"/>
  <c r="F308" i="1"/>
  <c r="AI26" i="1"/>
  <c r="V123" i="1"/>
  <c r="AG320" i="1"/>
  <c r="T358" i="1"/>
  <c r="AK123" i="1"/>
  <c r="AB212" i="1"/>
  <c r="AJ320" i="1"/>
  <c r="W358" i="1"/>
  <c r="AI246" i="1"/>
  <c r="V286" i="1"/>
  <c r="AE26" i="1"/>
  <c r="R123" i="1"/>
  <c r="GN60" i="1"/>
  <c r="CB123" i="1" s="1"/>
  <c r="GN332" i="1"/>
  <c r="CB358" i="1" s="1"/>
  <c r="GM332" i="1"/>
  <c r="CA358" i="1" s="1"/>
  <c r="AB358" i="1"/>
  <c r="AW417" i="1"/>
  <c r="CF392" i="1"/>
  <c r="GM61" i="1"/>
  <c r="GN61" i="1"/>
  <c r="CJ157" i="1"/>
  <c r="BA212" i="1"/>
  <c r="GN348" i="1"/>
  <c r="GM348" i="1"/>
  <c r="W392" i="1"/>
  <c r="F441" i="1"/>
  <c r="AH320" i="1"/>
  <c r="U358" i="1"/>
  <c r="AF157" i="1"/>
  <c r="S212" i="1"/>
  <c r="W246" i="1"/>
  <c r="F310" i="1"/>
  <c r="AQ18" i="1"/>
  <c r="F491" i="1"/>
  <c r="GN69" i="1"/>
  <c r="Q320" i="1"/>
  <c r="F370" i="1"/>
  <c r="T246" i="1"/>
  <c r="F307" i="1"/>
  <c r="CH157" i="1"/>
  <c r="AY212" i="1"/>
  <c r="U157" i="1"/>
  <c r="F234" i="1"/>
  <c r="Q392" i="1"/>
  <c r="F429" i="1"/>
  <c r="S246" i="1"/>
  <c r="F301" i="1"/>
  <c r="AC26" i="1"/>
  <c r="P123" i="1"/>
  <c r="CF123" i="1"/>
  <c r="CE123" i="1"/>
  <c r="CH123" i="1"/>
  <c r="AK320" i="1"/>
  <c r="X358" i="1"/>
  <c r="AD26" i="1"/>
  <c r="Q123" i="1"/>
  <c r="AZ320" i="1"/>
  <c r="F369" i="1"/>
  <c r="AL212" i="1"/>
  <c r="R320" i="1"/>
  <c r="F372" i="1"/>
  <c r="AF26" i="1"/>
  <c r="S123" i="1"/>
  <c r="Q246" i="1"/>
  <c r="F298" i="1"/>
  <c r="AU157" i="1"/>
  <c r="F231" i="1"/>
  <c r="AU449" i="1"/>
  <c r="CF157" i="1"/>
  <c r="AW212" i="1"/>
  <c r="CB320" i="1" l="1"/>
  <c r="AS358" i="1"/>
  <c r="CB26" i="1"/>
  <c r="AS123" i="1"/>
  <c r="CA157" i="1"/>
  <c r="AR212" i="1"/>
  <c r="CA26" i="1"/>
  <c r="AR123" i="1"/>
  <c r="CB246" i="1"/>
  <c r="AS286" i="1"/>
  <c r="CC157" i="1"/>
  <c r="AT212" i="1"/>
  <c r="AU22" i="1"/>
  <c r="AU481" i="1"/>
  <c r="F468" i="1"/>
  <c r="CH26" i="1"/>
  <c r="AY123" i="1"/>
  <c r="AY157" i="1"/>
  <c r="F220" i="1"/>
  <c r="AW392" i="1"/>
  <c r="F423" i="1"/>
  <c r="CB392" i="1"/>
  <c r="AS417" i="1"/>
  <c r="S320" i="1"/>
  <c r="F373" i="1"/>
  <c r="S392" i="1"/>
  <c r="F432" i="1"/>
  <c r="S26" i="1"/>
  <c r="F138" i="1"/>
  <c r="S449" i="1"/>
  <c r="AL157" i="1"/>
  <c r="Y212" i="1"/>
  <c r="CE26" i="1"/>
  <c r="AV123" i="1"/>
  <c r="U320" i="1"/>
  <c r="F380" i="1"/>
  <c r="AB320" i="1"/>
  <c r="O358" i="1"/>
  <c r="R26" i="1"/>
  <c r="F137" i="1"/>
  <c r="R449" i="1"/>
  <c r="W320" i="1"/>
  <c r="F382" i="1"/>
  <c r="T320" i="1"/>
  <c r="F379" i="1"/>
  <c r="CE320" i="1"/>
  <c r="AV358" i="1"/>
  <c r="BA26" i="1"/>
  <c r="F143" i="1"/>
  <c r="BA449" i="1"/>
  <c r="R246" i="1"/>
  <c r="F300" i="1"/>
  <c r="AY392" i="1"/>
  <c r="F425" i="1"/>
  <c r="CE246" i="1"/>
  <c r="AV286" i="1"/>
  <c r="AB26" i="1"/>
  <c r="O123" i="1"/>
  <c r="R392" i="1"/>
  <c r="F431" i="1"/>
  <c r="O392" i="1"/>
  <c r="F419" i="1"/>
  <c r="O246" i="1"/>
  <c r="F288" i="1"/>
  <c r="P320" i="1"/>
  <c r="F361" i="1"/>
  <c r="R157" i="1"/>
  <c r="F226" i="1"/>
  <c r="AK392" i="1"/>
  <c r="X417" i="1"/>
  <c r="X246" i="1"/>
  <c r="F311" i="1"/>
  <c r="Q26" i="1"/>
  <c r="F135" i="1"/>
  <c r="Q449" i="1"/>
  <c r="AW157" i="1"/>
  <c r="F218" i="1"/>
  <c r="X320" i="1"/>
  <c r="F383" i="1"/>
  <c r="CF26" i="1"/>
  <c r="AW123" i="1"/>
  <c r="CA320" i="1"/>
  <c r="AR358" i="1"/>
  <c r="CH246" i="1"/>
  <c r="AY286" i="1"/>
  <c r="V320" i="1"/>
  <c r="F381" i="1"/>
  <c r="AT246" i="1"/>
  <c r="F304" i="1"/>
  <c r="Y392" i="1"/>
  <c r="F443" i="1"/>
  <c r="P26" i="1"/>
  <c r="F126" i="1"/>
  <c r="P449" i="1"/>
  <c r="S157" i="1"/>
  <c r="F227" i="1"/>
  <c r="BA157" i="1"/>
  <c r="F232" i="1"/>
  <c r="V246" i="1"/>
  <c r="F309" i="1"/>
  <c r="AB157" i="1"/>
  <c r="O212" i="1"/>
  <c r="V26" i="1"/>
  <c r="F146" i="1"/>
  <c r="V449" i="1"/>
  <c r="CH320" i="1"/>
  <c r="AY358" i="1"/>
  <c r="CA246" i="1"/>
  <c r="AR286" i="1"/>
  <c r="W26" i="1"/>
  <c r="F147" i="1"/>
  <c r="W449" i="1"/>
  <c r="CF246" i="1"/>
  <c r="AW286" i="1"/>
  <c r="F422" i="1"/>
  <c r="AV392" i="1"/>
  <c r="T157" i="1"/>
  <c r="F233" i="1"/>
  <c r="BA320" i="1"/>
  <c r="F378" i="1"/>
  <c r="AP18" i="1"/>
  <c r="F490" i="1"/>
  <c r="CB157" i="1"/>
  <c r="AS212" i="1"/>
  <c r="AZ18" i="1"/>
  <c r="F492" i="1"/>
  <c r="Y246" i="1"/>
  <c r="F312" i="1"/>
  <c r="Y320" i="1"/>
  <c r="F384" i="1"/>
  <c r="AK26" i="1"/>
  <c r="X123" i="1"/>
  <c r="AX18" i="1"/>
  <c r="F488" i="1"/>
  <c r="CF320" i="1"/>
  <c r="AW358" i="1"/>
  <c r="T26" i="1"/>
  <c r="F144" i="1"/>
  <c r="T449" i="1"/>
  <c r="W157" i="1"/>
  <c r="F236" i="1"/>
  <c r="AV157" i="1"/>
  <c r="F217" i="1"/>
  <c r="P246" i="1"/>
  <c r="F289" i="1"/>
  <c r="Y26" i="1"/>
  <c r="F149" i="1"/>
  <c r="Y449" i="1"/>
  <c r="U26" i="1"/>
  <c r="F145" i="1"/>
  <c r="U449" i="1"/>
  <c r="AR392" i="1"/>
  <c r="F444" i="1"/>
  <c r="F445" i="1" s="1"/>
  <c r="X157" i="1"/>
  <c r="F237" i="1"/>
  <c r="AR246" i="1" l="1"/>
  <c r="F313" i="1"/>
  <c r="F314" i="1" s="1"/>
  <c r="AY246" i="1"/>
  <c r="F294" i="1"/>
  <c r="AW26" i="1"/>
  <c r="F129" i="1"/>
  <c r="AW449" i="1"/>
  <c r="R22" i="1"/>
  <c r="F463" i="1"/>
  <c r="R481" i="1"/>
  <c r="AY26" i="1"/>
  <c r="F131" i="1"/>
  <c r="AY449" i="1"/>
  <c r="Y22" i="1"/>
  <c r="F475" i="1"/>
  <c r="Y481" i="1"/>
  <c r="AW320" i="1"/>
  <c r="F364" i="1"/>
  <c r="X26" i="1"/>
  <c r="F148" i="1"/>
  <c r="X449" i="1"/>
  <c r="AS157" i="1"/>
  <c r="F229" i="1"/>
  <c r="W22" i="1"/>
  <c r="F473" i="1"/>
  <c r="W481" i="1"/>
  <c r="AV246" i="1"/>
  <c r="F291" i="1"/>
  <c r="Y157" i="1"/>
  <c r="F238" i="1"/>
  <c r="AT157" i="1"/>
  <c r="F230" i="1"/>
  <c r="AT449" i="1"/>
  <c r="AR26" i="1"/>
  <c r="F150" i="1"/>
  <c r="F151" i="1" s="1"/>
  <c r="AR449" i="1"/>
  <c r="AS26" i="1"/>
  <c r="F140" i="1"/>
  <c r="AS449" i="1"/>
  <c r="F446" i="1"/>
  <c r="F447" i="1"/>
  <c r="V22" i="1"/>
  <c r="F472" i="1"/>
  <c r="V481" i="1"/>
  <c r="U22" i="1"/>
  <c r="F471" i="1"/>
  <c r="U481" i="1"/>
  <c r="T22" i="1"/>
  <c r="F470" i="1"/>
  <c r="T481" i="1"/>
  <c r="AY320" i="1"/>
  <c r="F366" i="1"/>
  <c r="AR320" i="1"/>
  <c r="F385" i="1"/>
  <c r="F386" i="1" s="1"/>
  <c r="Q22" i="1"/>
  <c r="F461" i="1"/>
  <c r="Q481" i="1"/>
  <c r="AV320" i="1"/>
  <c r="F363" i="1"/>
  <c r="AS392" i="1"/>
  <c r="F434" i="1"/>
  <c r="AW246" i="1"/>
  <c r="F292" i="1"/>
  <c r="O157" i="1"/>
  <c r="F214" i="1"/>
  <c r="P22" i="1"/>
  <c r="F452" i="1"/>
  <c r="P481" i="1"/>
  <c r="F442" i="1"/>
  <c r="X392" i="1"/>
  <c r="O26" i="1"/>
  <c r="F125" i="1"/>
  <c r="O449" i="1"/>
  <c r="BA22" i="1"/>
  <c r="F469" i="1"/>
  <c r="H16" i="2" s="1"/>
  <c r="H18" i="2" s="1"/>
  <c r="BA481" i="1"/>
  <c r="O320" i="1"/>
  <c r="F360" i="1"/>
  <c r="AV26" i="1"/>
  <c r="F128" i="1"/>
  <c r="AV449" i="1"/>
  <c r="S22" i="1"/>
  <c r="F464" i="1"/>
  <c r="J16" i="2" s="1"/>
  <c r="J18" i="2" s="1"/>
  <c r="S481" i="1"/>
  <c r="AU18" i="1"/>
  <c r="F500" i="1"/>
  <c r="AS246" i="1"/>
  <c r="F303" i="1"/>
  <c r="AR157" i="1"/>
  <c r="F239" i="1"/>
  <c r="F240" i="1" s="1"/>
  <c r="AS320" i="1"/>
  <c r="F375" i="1"/>
  <c r="S18" i="1" l="1"/>
  <c r="F496" i="1"/>
  <c r="BA18" i="1"/>
  <c r="F501" i="1"/>
  <c r="AT22" i="1"/>
  <c r="AT481" i="1"/>
  <c r="F467" i="1"/>
  <c r="F16" i="2" s="1"/>
  <c r="F18" i="2" s="1"/>
  <c r="P18" i="1"/>
  <c r="F484" i="1"/>
  <c r="X22" i="1"/>
  <c r="X481" i="1"/>
  <c r="F474" i="1"/>
  <c r="V18" i="1"/>
  <c r="F504" i="1"/>
  <c r="AR22" i="1"/>
  <c r="AR481" i="1"/>
  <c r="F476" i="1"/>
  <c r="F477" i="1" s="1"/>
  <c r="Y18" i="1"/>
  <c r="F507" i="1"/>
  <c r="F241" i="1"/>
  <c r="F242" i="1"/>
  <c r="U18" i="1"/>
  <c r="F503" i="1"/>
  <c r="AS22" i="1"/>
  <c r="F466" i="1"/>
  <c r="E16" i="2" s="1"/>
  <c r="AS481" i="1"/>
  <c r="F153" i="1"/>
  <c r="F152" i="1"/>
  <c r="AW22" i="1"/>
  <c r="F455" i="1"/>
  <c r="AW481" i="1"/>
  <c r="AV22" i="1"/>
  <c r="AV481" i="1"/>
  <c r="F454" i="1"/>
  <c r="O22" i="1"/>
  <c r="O481" i="1"/>
  <c r="F451" i="1"/>
  <c r="F387" i="1"/>
  <c r="F388" i="1" s="1"/>
  <c r="T18" i="1"/>
  <c r="F502" i="1"/>
  <c r="W18" i="1"/>
  <c r="F505" i="1"/>
  <c r="R18" i="1"/>
  <c r="F495" i="1"/>
  <c r="F315" i="1"/>
  <c r="F316" i="1" s="1"/>
  <c r="Q18" i="1"/>
  <c r="F493" i="1"/>
  <c r="AY22" i="1"/>
  <c r="AY481" i="1"/>
  <c r="F457" i="1"/>
  <c r="AW18" i="1" l="1"/>
  <c r="F487" i="1"/>
  <c r="AS18" i="1"/>
  <c r="F498" i="1"/>
  <c r="AT18" i="1"/>
  <c r="F499" i="1"/>
  <c r="AV18" i="1"/>
  <c r="F486" i="1"/>
  <c r="F478" i="1"/>
  <c r="F479" i="1"/>
  <c r="O18" i="1"/>
  <c r="F483" i="1"/>
  <c r="AR18" i="1"/>
  <c r="F508" i="1"/>
  <c r="F509" i="1" s="1"/>
  <c r="AY18" i="1"/>
  <c r="F489" i="1"/>
  <c r="X18" i="1"/>
  <c r="F506" i="1"/>
  <c r="E18" i="2"/>
  <c r="I16" i="2"/>
  <c r="I18" i="2" s="1"/>
  <c r="F510" i="1" l="1"/>
  <c r="F511" i="1" s="1"/>
</calcChain>
</file>

<file path=xl/sharedStrings.xml><?xml version="1.0" encoding="utf-8"?>
<sst xmlns="http://schemas.openxmlformats.org/spreadsheetml/2006/main" count="23529" uniqueCount="1880">
  <si>
    <t>Smeta.RU  (495) 974-1589</t>
  </si>
  <si>
    <t>_PS_</t>
  </si>
  <si>
    <t>Smeta.RU</t>
  </si>
  <si>
    <t>НИЯУ МИФИ  Доп. раб. место  MCCS-0027251</t>
  </si>
  <si>
    <t>Новый объект_(Копия)_(Копия)</t>
  </si>
  <si>
    <t>Капитальный ремонт общежития №2  2-этаж  НВПК НИЯУ МИФИ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</si>
  <si>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</si>
  <si>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</si>
  <si>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</si>
  <si>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</si>
  <si>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 [ОРЛОВА С,В 20181]</t>
  </si>
  <si>
    <t>Поправки  для ГСН 2017 от 31.03.2017 г</t>
  </si>
  <si>
    <t>Новая локальная смета</t>
  </si>
  <si>
    <t>Новый раздел</t>
  </si>
  <si>
    <t>Общестроительные работы</t>
  </si>
  <si>
    <t>1</t>
  </si>
  <si>
    <t>46-04-012-03</t>
  </si>
  <si>
    <t>Разборка деревянных заполнений проемов дверных и воротных</t>
  </si>
  <si>
    <t>100 м2</t>
  </si>
  <si>
    <t>ФЕР-2001, 46-04-012-03, приказ Минстроя России №1039/пр от 30.12.2016г.</t>
  </si>
  <si>
    <t>Реконструкция зданий и сооружений</t>
  </si>
  <si>
    <t>ФЕР-46</t>
  </si>
  <si>
    <t>*0,9</t>
  </si>
  <si>
    <t>*0,85</t>
  </si>
  <si>
    <t>2</t>
  </si>
  <si>
    <t>10-01-059-01</t>
  </si>
  <si>
    <t>Разборка деревянных встроенных шкафов</t>
  </si>
  <si>
    <t>100 ШТ</t>
  </si>
  <si>
    <t>ФЕР-2001, 10-01-059-01, приказ Минстроя России №1039/пр от 30.12.2016г.</t>
  </si>
  <si>
    <t>Поправка: Табл.2, п.2  Наименование: При демонтаже (разборке) сборных деревянных конструкций</t>
  </si>
  <si>
    <t>)*0</t>
  </si>
  <si>
    <t>)*0,8</t>
  </si>
  <si>
    <t>Деревянные конструкции</t>
  </si>
  <si>
    <t>ФЕР-10</t>
  </si>
  <si>
    <t>Поправка: Табл.2, п.2</t>
  </si>
  <si>
    <t>3</t>
  </si>
  <si>
    <t>57-1-2</t>
  </si>
  <si>
    <t>Разборка оснований покрытия полов лаг из досок и брусков</t>
  </si>
  <si>
    <t>ФЕР-2001, 57-1-2, приказ Минстроя России №1039/пр от 30.12.2016г.</t>
  </si>
  <si>
    <t>Ремонтно-строительные работы</t>
  </si>
  <si>
    <t>Полы</t>
  </si>
  <si>
    <t>рФЕР-57</t>
  </si>
  <si>
    <t>4</t>
  </si>
  <si>
    <t>57-2-1</t>
  </si>
  <si>
    <t>Разборка покрытий полов из линолеума и релина</t>
  </si>
  <si>
    <t>ФЕР-2001, 57-2-1, приказ Минстроя России №1039/пр от 30.12.2016г.</t>
  </si>
  <si>
    <t>5</t>
  </si>
  <si>
    <t>57-2-3</t>
  </si>
  <si>
    <t>Разборка покрытий полов из керамических плиток</t>
  </si>
  <si>
    <t>ФЕР-2001, 57-2-3, приказ Минстроя России №1039/пр от 30.12.2016г.</t>
  </si>
  <si>
    <t>6</t>
  </si>
  <si>
    <t>57-2-4</t>
  </si>
  <si>
    <t>Разборка покрытий полов цементных толщиной 45 мм</t>
  </si>
  <si>
    <t>ФЕР-2001, 57-2-4, приказ Минстроя России №1039/пр от 30.12.2016г.</t>
  </si>
  <si>
    <t>7</t>
  </si>
  <si>
    <t>57-3-2</t>
  </si>
  <si>
    <t>Разборка плинтусов цементных и из керамической плитки</t>
  </si>
  <si>
    <t>100 м</t>
  </si>
  <si>
    <t>ФЕР-2001, 57-3-2, приказ Минстроя России №1039/пр от 30.12.2016г.</t>
  </si>
  <si>
    <t>8</t>
  </si>
  <si>
    <t>57-3-1</t>
  </si>
  <si>
    <t>Разборка плинтусов деревянных и из пластмассовых материалов</t>
  </si>
  <si>
    <t>ФЕР-2001, 57-3-1, приказ Минстроя России №1039/пр от 30.12.2016г.</t>
  </si>
  <si>
    <t>9</t>
  </si>
  <si>
    <t>63-7-5</t>
  </si>
  <si>
    <t>Разборка облицовки стен из керамических глазурованных плиток</t>
  </si>
  <si>
    <t>ФЕР-2001, 63-7-5, приказ Минстроя России №1039/пр от 30.12.2016г.</t>
  </si>
  <si>
    <t>Стекольные, обойные, облицовочные работы</t>
  </si>
  <si>
    <t>рФЕР-63</t>
  </si>
  <si>
    <t>10</t>
  </si>
  <si>
    <t>63-5-1</t>
  </si>
  <si>
    <t>Снятие обоев простых и улучшенных</t>
  </si>
  <si>
    <t>ФЕРр-2001, 63-5-1, приказ Минстроя России №1039/пр от 30.12.2016г.</t>
  </si>
  <si>
    <t>11</t>
  </si>
  <si>
    <t>46-02-009-02</t>
  </si>
  <si>
    <t>Отбивка штукатурки с поверхностей стен</t>
  </si>
  <si>
    <t>ФЕР-2001, 46-02-009-02, приказ Минстроя России №1039/пр от 30.12.2016г.</t>
  </si>
  <si>
    <t>12</t>
  </si>
  <si>
    <t>10-01-047-02</t>
  </si>
  <si>
    <t>Установка блоков из ПВХ в наружных и внутренних дверных проемах в каменных стенах площадью проема более 3 м2</t>
  </si>
  <si>
    <t>ФЕР-2001, 10-01-047-02, приказ Минстроя России №1039/пр от 30.12.2016г.</t>
  </si>
  <si>
    <t>)*1,25</t>
  </si>
  <si>
    <t>)*1,15</t>
  </si>
  <si>
    <t>Поправка: МДС 81-35.2004, п.4.7</t>
  </si>
  <si>
    <t>12,1</t>
  </si>
  <si>
    <t>11.3.01.05-0003</t>
  </si>
  <si>
    <t>Блоки дверные внутренние светлые (со светопрозрачным заполнением верхней части и глухим заполнением нижней части полотна) (ГОСТ 30970-2002), распашные , размером 2600х2500 мм в комплекте</t>
  </si>
  <si>
    <t>м2</t>
  </si>
  <si>
    <t>ФССЦ-2001, 11.3.01.05-0003, приказ Минстроя России №1039/пр от 30.12.2016г.</t>
  </si>
  <si>
    <t>13</t>
  </si>
  <si>
    <t>62-23-4</t>
  </si>
  <si>
    <t>Окраска силикатными красками за 1 раз ранее окрашенных фасадов  и потолка лоджии по кирпичу с земли и лесов</t>
  </si>
  <si>
    <t>ФЕР-2001, 62-23-4, приказ Минстроя России №1039/пр от 30.12.2016г.</t>
  </si>
  <si>
    <t>Малярные работы</t>
  </si>
  <si>
    <t>рФЕР-62</t>
  </si>
  <si>
    <t>13,1</t>
  </si>
  <si>
    <t>14.3.02.05</t>
  </si>
  <si>
    <t>Краски силикатные</t>
  </si>
  <si>
    <t>т</t>
  </si>
  <si>
    <t>13,2</t>
  </si>
  <si>
    <t>14.3.02.05-0102</t>
  </si>
  <si>
    <t>Краска силикатная фасадная GERESIT CT 54</t>
  </si>
  <si>
    <t>кг</t>
  </si>
  <si>
    <t>ФССЦ-2001, 14.3.02.05-0102, приказ Минстроя России №1039/пр от 30.12.2016г.</t>
  </si>
  <si>
    <t>14</t>
  </si>
  <si>
    <t>09-03-050-01</t>
  </si>
  <si>
    <t>Обрамление металлическим уголком ограждения балкона</t>
  </si>
  <si>
    <t>ФЕР-2001, 09-03-050-01, приказ Минстроя России №1039/пр от 30.12.2016г.</t>
  </si>
  <si>
    <t>Металлические конструкции</t>
  </si>
  <si>
    <t>ФЕР-09</t>
  </si>
  <si>
    <t>14,1</t>
  </si>
  <si>
    <t>01.5.02.01-0151</t>
  </si>
  <si>
    <t>Уголки металлические оцинкованные прижимные (ТУ 5262-002- 73088633-09) размером 40х40х4мм</t>
  </si>
  <si>
    <t>ФССЦ-2001, 01.5.02.01-0151, приказ Минстроя России №1039/пр от 30.12.2016г.</t>
  </si>
  <si>
    <t>15</t>
  </si>
  <si>
    <t>15-04-030-04</t>
  </si>
  <si>
    <t>Масляная окраска металлических поверхностей решеток, переплетов, труб диаметром менее 50 мм и т.п., количество окрасок 2</t>
  </si>
  <si>
    <t>ФЕР-2001, 15-04-030-04, приказ Минстроя России №1039/пр от 30.12.2016г.</t>
  </si>
  <si>
    <t>Отделочные работы</t>
  </si>
  <si>
    <t>ФЕР-15</t>
  </si>
  <si>
    <t>15,1</t>
  </si>
  <si>
    <t>14.4.04.08-0004</t>
  </si>
  <si>
    <t>Эмаль ПФ-115</t>
  </si>
  <si>
    <t>ФССЦ-2001, 14.4.04.08-0004, приказ Минстроя России №1039/пр от 30.12.2016г.</t>
  </si>
  <si>
    <t>16</t>
  </si>
  <si>
    <t>09-04-012-02</t>
  </si>
  <si>
    <t>Установка дверного доводчика к металлическим дверям</t>
  </si>
  <si>
    <t>ШТ</t>
  </si>
  <si>
    <t>ФЕР-2001, 09-04-012-02, приказ Минстроя России №1039/пр от 30.12.2016г.</t>
  </si>
  <si>
    <t>16,1</t>
  </si>
  <si>
    <t>01.7.04.01-0001</t>
  </si>
  <si>
    <t>Доводчик дверной DS 73 BC "Серия Premium", усилие закрывания EN2-5</t>
  </si>
  <si>
    <t>шт.</t>
  </si>
  <si>
    <t>ФССЦ-2001, 01.7.04.01-0001, приказ Минстроя России №1039/пр от 30.12.2016г.</t>
  </si>
  <si>
    <t>17</t>
  </si>
  <si>
    <t>15-04-005-03</t>
  </si>
  <si>
    <t>Окраска поливинилацетатными водоэмульсионными составами улучшенная по штукатурке откосов</t>
  </si>
  <si>
    <t>ФЕР-2001, 15-04-005-03, приказ Минстроя России №1039/пр от 30.12.2016г.</t>
  </si>
  <si>
    <t>17,1</t>
  </si>
  <si>
    <t>14.3.02.01-0219</t>
  </si>
  <si>
    <t>Краска водоэмульсионная (согласно тех.заданию)</t>
  </si>
  <si>
    <t>ФССЦ-2001, 14.3.02.01-0219, приказ Минстроя России №1039/пр от 30.12.2016г.</t>
  </si>
  <si>
    <t>18</t>
  </si>
  <si>
    <t>11-01-049-01</t>
  </si>
  <si>
    <t>Укладка металлического накладного профиля (порога)</t>
  </si>
  <si>
    <t>ФЕР-2001, 11-01-049-01, приказ Минстроя России №1039/пр от 30.12.2016г.</t>
  </si>
  <si>
    <t>ФЕР-11</t>
  </si>
  <si>
    <t>18,1</t>
  </si>
  <si>
    <t>09.2.03.02</t>
  </si>
  <si>
    <t>Профили стыкоперекрывающие из алюминиевых сплавов (порожки) с покрытием</t>
  </si>
  <si>
    <t>м</t>
  </si>
  <si>
    <t>18,2</t>
  </si>
  <si>
    <t>09.2.03.02-0022</t>
  </si>
  <si>
    <t>Профили стыкоперекрывающие из алюминиевых сплавов (порожки) с покрытием, шириной 60 мм</t>
  </si>
  <si>
    <t>ФССЦ-2001, 09.2.03.02-0022, приказ Минстроя России №1039/пр от 30.12.2016г.</t>
  </si>
  <si>
    <t>19</t>
  </si>
  <si>
    <t>10-01-060-01</t>
  </si>
  <si>
    <t>Установка и крепление наличников</t>
  </si>
  <si>
    <t>ФЕР-2001, 10-01-060-01, приказ Минстроя России №1039/пр от 30.12.2016г.</t>
  </si>
  <si>
    <t>19,1</t>
  </si>
  <si>
    <t>11.1.01.10</t>
  </si>
  <si>
    <t>Наличники</t>
  </si>
  <si>
    <t>19,2</t>
  </si>
  <si>
    <t>11.1.01.10-0003</t>
  </si>
  <si>
    <t>Наличники из древесины</t>
  </si>
  <si>
    <t>ФССЦ-2001, 11.1.01.10-0003, приказ Минстроя России №1039/пр от 30.12.2016г.</t>
  </si>
  <si>
    <t>19,3</t>
  </si>
  <si>
    <t>11.3.03.02-0001</t>
  </si>
  <si>
    <t>Наличники из ПВХ</t>
  </si>
  <si>
    <t>ФССЦ-2001, 11.3.03.02-0001, приказ Минстроя России №1039/пр от 30.12.2016г.</t>
  </si>
  <si>
    <t>20</t>
  </si>
  <si>
    <t>10-01-039-01</t>
  </si>
  <si>
    <t>Установка блоков в наружных и внутренних дверных проемах в каменных стенах, площадь проема до 3 м2</t>
  </si>
  <si>
    <t>ФЕР-2001, 10-01-039-01, приказ Минстроя России №1039/пр от 30.12.2016г.</t>
  </si>
  <si>
    <t>20,1</t>
  </si>
  <si>
    <t>01.7.04.07-0011</t>
  </si>
  <si>
    <t>Скобяные изделия для блоков входных однопольных</t>
  </si>
  <si>
    <t>компл.</t>
  </si>
  <si>
    <t>ФССЦ-2001, 01.7.04.07-0011, приказ Минстроя России №1039/пр от 30.12.2016г.</t>
  </si>
  <si>
    <t>20,2</t>
  </si>
  <si>
    <t>11.3.01.05-0021</t>
  </si>
  <si>
    <t>Двери композитные "КАПЕЛЬ" (полотно, коробка, 2 петли, магнитный механизм замка)  с вентиляционной решеткой (7 шт), с ограничителем открывания (10 шт)</t>
  </si>
  <si>
    <t>ФССЦ-2001, 11.3.01.05-0021, приказ Минстроя России №1039/пр от 30.12.2016г.</t>
  </si>
  <si>
    <t>20,3</t>
  </si>
  <si>
    <t>11.2.02.01-0072</t>
  </si>
  <si>
    <t>Блоки дверные однопольные с полотном глухим ДГ 21-9, площадь 1,80 м2; ДГ 21-10, площадь 2,01 м2 с ограничителем открывания (10 шт)</t>
  </si>
  <si>
    <t>ФССЦ-2001, 11.2.02.01-0072, приказ Минстроя России №1039/пр от 30.12.2016г.</t>
  </si>
  <si>
    <t>21</t>
  </si>
  <si>
    <t>09-04-012-01</t>
  </si>
  <si>
    <t>Установка металлических дверных блоков в готовые проемы</t>
  </si>
  <si>
    <t>ФЕР-2001, 09-04-012-01, приказ Минстроя России №1039/пр от 30.12.2016г.</t>
  </si>
  <si>
    <t>21,1</t>
  </si>
  <si>
    <t>07.1.01.03-0001</t>
  </si>
  <si>
    <t>Блок дверной стальной внутренний однопольный ДСВ, площадь 2,1 м2 (ГОСТ 31173-2003)</t>
  </si>
  <si>
    <t>ФССЦ-2001, 07.1.01.03-0001, приказ Минстроя России №1039/пр от 30.12.2016г.</t>
  </si>
  <si>
    <t>22</t>
  </si>
  <si>
    <t>57-10-3</t>
  </si>
  <si>
    <t>Заделка выбоин в полах цементных площадью до 1,0 м2</t>
  </si>
  <si>
    <t>100 мест</t>
  </si>
  <si>
    <t>ФЕР-2001, 57-10-3, приказ Минстроя России №1039/пр от 30.12.2016г.</t>
  </si>
  <si>
    <t>22,1</t>
  </si>
  <si>
    <t>04.3.01.09-0001</t>
  </si>
  <si>
    <t>Раствор готовый кладочный тяжелый цементный</t>
  </si>
  <si>
    <t>м3</t>
  </si>
  <si>
    <t>ФССЦ-2001, 04.3.01.09-0001, приказ Минстроя России №1039/пр от 30.12.2016г.</t>
  </si>
  <si>
    <t>23</t>
  </si>
  <si>
    <t>15-07-003-02</t>
  </si>
  <si>
    <t>Грунтование водно-дисперсионной грунтовкой "Нортекс-Грунт" поверхностей пористых (камень, кирпич, бетон и т д)</t>
  </si>
  <si>
    <t>ФЕР-2001, 15-07-003-02, приказ Минстроя России №1039/пр от 30.12.2016г.</t>
  </si>
  <si>
    <t>24</t>
  </si>
  <si>
    <t>11-01-011-01</t>
  </si>
  <si>
    <t>Устройство стяжек цементных толщиной 20 мм</t>
  </si>
  <si>
    <t>ФЕР-2001, 11-01-011-01, приказ Минстроя России №1039/пр от 30.12.2016г.</t>
  </si>
  <si>
    <t>24,1</t>
  </si>
  <si>
    <t>04.3.01.09-0014</t>
  </si>
  <si>
    <t>Раствор готовый кладочный цементный марки 100</t>
  </si>
  <si>
    <t>ФССЦ-2001, 04.3.01.09-0014, приказ Минстроя России №1039/пр от 30.12.2016г.</t>
  </si>
  <si>
    <t>25</t>
  </si>
  <si>
    <t>11-01-011-02</t>
  </si>
  <si>
    <t>Устройство стяжек на каждые 5 мм изменения толщины стяжки добавлять или исключать к расценке 11-01-011-01</t>
  </si>
  <si>
    <t>ФЕР-2001, 11-01-011-02, приказ Минстроя России №1039/пр от 30.12.2016г.</t>
  </si>
  <si>
    <t>*3</t>
  </si>
  <si>
    <t>*3)*1,25</t>
  </si>
  <si>
    <t>*3)*1,15</t>
  </si>
  <si>
    <t>25,1</t>
  </si>
  <si>
    <t>26</t>
  </si>
  <si>
    <t>11-01-011-08</t>
  </si>
  <si>
    <t>Устройство стяжек из выравнивающей смеси типа "Ветонит" 5000, толщиной 5 мм с огрунтовкой "Нортекс-Грунт"</t>
  </si>
  <si>
    <t>ФЕР-2001, 11-01-011-08, приказ Минстроя России №1039/пр от 30.12.2016г.</t>
  </si>
  <si>
    <t>27</t>
  </si>
  <si>
    <t>11-01-040-03</t>
  </si>
  <si>
    <t>Устройство плинтусов поливинилхлоридных на винтах самонарезающих</t>
  </si>
  <si>
    <t>ФЕР-2001, 11-01-040-03, приказ Минстроя России №1039/пр от 30.12.2016г.</t>
  </si>
  <si>
    <t>27,1</t>
  </si>
  <si>
    <t>11.3.03.06</t>
  </si>
  <si>
    <t>Плинтуса для полов пластиковые</t>
  </si>
  <si>
    <t>27,2</t>
  </si>
  <si>
    <t>11.3.03.06-0001</t>
  </si>
  <si>
    <t>Плинтуса для полов пластиковые, 19х48 мм</t>
  </si>
  <si>
    <t>ФССЦ-2001, 11.3.03.06-0001, приказ Минстроя России №1039/пр от 30.12.2016г.</t>
  </si>
  <si>
    <t>27,3</t>
  </si>
  <si>
    <t>11.3.03.14-0002</t>
  </si>
  <si>
    <t>Заглушка торцевая для пластикового плинтуса левая, высота 49 мм</t>
  </si>
  <si>
    <t>100 шт.</t>
  </si>
  <si>
    <t>ФССЦ-2001, 11.3.03.14-0002, приказ Минстроя России №1039/пр от 30.12.2016г.</t>
  </si>
  <si>
    <t>27,4</t>
  </si>
  <si>
    <t>11.3.03.14-0012</t>
  </si>
  <si>
    <t>Заглушки торцевая для пластикового плинтуса правая, высота 49 мм</t>
  </si>
  <si>
    <t>ФССЦ-2001, 11.3.03.14-0012, приказ Минстроя России №1039/пр от 30.12.2016г.</t>
  </si>
  <si>
    <t>27,5</t>
  </si>
  <si>
    <t>11.3.03.14-0022</t>
  </si>
  <si>
    <t>Соединитель для пластикового плинтуса, высота 49 мм</t>
  </si>
  <si>
    <t>ФССЦ-2001, 11.3.03.14-0022, приказ Минстроя России №1039/пр от 30.12.2016г.</t>
  </si>
  <si>
    <t>27,6</t>
  </si>
  <si>
    <t>11.3.03.14-0032</t>
  </si>
  <si>
    <t>Уголок внутренний для пластикового плинтуса, высота 49 мм</t>
  </si>
  <si>
    <t>ФССЦ-2001, 11.3.03.14-0032, приказ Минстроя России №1039/пр от 30.12.2016г.</t>
  </si>
  <si>
    <t>27,7</t>
  </si>
  <si>
    <t>11.3.03.14-0034</t>
  </si>
  <si>
    <t>Уголок наружный для пластикового плинтуса, высота 49 мм</t>
  </si>
  <si>
    <t>ФССЦ-2001, 11.3.03.14-0034, приказ Минстроя России №1039/пр от 30.12.2016г.</t>
  </si>
  <si>
    <t>28</t>
  </si>
  <si>
    <t>11-01-004-05</t>
  </si>
  <si>
    <t>Устройство гидроизоляции обмазочной в один слой толщиной 2 мм</t>
  </si>
  <si>
    <t>ФЕР-2001, 11-01-004-05, приказ Минстроя России №1039/пр от 30.12.2016г.</t>
  </si>
  <si>
    <t>29</t>
  </si>
  <si>
    <t>08-01-003-07</t>
  </si>
  <si>
    <t>Гидроизоляция боковая обмазочная битумная в 2 слоя по выровненной поверхности бутовой кладки, кирпичу, бетону</t>
  </si>
  <si>
    <t>ФЕР-2001, 08-01-003-07, приказ Минстроя России №1039/пр от 30.12.2016г.</t>
  </si>
  <si>
    <t>Конструкции из кирпича и блоков</t>
  </si>
  <si>
    <t>ФЕР-08</t>
  </si>
  <si>
    <t>30</t>
  </si>
  <si>
    <t>08-02-001-08</t>
  </si>
  <si>
    <t>Кладка отдельных участков стен и заделка проемов в кирпичных стенах кирпичей силикатными</t>
  </si>
  <si>
    <t>ФЕР-2001, 08-02-001-08, приказ Минстроя России №1039/пр от 30.12.2016г.</t>
  </si>
  <si>
    <t>30,1</t>
  </si>
  <si>
    <t>06.1.01.05-0141</t>
  </si>
  <si>
    <t>Кирпич керамический утолщенный пустотелый лицевой, размером 250х120х88 мм, марка 125</t>
  </si>
  <si>
    <t>1000 шт.</t>
  </si>
  <si>
    <t>ФССЦ-2001, 06.1.01.05-0141, приказ Минстроя России №1039/пр от 30.12.2016г.</t>
  </si>
  <si>
    <t>31</t>
  </si>
  <si>
    <t>11-01-036-04</t>
  </si>
  <si>
    <t>Устройство покрытий из линолеума насухо со свариванием полотнищ в стыках</t>
  </si>
  <si>
    <t>ФЕР-2001, 11-01-036-04, приказ Минстроя России №1039/пр от 30.12.2016г.</t>
  </si>
  <si>
    <t>31,1</t>
  </si>
  <si>
    <t>01.7.06.14-0034</t>
  </si>
  <si>
    <t>Лента полимерная (фторопластовая) для сварки линолеума</t>
  </si>
  <si>
    <t>ФССЦ-2001, 01.7.06.14-0034, приказ Минстроя России №1039/пр от 30.12.2016г.</t>
  </si>
  <si>
    <t>31,2</t>
  </si>
  <si>
    <t>01.6.03.04-0116</t>
  </si>
  <si>
    <t>Линолеум коммерческий гомогенный "ТАРКЕТТ iQ GRANIT SAFE.T", антискользящий (толщина 2 мм, класс 34/43, пож. безопасность Г4, В3, РП1, Д2, Т2)</t>
  </si>
  <si>
    <t>ФССЦ-2001, 01.6.03.04-0116, приказ Минстроя России №1039/пр от 30.12.2016г.</t>
  </si>
  <si>
    <t>32</t>
  </si>
  <si>
    <t>11-01-027-03</t>
  </si>
  <si>
    <t>Устройство покрытий на цементном растворе из плиток керамических для полов одноцветных с красителем</t>
  </si>
  <si>
    <t>ФЕР-2001, 11-01-027-03, приказ Минстроя России №1039/пр от 30.12.2016г.</t>
  </si>
  <si>
    <t>32,1</t>
  </si>
  <si>
    <t>14.1.06.02-0044</t>
  </si>
  <si>
    <t>Клей плиточный «Юнис Гранит»</t>
  </si>
  <si>
    <t>ФССЦ-2001, 14.1.06.02-0044, приказ Минстроя России №1039/пр от 30.12.2016г.</t>
  </si>
  <si>
    <t>33</t>
  </si>
  <si>
    <t>11-01-047-01</t>
  </si>
  <si>
    <t>Устройство покрытий из плит керамогранитных размером 40х40 см</t>
  </si>
  <si>
    <t>ФЕР-2001, 11-01-047-01, приказ Минстроя России №1039/пр от 30.12.2016г.</t>
  </si>
  <si>
    <t>34</t>
  </si>
  <si>
    <t>15-02-019-03</t>
  </si>
  <si>
    <t>Сплошное выравнивание внутренних поверхностей (однослойное оштукатуривание) из сухих растворных смесей толщиной до 10 мм стен</t>
  </si>
  <si>
    <t>ФЕР-2001, 15-02-019-03, приказ Минстроя России №1039/пр от 30.12.2016г.</t>
  </si>
  <si>
    <t>34,1</t>
  </si>
  <si>
    <t>04.3.02.12-0002</t>
  </si>
  <si>
    <t>Смесь сухая штукатурная цементно-известково-песчаная "БИРСС 22" (марка М100)</t>
  </si>
  <si>
    <t>ФССЦ-2001, 04.3.02.12-0002, приказ Минстроя России №1039/пр от 30.12.2016г.</t>
  </si>
  <si>
    <t>35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</si>
  <si>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</si>
  <si>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</si>
  <si>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</si>
  <si>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35,1</t>
  </si>
  <si>
    <t>14.4.01.21</t>
  </si>
  <si>
    <t>Грунтовка</t>
  </si>
  <si>
    <t>35,2</t>
  </si>
  <si>
    <t>14.3.01.02-0102</t>
  </si>
  <si>
    <t>Грунтовка: водно-дисперсионная "БИРСС Бетон-контакт"</t>
  </si>
  <si>
    <t>ФССЦ-2001, 14.3.01.02-0102, приказ Минстроя России №1039/пр от 30.12.2016г.</t>
  </si>
  <si>
    <t>36</t>
  </si>
  <si>
    <t>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</si>
  <si>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</si>
  <si>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ФЕР-2001, 15-02-016-03, приказ Минстроя России №1039/пр от 30.12.2016г.</t>
  </si>
  <si>
    <t>36,1</t>
  </si>
  <si>
    <t>04.3.01.12-0111</t>
  </si>
  <si>
    <t>Раствор готовый отделочный тяжелый, цементно-известковый 1:1:6</t>
  </si>
  <si>
    <t>ФССЦ-2001, 04.3.01.12-0111, приказ Минстроя России №1039/пр от 30.12.2016г.</t>
  </si>
  <si>
    <t>36,2</t>
  </si>
  <si>
    <t>Смесь сухая штукатурная цементно-известково-песчаная "БИРСС 15" (марка М100)</t>
  </si>
  <si>
    <t>37</t>
  </si>
  <si>
    <t>15-01-019-01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</si>
  <si>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цементном растворе по кирпичу и бетону</t>
  </si>
  <si>
    <t>ФЕР-2001, 15-01-019-01, приказ Минстроя России №1039/пр от 30.12.2016г.</t>
  </si>
  <si>
    <t>37,1</t>
  </si>
  <si>
    <t>06.2.01.02-0034</t>
  </si>
  <si>
    <t>Плитки керамические глазурованные для внутренней облицовки стен многоцветные,  размер 300х200х7 мм</t>
  </si>
  <si>
    <t>ФССЦ-2001, 06.2.01.02-0034, приказ Минстроя России №1039/пр от 30.12.2016г.</t>
  </si>
  <si>
    <t>38</t>
  </si>
  <si>
    <t>62-16-5</t>
  </si>
  <si>
    <t>Окрашивание водоэмульсионными составами поверхностей стен, ранее окрашенных масляной краской с расчисткой старой краски более 35%</t>
  </si>
  <si>
    <t>ФЕРр-2001, 62-16-5, приказ Минстроя России №1039/пр от 30.12.2016г.</t>
  </si>
  <si>
    <t>38,1</t>
  </si>
  <si>
    <t>14.3.02.01</t>
  </si>
  <si>
    <t>Краска водоэмульсионная</t>
  </si>
  <si>
    <t>38,2</t>
  </si>
  <si>
    <t>14.3.02.01-0014</t>
  </si>
  <si>
    <t>Краска акриловая  водно-дисперсионная(согласно тех. заданию)</t>
  </si>
  <si>
    <t>ФССЦ-2001, 14.3.02.01-0014, приказ Минстроя России №1039/пр от 30.12.2016г.</t>
  </si>
  <si>
    <t>39</t>
  </si>
  <si>
    <t>62-17-4</t>
  </si>
  <si>
    <t>Окрашивание водоэмульсионными составами поверхностей потолков, ранее окрашенных водоэмульсионной краской, с расчисткой старой краски более 35%</t>
  </si>
  <si>
    <t>ФЕРр-2001, 62-17-4, приказ Минстроя России №1039/пр от 30.12.2016г.</t>
  </si>
  <si>
    <t>39,1</t>
  </si>
  <si>
    <t>39,2</t>
  </si>
  <si>
    <t>Краска акриловая  водно-дисперсионная (согласно тех. заданию)</t>
  </si>
  <si>
    <t>40</t>
  </si>
  <si>
    <t>15-06-001-01</t>
  </si>
  <si>
    <t>Оклейка обоями стен по монолитной штукатурке и бетону простыми и средней плотности</t>
  </si>
  <si>
    <t>ФЕР-2001, 15-06-001-01, приказ Минстроя России №1039/пр от 30.12.2016г.</t>
  </si>
  <si>
    <t>40,1</t>
  </si>
  <si>
    <t>01.6.02.02-0002</t>
  </si>
  <si>
    <t>Стеклообои TASSOGLAS, елочка</t>
  </si>
  <si>
    <t>10 м2</t>
  </si>
  <si>
    <t>ФССЦ-2001, 01.6.02.02-0002, приказ Минстроя России №1039/пр от 30.12.2016г.</t>
  </si>
  <si>
    <t>41</t>
  </si>
  <si>
    <t>15-06-004-01</t>
  </si>
  <si>
    <t>Вторая окраска стен, оклееных стеклообоями, красками</t>
  </si>
  <si>
    <t>ФЕР-2001, 15-06-004-01, приказ Минстроя России №1039/пр от 30.12.2016г.</t>
  </si>
  <si>
    <t>41,1</t>
  </si>
  <si>
    <t>14.3.02.01-0126</t>
  </si>
  <si>
    <t>Краска акриловая  для стен и потолков (согласно тех.заданию)</t>
  </si>
  <si>
    <t>ФССЦ-2001, 14.3.02.01-0126, приказ Минстроя России №1039/пр от 30.12.2016г.</t>
  </si>
  <si>
    <t>42</t>
  </si>
  <si>
    <t>15-04-006-01</t>
  </si>
  <si>
    <t>Покрытие поверхностей грунтовкой глубокого проникновения за 1 раз потолков</t>
  </si>
  <si>
    <t>ФЕР-2001, 15-04-006-01, приказ Минстроя России №1039/пр от 30.12.2016г.</t>
  </si>
  <si>
    <t>42,1</t>
  </si>
  <si>
    <t>42,2</t>
  </si>
  <si>
    <t>14.3.01.01-0001</t>
  </si>
  <si>
    <t>Грунтовка: «Бетоконтакт», КНАУФ</t>
  </si>
  <si>
    <t>ФССЦ-2001, 14.3.01.01-0001, приказ Минстроя России №1039/пр от 30.12.2016г.</t>
  </si>
  <si>
    <t>43</t>
  </si>
  <si>
    <t>62-42-1</t>
  </si>
  <si>
    <t>Протравка цементной штукатурки нейтрализующим раствором</t>
  </si>
  <si>
    <t>ФЕР-2001, 62-42-1, приказ Минстроя России №1039/пр от 30.12.2016г.</t>
  </si>
  <si>
    <t>44</t>
  </si>
  <si>
    <t>53-14-1</t>
  </si>
  <si>
    <t>Расшивка швов потолка</t>
  </si>
  <si>
    <t>10 м</t>
  </si>
  <si>
    <t>ФЕР-2001, 53-14-1, приказ Минстроя России №1039/пр от 30.12.2016г.</t>
  </si>
  <si>
    <t>Стены</t>
  </si>
  <si>
    <t>рФЕР-53</t>
  </si>
  <si>
    <t>44,1</t>
  </si>
  <si>
    <t>04.3.01.09</t>
  </si>
  <si>
    <t>Раствор цементный</t>
  </si>
  <si>
    <t>44,2</t>
  </si>
  <si>
    <t>04.3.02.13-0103</t>
  </si>
  <si>
    <t>Смесь сухая штукатурная цементно-песчаная "БИРСС 11" (марка М150), бездобавочная</t>
  </si>
  <si>
    <t>ФССЦ-2001, 04.3.02.13-0103, приказ Минстроя России №1039/пр от 30.12.2016г.</t>
  </si>
  <si>
    <t>45</t>
  </si>
  <si>
    <t>15-04-030-4</t>
  </si>
  <si>
    <t>100 м2 окрашиваемой поверхности</t>
  </si>
  <si>
    <t>ФЕР-2001, 15-04-030-4, приказ Минстроя России №899/пр от 11.12.2015 г.</t>
  </si>
  <si>
    <t>46</t>
  </si>
  <si>
    <t>69-15-1</t>
  </si>
  <si>
    <t>Затаривание строительного мусора в мешки</t>
  </si>
  <si>
    <t>ФЕР-2001, 69-15-1, приказ Минстроя России №1039/пр от 30.12.2016г.</t>
  </si>
  <si>
    <t>Прочие ремонтно-строительные работы</t>
  </si>
  <si>
    <t>рФЕР-69</t>
  </si>
  <si>
    <t>47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</si>
  <si>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</si>
  <si>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</si>
  <si>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</si>
  <si>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</si>
  <si>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</si>
  <si>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</si>
  <si>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</si>
  <si>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48</t>
  </si>
  <si>
    <t>т03-01-01-070</t>
  </si>
  <si>
    <t>Перевозка грузов I класса автомобилями бортовыми грузоподъемностью до 15 т на расстояние до 70 км</t>
  </si>
  <si>
    <t>ФССЦпг-2001, т03-01-01-070,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</si>
  <si>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</si>
  <si>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</si>
  <si>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</si>
  <si>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</si>
  <si>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</si>
  <si>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</si>
  <si>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</si>
  <si>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</si>
  <si>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</si>
  <si>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</si>
  <si>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</si>
  <si>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</si>
  <si>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</si>
  <si>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</si>
  <si>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</si>
  <si>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</si>
  <si>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</si>
  <si>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</si>
  <si>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</si>
  <si>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</si>
  <si>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</si>
  <si>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</si>
  <si>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</si>
  <si>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</si>
  <si>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</si>
  <si>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</si>
  <si>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</si>
  <si>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</si>
  <si>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</si>
  <si>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</si>
  <si>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</si>
  <si>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</si>
  <si>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</si>
  <si>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</si>
  <si>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</si>
  <si>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</si>
  <si>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</si>
  <si>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</si>
  <si>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</si>
  <si>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</si>
  <si>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</si>
  <si>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</si>
  <si>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</si>
  <si>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</si>
  <si>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</si>
  <si>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</si>
  <si>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</si>
  <si>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</si>
  <si>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</si>
  <si>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</si>
  <si>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</si>
  <si>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</si>
  <si>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</si>
  <si>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</si>
  <si>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</si>
  <si>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 1</t>
  </si>
  <si>
    <t>Итого2</t>
  </si>
  <si>
    <t>Итого НДС 18%</t>
  </si>
  <si>
    <t>Итого 3</t>
  </si>
  <si>
    <t>Всего по смете</t>
  </si>
  <si>
    <t>Система электроснабжения</t>
  </si>
  <si>
    <t>49</t>
  </si>
  <si>
    <t>м08-02-370-02</t>
  </si>
  <si>
    <t>Демонтаж  электрощитов  на модулей</t>
  </si>
  <si>
    <t>ФЕРм-2001, м08-02-370-02, приказ Минстроя России №1039/пр от 30.12.2016г.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</si>
  <si>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</si>
  <si>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</si>
  <si>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</si>
  <si>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</si>
  <si>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МДС 81-37.2004, п.3.2.1.4</t>
  </si>
  <si>
    <t>50</t>
  </si>
  <si>
    <t>67-4-6</t>
  </si>
  <si>
    <t>Демонтаж электросчетчиков</t>
  </si>
  <si>
    <t>ФЕР-2001, 67-4-6, приказ Минстроя России №1039/пр от 30.12.2016г.</t>
  </si>
  <si>
    <t>Электромонтажные работы</t>
  </si>
  <si>
    <t>рФЕР-67</t>
  </si>
  <si>
    <t>51</t>
  </si>
  <si>
    <t>67-4-1</t>
  </si>
  <si>
    <t>Демонтаж выключателей, розеток</t>
  </si>
  <si>
    <t>ФЕР-2001, 67-4-1, приказ Минстроя России №1039/пр от 30.12.2016г.</t>
  </si>
  <si>
    <t>52</t>
  </si>
  <si>
    <t>м08-03-526-01</t>
  </si>
  <si>
    <t>Демонтаж автоматов 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</si>
  <si>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</si>
  <si>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53</t>
  </si>
  <si>
    <t>м10-01-053-01</t>
  </si>
  <si>
    <t>Демонтаж  кабеля или провода питания на провододержателях сечением 6 мм2</t>
  </si>
  <si>
    <t>ФЕРм-2001, м10-01-053-01, приказ Минстроя России №1039/пр от 30.12.2016г.</t>
  </si>
  <si>
    <t>Связь:  городская, местная, междугородняя проводная телефонная связь ( отделы 1, 2, 3 ) - ( при уст-ве средств посадки самолетов:  {AВИА}=1 - НР=95%, СП=55% )</t>
  </si>
  <si>
    <t>мФЕР-10</t>
  </si>
  <si>
    <t>54</t>
  </si>
  <si>
    <t>м10-04-066-05</t>
  </si>
  <si>
    <t>Демонтаж звонков</t>
  </si>
  <si>
    <t>ФЕРм-2001, м10-04-066-05, приказ Минстроя России №1039/пр от 30.12.2016г.</t>
  </si>
  <si>
    <t>Связь:  монтаж теле- радио оборудования ( отдел 4 и 5 )  - (при устройстве средств посадки самолетов : НР=95%, СП=55% - {АВИА}=1)</t>
  </si>
  <si>
    <t>55</t>
  </si>
  <si>
    <t>67-3-1</t>
  </si>
  <si>
    <t>Демонтаж кабеля</t>
  </si>
  <si>
    <t>ФЕР-2001, 67-3-1, приказ Минстроя России №1039/пр от 30.12.2016г.</t>
  </si>
  <si>
    <t>56</t>
  </si>
  <si>
    <t>67-4-3</t>
  </si>
  <si>
    <t>Демонтаж светильников с лампами накаливания</t>
  </si>
  <si>
    <t>ФЕР-2001, 67-4-3, приказ Минстроя России №1039/пр от 30.12.2016г.</t>
  </si>
  <si>
    <t>57</t>
  </si>
  <si>
    <t>67-4-5</t>
  </si>
  <si>
    <t>Демонтаж светильников для люминесцентных ламп</t>
  </si>
  <si>
    <t>ФЕР-2001, 67-4-5, приказ Минстроя России №1039/пр от 30.12.2016г.</t>
  </si>
  <si>
    <t>58</t>
  </si>
  <si>
    <t>м08-03-594-07</t>
  </si>
  <si>
    <t>Установка светильников  отдельно устанавливаемых на подвесах (штангах) с количеством ламп в светильнике 2</t>
  </si>
  <si>
    <t>ФЕРм-2001, м08-03-594-07, приказ Минстроя России №1039/пр от 30.12.2016г.</t>
  </si>
  <si>
    <t>58,1</t>
  </si>
  <si>
    <t>20.3.03.04-0161</t>
  </si>
  <si>
    <t>Светильники внутреннего освещения с люминесцентными лампами пылевлагозащитные Svetresurs 343-502-02</t>
  </si>
  <si>
    <t>ФССЦ-2001, 20.3.03.04-0161, приказ Минстроя России №1039/пр от 30.12.2016г.</t>
  </si>
  <si>
    <t>58,2</t>
  </si>
  <si>
    <t>20.3.03.04-0072</t>
  </si>
  <si>
    <t>Светильник ЛСП 3902 2х36Вт IP65</t>
  </si>
  <si>
    <t>ФССЦ-2001, 20.3.03.04-0072, приказ Минстроя России №1039/пр от 30.12.2016г.</t>
  </si>
  <si>
    <t>59</t>
  </si>
  <si>
    <t>м08-03-594-08</t>
  </si>
  <si>
    <t>Установка светильников  отдельно устанавливаемых на подвесах (штангах) с количеством ламп в светильнике до 4</t>
  </si>
  <si>
    <t>ФЕРм-2001, м08-03-594-08, приказ Минстроя России №1039/пр от 30.12.2016г.</t>
  </si>
  <si>
    <t>59,1</t>
  </si>
  <si>
    <t>20.3.03.04-0397</t>
  </si>
  <si>
    <t>Светильники люминесцентные с опаловым рассеивателем потолочные типа OPL/S 418 с ЭМПРА</t>
  </si>
  <si>
    <t>ФССЦ-2001, 20.3.03.04-0397, приказ Минстроя России №1039/пр от 30.12.2016г.</t>
  </si>
  <si>
    <t>60</t>
  </si>
  <si>
    <t>м08-03-593-10</t>
  </si>
  <si>
    <t>Установка световых настенных указателей</t>
  </si>
  <si>
    <t>ФЕРм-2001, м08-03-593-10, приказ Минстроя России №1039/пр от 30.12.2016г.</t>
  </si>
  <si>
    <t>60,1</t>
  </si>
  <si>
    <t>20.3.04.07-0006</t>
  </si>
  <si>
    <t>Указатель световой со светодиодами и аккумулятором, тип ДБО 02-1-005</t>
  </si>
  <si>
    <t>ФССЦ-2001, 20.3.04.07-0006, приказ Минстроя России №1039/пр от 30.12.2016г.</t>
  </si>
  <si>
    <t>61</t>
  </si>
  <si>
    <t>м08-03-591-08</t>
  </si>
  <si>
    <t>Установка розеток штепсельных неутопленного типа при открытой проводке</t>
  </si>
  <si>
    <t>ФЕРм-2001, м08-03-591-08, приказ Минстроя России №1039/пр от 30.12.2016г.</t>
  </si>
  <si>
    <t>61,1</t>
  </si>
  <si>
    <t>20.4.03.05-0003</t>
  </si>
  <si>
    <t>Розетка открытой проводки двухгнездная с заземлением 16 А IP44</t>
  </si>
  <si>
    <t>ФССЦ-2001, 20.4.03.05-0003, приказ Минстроя России №1039/пр от 30.12.2016г.</t>
  </si>
  <si>
    <t>61,2</t>
  </si>
  <si>
    <t>20.4.03.05-0001</t>
  </si>
  <si>
    <t>Розетка открытой проводки IP21</t>
  </si>
  <si>
    <t>ФССЦ-2001, 20.4.03.05-0001, приказ Минстроя России №1039/пр от 30.12.2016г.</t>
  </si>
  <si>
    <t>61,3</t>
  </si>
  <si>
    <t>20.4.03.04-0005</t>
  </si>
  <si>
    <t>Розетка  трехфазная 3P+PE+N, 32А, 380, IP44</t>
  </si>
  <si>
    <t>ФССЦ-2001, 20.4.03.04-0005, приказ Минстроя России №1039/пр от 30.12.2016г.</t>
  </si>
  <si>
    <t>62</t>
  </si>
  <si>
    <t>м08-02-390-01</t>
  </si>
  <si>
    <t>Прокладка короба пластмассового  шириной до 40 мм</t>
  </si>
  <si>
    <t>ФЕРм-2001, м08-02-390-01, приказ Минстроя России №1039/пр от 30.12.2016г.</t>
  </si>
  <si>
    <t>62,1</t>
  </si>
  <si>
    <t>20.2.05.04-0024</t>
  </si>
  <si>
    <t>Кабель-канал (короб) "Электропласт" 20x12,5 мм</t>
  </si>
  <si>
    <t>ФССЦ-2001, 20.2.05.04-0024, приказ Минстроя России №1039/пр от 30.12.2016г.</t>
  </si>
  <si>
    <t>62,2</t>
  </si>
  <si>
    <t>20.2.05.04-0028</t>
  </si>
  <si>
    <t>Кабель-канал (короб) "Электропласт" 40x25 мм</t>
  </si>
  <si>
    <t>ФССЦ-2001, 20.2.05.04-0028, приказ Минстроя России №1039/пр от 30.12.2016г.</t>
  </si>
  <si>
    <t>63</t>
  </si>
  <si>
    <t>69-2-1</t>
  </si>
  <si>
    <t>Сверление отверстий в кирпичных стенах электроперфоратором диаметром до 50 мм, толщина стен  400мм</t>
  </si>
  <si>
    <t>ФЕР-2001, 69-2-1, приказ Минстроя России №1039/пр от 30.12.2016г.</t>
  </si>
  <si>
    <t>64</t>
  </si>
  <si>
    <t>м08-02-410-01</t>
  </si>
  <si>
    <t>Прокладка  гильз из труб полиэтиленовых , диаметр до 25 мм</t>
  </si>
  <si>
    <t>ФЕРм-2001, м08-02-410-01, приказ Минстроя России №1039/пр от 30.12.2016г.</t>
  </si>
  <si>
    <t>64,1</t>
  </si>
  <si>
    <t>20.5.01.01-0001</t>
  </si>
  <si>
    <t>Гильзы  для прокладки кабеля  диаметром 25-27 мм</t>
  </si>
  <si>
    <t>ФССЦ-2001, 20.5.01.01-0001, приказ Минстроя России №1039/пр от 30.12.2016г.</t>
  </si>
  <si>
    <t>65</t>
  </si>
  <si>
    <t>м08-02-410-02</t>
  </si>
  <si>
    <t>Прокладка  гильз из труб полиэтиленовых , диаметр до 50 мм</t>
  </si>
  <si>
    <t>ФЕРм-2001, м08-02-410-02, приказ Минстроя России №1039/пр от 30.12.2016г.</t>
  </si>
  <si>
    <t>65,1</t>
  </si>
  <si>
    <t>20.5.01.01-0007</t>
  </si>
  <si>
    <t>Гильзы  для  прокладки  кабеля  диаметром 47-50 мм</t>
  </si>
  <si>
    <t>ФССЦ-2001, 20.5.01.01-0007, приказ Минстроя России №1039/пр от 30.12.2016г.</t>
  </si>
  <si>
    <t>66</t>
  </si>
  <si>
    <t>м10-08-019-01</t>
  </si>
  <si>
    <t>Установка коробок ответвительная на стене</t>
  </si>
  <si>
    <t>ФЕРм-2001, м10-08-019-01,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</si>
  <si>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</si>
  <si>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66,1</t>
  </si>
  <si>
    <t>20.5.02.04-0008</t>
  </si>
  <si>
    <t>Коробка ответвительная с кабельными вводами (6 выводов диаметром 20 мм), размером 80х80х40 мм, цвет серый</t>
  </si>
  <si>
    <t>10 шт.</t>
  </si>
  <si>
    <t>ФССЦ-2001, 20.5.02.04-0008, приказ Минстроя России №1039/пр от 30.12.2016г.</t>
  </si>
  <si>
    <t>67</t>
  </si>
  <si>
    <t>м08-02-399-02</t>
  </si>
  <si>
    <t>Прокладка кабеля в коробах, сечением до 35 мм2</t>
  </si>
  <si>
    <t>ФЕРм-2001, м08-02-399-02, приказ Минстроя России №1039/пр от 30.12.2016г.</t>
  </si>
  <si>
    <t>67,1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</si>
  <si>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</si>
  <si>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</si>
  <si>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1000 м</t>
  </si>
  <si>
    <t>ФССЦ-2001, 21.1.06.09-0152, приказ Минстроя России №1039/пр от 30.12.2016г.</t>
  </si>
  <si>
    <t>1000 М</t>
  </si>
  <si>
    <t>67,2</t>
  </si>
  <si>
    <t>21.1.06.09-0154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</si>
  <si>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6 мм2</t>
  </si>
  <si>
    <t>ФССЦ-2001, 21.1.06.09-0154, приказ Минстроя России №1039/пр от 30.12.2016г.</t>
  </si>
  <si>
    <t>67,3</t>
  </si>
  <si>
    <t>21.1.06.09-0155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</si>
  <si>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10 мм2</t>
  </si>
  <si>
    <t>ФССЦ-2001, 21.1.06.09-0155, приказ Минстроя России №1039/пр от 30.12.2016г.</t>
  </si>
  <si>
    <t>68</t>
  </si>
  <si>
    <t>м08-02-399-01</t>
  </si>
  <si>
    <t>Прокладка  кабеля  в коробах, сечением до 6 мм2</t>
  </si>
  <si>
    <t>ФЕРм-2001, м08-02-399-01, приказ Минстроя России №1039/пр от 30.12.2016г.</t>
  </si>
  <si>
    <t>68,1</t>
  </si>
  <si>
    <t>21.1.06.09-0151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</si>
  <si>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t>
  </si>
  <si>
    <t>ФССЦ-2001, 21.1.06.09-0151, приказ Минстроя России №1039/пр от 30.12.2016г.</t>
  </si>
  <si>
    <t>69</t>
  </si>
  <si>
    <t>м08-03-591-01</t>
  </si>
  <si>
    <t>Установка  выключателей одноклавишных неутопленного типа при открытой проводке</t>
  </si>
  <si>
    <t>ФЕРм-2001, м08-03-591-01, приказ Минстроя России №1039/пр от 30.12.2016г.</t>
  </si>
  <si>
    <t>69,1</t>
  </si>
  <si>
    <t>20.4.01.01-0041</t>
  </si>
  <si>
    <t>Выключатель одноклавишный для открытой проводки серии "Прима", марка А16-046-с с подсветкой, цвет бежевый</t>
  </si>
  <si>
    <t>ФССЦ-2001, 20.4.01.01-0041, приказ Минстроя России №1039/пр от 30.12.2016г.</t>
  </si>
  <si>
    <t>70</t>
  </si>
  <si>
    <t>Установка щитков  до трех групп, устанавливаемый в нише цоколя (Бокс )</t>
  </si>
  <si>
    <t>70,1</t>
  </si>
  <si>
    <t>22.1.01.01-0013</t>
  </si>
  <si>
    <t>Бокс встраиваемый пластиковый с прозрачной дверцей на 24 модуля, размером 300х395х90 мм АВВ Unibox</t>
  </si>
  <si>
    <t>ФССЦ-2001, 22.1.01.01-0013, приказ Минстроя России №1039/пр от 30.12.2016г.</t>
  </si>
  <si>
    <t>71</t>
  </si>
  <si>
    <t>Установка автоматов  одно-, двух-, трехполюсных, устанавливаемый на конструкции на стене или колонне, на ток до 25 А</t>
  </si>
  <si>
    <t>71,1</t>
  </si>
  <si>
    <t>62.1.01.09-0050</t>
  </si>
  <si>
    <t>Выключатели автоматические  АВВ 1Р 16А</t>
  </si>
  <si>
    <t>ФССЦ-2001, 62.1.01.09-0050, приказ Минстроя России №1039/пр от 30.12.2016г.</t>
  </si>
  <si>
    <t>71,2</t>
  </si>
  <si>
    <t>62.1.01.09-0049</t>
  </si>
  <si>
    <t>Выключатели автоматические  АВВ 1Р 10А</t>
  </si>
  <si>
    <t>ФССЦ-2001, 62.1.01.09-0049, приказ Минстроя России №1039/пр от 30.12.2016г.</t>
  </si>
  <si>
    <t>71,3</t>
  </si>
  <si>
    <t>62.1.01.02-0017</t>
  </si>
  <si>
    <t>Выключатели автоматические дифференциального тока АВВ DS941 1P+N 16А 30мА</t>
  </si>
  <si>
    <t>ФССЦ-2001, 62.1.01.02-0017, приказ Минстроя России №1039/пр от 30.12.2016г.</t>
  </si>
  <si>
    <t>72</t>
  </si>
  <si>
    <t>м08-03-526-02</t>
  </si>
  <si>
    <t>Установка автоматов  одно-, двух-, трехполюсных, устанавливаемый на конструкции на стене или колонне, на ток до 100 А</t>
  </si>
  <si>
    <t>ФЕРм-2001, м08-03-526-02, приказ Минстроя России №1039/пр от 30.12.2016г.</t>
  </si>
  <si>
    <t>72,1</t>
  </si>
  <si>
    <t>62.1.01.09-0052</t>
  </si>
  <si>
    <t>Выключатели автоматические  АВВ 1Р 32А</t>
  </si>
  <si>
    <t>ФССЦ-2001, 62.1.01.09-0052, приказ Минстроя России №1039/пр от 30.12.2016г.</t>
  </si>
  <si>
    <t>73</t>
  </si>
  <si>
    <t>м08-01-080-03</t>
  </si>
  <si>
    <t>Установка счетчика учета электроэнергии</t>
  </si>
  <si>
    <t>ФЕРм-2001, м08-01-080-03, приказ Минстроя России №1039/пр от 30.12.2016г.</t>
  </si>
  <si>
    <t>73,1</t>
  </si>
  <si>
    <t>62.5.01.04-0014</t>
  </si>
  <si>
    <t>Счетчик электрической энергии электронный, однофазный Меркурий 201.02, 5(60)А</t>
  </si>
  <si>
    <t>ФССЦ-2001, 62.5.01.04-0014, приказ Минстроя России №1039/пр от 30.12.2016г.</t>
  </si>
  <si>
    <t>74</t>
  </si>
  <si>
    <t>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</si>
  <si>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</si>
  <si>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ФЕРп-2001, п01-11-028-01, приказ Минстроя России №1039/пр от 30.12.2016г.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</si>
  <si>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</si>
  <si>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</si>
  <si>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</si>
  <si>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75</t>
  </si>
  <si>
    <t>п01-11-011-01</t>
  </si>
  <si>
    <t>Проверка наличия цепи между заземлителями и заземленными элементами</t>
  </si>
  <si>
    <t>100 измерений</t>
  </si>
  <si>
    <t>ФЕРп-2001, п01-11-011-01, приказ Минстроя России №1039/пр от 30.12.2016г.</t>
  </si>
  <si>
    <t>76</t>
  </si>
  <si>
    <t>п01-11-013-01</t>
  </si>
  <si>
    <t>Замер полного сопротивления цепи "фаза-нуль"</t>
  </si>
  <si>
    <t>ФЕРп-2001, п01-11-013-01, приказ Минстроя России №1039/пр от 30.12.2016г.</t>
  </si>
  <si>
    <t>77</t>
  </si>
  <si>
    <t>п01-03-001-01</t>
  </si>
  <si>
    <t>Выключатель однополюсный напряжением до 1 кВ с электромагнитным, тепловым или комбинированным расцепителем</t>
  </si>
  <si>
    <t>ФЕРп-2001, п01-03-001-01, приказ Минстроя России №1039/пр от 30.12.2016г.</t>
  </si>
  <si>
    <t>Отопление и вентиляция</t>
  </si>
  <si>
    <t>78</t>
  </si>
  <si>
    <t>65-1-1</t>
  </si>
  <si>
    <t>Разборка трубопроводов из водогазопроводных труб диаметром до 32 мм</t>
  </si>
  <si>
    <t>ФЕР-2001, 65-1-1, приказ Минстроя России №1039/пр от 30.12.2016г.</t>
  </si>
  <si>
    <t>Внтуренниие с/техработы:  демонтаж, разборка, промывка</t>
  </si>
  <si>
    <t>рФЕР-65</t>
  </si>
  <si>
    <t>79</t>
  </si>
  <si>
    <t>Прокладка гильз из трубы ПНД, диаметр до 50 мм (40 мм)</t>
  </si>
  <si>
    <t>79,1</t>
  </si>
  <si>
    <t>24.3.03.13-0305</t>
  </si>
  <si>
    <t>Трубы гладкие одностенные легкие из ПНД, диаметром 40 мм</t>
  </si>
  <si>
    <t>ФССЦ-2001, 24.3.03.13-0305, приказ Минстроя России №1039/пр от 30.12.2016г.</t>
  </si>
  <si>
    <t>80</t>
  </si>
  <si>
    <t>65-19-5</t>
  </si>
  <si>
    <t>Демонтаж конвекторов</t>
  </si>
  <si>
    <t>100 экм</t>
  </si>
  <si>
    <t>ФЕР-2001, 65-19-5, приказ Минстроя России №1039/пр от 30.12.2016г.</t>
  </si>
  <si>
    <t>81</t>
  </si>
  <si>
    <t>16-02-001-03</t>
  </si>
  <si>
    <t>Прокладка трубопроводов отопления из стальных водогазопроводных неоцинкованных труб диаметром 25 мм</t>
  </si>
  <si>
    <t>ФЕР-2001, 16-02-001-03, приказ Минстроя России №1039/пр от 30.12.2016г.</t>
  </si>
  <si>
    <t>Трубопроводы внутренние</t>
  </si>
  <si>
    <t>ФЕР-16</t>
  </si>
  <si>
    <t>81,1</t>
  </si>
  <si>
    <t>23.1.02.06-0004</t>
  </si>
  <si>
    <t>Хомут металлический с одним стопорным винтом и резиновым профилем для крепления трубопроводов диаметром 25-28 мм</t>
  </si>
  <si>
    <t>ФССЦ-2001, 23.1.02.06-0004, приказ Минстроя России №1039/пр от 30.12.2016г.</t>
  </si>
  <si>
    <t>81,2</t>
  </si>
  <si>
    <t>23.7.01.03-0003</t>
  </si>
  <si>
    <t>Трубопроводы из стальных водогазопроводных неоцинкованных труб с гильзами и креплениями для газоснабжения диаметром 25 мм</t>
  </si>
  <si>
    <t>ФССЦ-2001, 23.7.01.03-0003, приказ Минстроя России №1039/пр от 30.12.2016г.</t>
  </si>
  <si>
    <t>81,3</t>
  </si>
  <si>
    <t>23.7.01.07</t>
  </si>
  <si>
    <t>Трубопроводы с гильзами</t>
  </si>
  <si>
    <t>занесена вручную</t>
  </si>
  <si>
    <t>82</t>
  </si>
  <si>
    <t>16-02-001-02</t>
  </si>
  <si>
    <t>Прокладка трубопроводов отопления из стальных водогазопроводных неоцинкованных труб диаметром 20 мм</t>
  </si>
  <si>
    <t>ФЕР-2001, 16-02-001-02, приказ Минстроя России №1039/пр от 30.12.2016г.</t>
  </si>
  <si>
    <t>82,1</t>
  </si>
  <si>
    <t>23.7.01.03-0002</t>
  </si>
  <si>
    <t>Трубопроводы из стальных водогазопроводных неоцинкованных труб с гильзами и креплениями для газоснабжения диаметром 20 мм</t>
  </si>
  <si>
    <t>ФССЦ-2001, 23.7.01.03-0002, приказ Минстроя России №1039/пр от 30.12.2016г.</t>
  </si>
  <si>
    <t>82,2</t>
  </si>
  <si>
    <t>23.1.02.06-0003</t>
  </si>
  <si>
    <t>Хомут металлический с одним стопорным винтом и резиновым профилем для крепления трубопроводов диаметром 20-23 мм</t>
  </si>
  <si>
    <t>ФССЦ-2001, 23.1.02.06-0003, приказ Минстроя России №1039/пр от 30.12.2016г.</t>
  </si>
  <si>
    <t>82,3</t>
  </si>
  <si>
    <t>83</t>
  </si>
  <si>
    <t>65-33-1</t>
  </si>
  <si>
    <t>Смена жалюзийных решеток</t>
  </si>
  <si>
    <t>ФЕР-2001, 65-33-1, приказ Минстроя России №1039/пр от 30.12.2016г.</t>
  </si>
  <si>
    <t>Внтуренниие с/техработы: смена труб</t>
  </si>
  <si>
    <t>83,1</t>
  </si>
  <si>
    <t>19.2.03.02-0177</t>
  </si>
  <si>
    <t>Решетки жалюзийные регулируемые из алюминиевого профиля с порошковым покрытием марки Р-200, размером 200х200 мм</t>
  </si>
  <si>
    <t>ФССЦ-2001, 19.2.03.02-0177, приказ Минстроя России №1039/пр от 30.12.2016г.</t>
  </si>
  <si>
    <t>84</t>
  </si>
  <si>
    <t>18-03-001-02</t>
  </si>
  <si>
    <t>Установка радиаторов стальных</t>
  </si>
  <si>
    <t>100 квт</t>
  </si>
  <si>
    <t>ФЕР-2001, 18-03-001-02, приказ Минстроя России №1039/пр от 30.12.2016г.</t>
  </si>
  <si>
    <t>Отопление - внутренние устройства</t>
  </si>
  <si>
    <t>ФЕР-18</t>
  </si>
  <si>
    <t>84,1</t>
  </si>
  <si>
    <t>18.5.10.05-0008</t>
  </si>
  <si>
    <t>Радиаторы биметаллические, марка «Rifar-A 500», количество секций 10, мощность 1650 Вт</t>
  </si>
  <si>
    <t>ФССЦ-2001, 18.5.10.05-0008, приказ Минстроя России №1039/пр от 30.12.2016г.</t>
  </si>
  <si>
    <t>84,2</t>
  </si>
  <si>
    <t>18.5.10.05-0006</t>
  </si>
  <si>
    <t>Радиаторы биметаллические, марка «Rifar-A 500», количество секций 8, мощность 1320 Вт</t>
  </si>
  <si>
    <t>ФССЦ-2001, 18.5.10.05-0006, приказ Минстроя России №1039/пр от 30.12.2016г.</t>
  </si>
  <si>
    <t>84,3</t>
  </si>
  <si>
    <t>18.5.10.05-0002</t>
  </si>
  <si>
    <t>Радиаторы биметаллические, марка «Rifar-A 300», количество секций 4, мощность 660 Вт</t>
  </si>
  <si>
    <t>ФССЦ-2001, 18.5.10.05-0002, приказ Минстроя России №1039/пр от 30.12.2016г.</t>
  </si>
  <si>
    <t>84,4</t>
  </si>
  <si>
    <t>01.7.15.07</t>
  </si>
  <si>
    <t>Дюбели распорные полиэтиленовые</t>
  </si>
  <si>
    <t>84,5</t>
  </si>
  <si>
    <t>01.7.15.07-0008</t>
  </si>
  <si>
    <t>Дюбели пластмассовые с шурупами 8х40 мм</t>
  </si>
  <si>
    <t>ФССЦ-2001, 01.7.15.07-0008, приказ Минстроя России №1039/пр от 30.12.2016г.</t>
  </si>
  <si>
    <t>84,6</t>
  </si>
  <si>
    <t>18.5.10.06</t>
  </si>
  <si>
    <t>Радиаторы</t>
  </si>
  <si>
    <t>квт</t>
  </si>
  <si>
    <t>85</t>
  </si>
  <si>
    <t>16-05-001-01</t>
  </si>
  <si>
    <t>Установка вентилей, задвижек, затворов, клапанов , кранов проходных на трубопроводах из стальных труб диаметром до 25 мм</t>
  </si>
  <si>
    <t>ФЕР-2001, 16-05-001-01, приказ Минстроя России №1039/пр от 30.12.2016г.</t>
  </si>
  <si>
    <t>85,1</t>
  </si>
  <si>
    <t>18.1.09.07-0207</t>
  </si>
  <si>
    <t>Краны шаровые под приварку "Danfoss" JiP-WW с рукояткой, давлением 4,0 МПа (40 кгс/см2), диаметром 20 мм</t>
  </si>
  <si>
    <t>ФССЦ-2001, 18.1.09.07-0207, приказ Минстроя России №1039/пр от 30.12.2016г.</t>
  </si>
  <si>
    <t>85,2</t>
  </si>
  <si>
    <t>18.1.10.06-0013</t>
  </si>
  <si>
    <t>Клапан термостатический из цветных металлов (без головки) для установки на радиатор, давлением 1,0 МПа (10 кгс/см2), диаметром 20 мм марка RA-N</t>
  </si>
  <si>
    <t>ФССЦ-2001, 18.1.10.06-0013, приказ Минстроя России №1039/пр от 30.12.2016г.</t>
  </si>
  <si>
    <t>85,3</t>
  </si>
  <si>
    <t>18.5.10.08-0002</t>
  </si>
  <si>
    <t>Головка термостатическая со встроенным датчиком для автоматического регулирования расхода теплоносителя через отопительный прибор , марка RA 2940</t>
  </si>
  <si>
    <t>ФССЦ-2001, 18.5.10.08-0002, приказ Минстроя России №1039/пр от 30.12.2016г.</t>
  </si>
  <si>
    <t>86</t>
  </si>
  <si>
    <t>18-06-003-10</t>
  </si>
  <si>
    <t>Установка воздухоотводчиков</t>
  </si>
  <si>
    <t>ФЕР-2001, 18-06-003-10, приказ Минстроя России №1039/пр от 30.12.2016г.</t>
  </si>
  <si>
    <t>86,1</t>
  </si>
  <si>
    <t>19.1.02.01-0011</t>
  </si>
  <si>
    <t>Воздухоотводчик автоматический с наружным резьбовым присоединением Рр=1,0 МПа, Т max = 120 град С, D = 15 мм</t>
  </si>
  <si>
    <t>ФССЦ-2001, 19.1.02.01-0011, приказ Минстроя России №1039/пр от 30.12.2016г.</t>
  </si>
  <si>
    <t>87</t>
  </si>
  <si>
    <t>16-07-003-03</t>
  </si>
  <si>
    <t>Врезка в действующие внутренние сети трубопроводов отопления и водоснабжения диаметром 25 мм</t>
  </si>
  <si>
    <t>ФЕР-2001, 16-07-003-03, приказ Минстроя России №1039/пр от 30.12.2016г.</t>
  </si>
  <si>
    <t>88</t>
  </si>
  <si>
    <t>16-07-005-01</t>
  </si>
  <si>
    <t>Гидравлическое испытание трубопроводов систем отопления, водопровода и горячего водоснабжения диаметром до 50 мм</t>
  </si>
  <si>
    <t>ФЕР-2001, 16-07-005-01, приказ Минстроя России №1039/пр от 30.12.2016г.</t>
  </si>
  <si>
    <t>89</t>
  </si>
  <si>
    <t>20-01-001-01</t>
  </si>
  <si>
    <t>Прокладка воздуховодов из листовой, оцинкованной стали и алюминия класса Н (нормальные) толщиной 0,5 мм, диаметром до 200 мм</t>
  </si>
  <si>
    <t>ФЕР-2001, 20-01-001-01, приказ Минстроя России №1039/пр от 30.12.2016г.</t>
  </si>
  <si>
    <t>Вентиляция и кондиционирование</t>
  </si>
  <si>
    <t>ФЕР-20</t>
  </si>
  <si>
    <t>89,1</t>
  </si>
  <si>
    <t>19.1.01.01-0021</t>
  </si>
  <si>
    <t>Воздуховоды типа ALUDUCT (POLAR BEAR) неизолированные  диаметром 125 мм</t>
  </si>
  <si>
    <t>ФССЦ-2001, 19.1.01.01-0021, приказ Минстроя России №1039/пр от 30.12.2016г.</t>
  </si>
  <si>
    <t>90</t>
  </si>
  <si>
    <t>20-02-012-01</t>
  </si>
  <si>
    <t>Установка дефлекторов диаметром патрубка 280 мм</t>
  </si>
  <si>
    <t>ФЕР-2001, 20-02-012-01, приказ Минстроя России №1039/пр от 30.12.2016г.</t>
  </si>
  <si>
    <t>90,1</t>
  </si>
  <si>
    <t>19.1.04.01-0002</t>
  </si>
  <si>
    <t>Дефлекторы вытяжные цилиндрические из листовой грунтованной или оцинкованной стали, серия 5.904-51, диаметр патрубка 125 мм</t>
  </si>
  <si>
    <t>ФССЦ-2001, 19.1.04.01-0002, приказ Минстроя России №1039/пр от 30.12.2016г.</t>
  </si>
  <si>
    <t>91</t>
  </si>
  <si>
    <t>20-03-002-03</t>
  </si>
  <si>
    <t>Установка вентиляторов осевых массой до 0,1 т</t>
  </si>
  <si>
    <t>ФЕР-2001, 20-03-002-03, приказ Минстроя России №1039/пр от 30.12.2016г.</t>
  </si>
  <si>
    <t>91,1</t>
  </si>
  <si>
    <t>64.1.02.01-0011</t>
  </si>
  <si>
    <t>Вентиляторы канальные "Systemair" для круглых воздуховодов KV 125 XL, с консолью М125 и двумя муфтами F125, производительность 352 м3/час</t>
  </si>
  <si>
    <t>ФССЦ-2001, 64.1.02.01-0011, приказ Минстроя России №1039/пр от 30.12.2016г.</t>
  </si>
  <si>
    <t>92</t>
  </si>
  <si>
    <t>м10-08-019-04</t>
  </si>
  <si>
    <t>Реле времени программное, ТЭ -15</t>
  </si>
  <si>
    <t>ФЕРм-2001, м10-08-019-04, приказ Минстроя России №1039/пр от 30.12.2016г.</t>
  </si>
  <si>
    <t>92,1</t>
  </si>
  <si>
    <t>62.1.04.02-0003</t>
  </si>
  <si>
    <t>Реле времени ВЛ-56</t>
  </si>
  <si>
    <t>ФССЦ-2001, 62.1.04.02-0003, приказ Минстроя России №1039/пр от 30.12.2016г.</t>
  </si>
  <si>
    <t>Внутренняя система канализации</t>
  </si>
  <si>
    <t>93</t>
  </si>
  <si>
    <t>65-2-1</t>
  </si>
  <si>
    <t>Разборка трубопроводов из чугунных канализационных труб диаметром 50 мм</t>
  </si>
  <si>
    <t>ФЕР-2001, 65-2-1, приказ Минстроя России №1039/пр от 30.12.2016г.</t>
  </si>
  <si>
    <t>94</t>
  </si>
  <si>
    <t>65-2-2</t>
  </si>
  <si>
    <t>Разборка трубопроводов из чугунных канализационных труб диаметром 100 мм</t>
  </si>
  <si>
    <t>ФЕР-2001, 65-2-2, приказ Минстроя России №1039/пр от 30.12.2016г.</t>
  </si>
  <si>
    <t>95</t>
  </si>
  <si>
    <t>65-6-1</t>
  </si>
  <si>
    <t>Смена трапов диаметром до 50 мм</t>
  </si>
  <si>
    <t>ФЕР-2001, 65-6-1, приказ Минстроя России №1039/пр от 30.12.2016г.</t>
  </si>
  <si>
    <t>95,1</t>
  </si>
  <si>
    <t>18.2.06.10-0013</t>
  </si>
  <si>
    <t>Трапы чугунные эмалированные с горизонтальным выпуском диаметром 50 мм</t>
  </si>
  <si>
    <t>ФССЦ-2001, 18.2.06.10-0013, приказ Минстроя России №1039/пр от 30.12.2016г.</t>
  </si>
  <si>
    <t>96</t>
  </si>
  <si>
    <t>65-4-4</t>
  </si>
  <si>
    <t>Демонтаж ванн</t>
  </si>
  <si>
    <t>ФЕР-2001, 65-4-4, приказ Минстроя России №1039/пр от 30.12.2016г.</t>
  </si>
  <si>
    <t>97</t>
  </si>
  <si>
    <t>65-4-3</t>
  </si>
  <si>
    <t>Демонтаж моек</t>
  </si>
  <si>
    <t>ФЕР-2001, 65-4-3, приказ Минстроя России №1039/пр от 30.12.2016г.</t>
  </si>
  <si>
    <t>98</t>
  </si>
  <si>
    <t>65-4-1</t>
  </si>
  <si>
    <t>Демонтаж умывальников и раковин</t>
  </si>
  <si>
    <t>ФЕРр-2001, 65-4-1, приказ Минстроя России №1039/пр от 30.12.2016г.</t>
  </si>
  <si>
    <t>99</t>
  </si>
  <si>
    <t>65-4-2</t>
  </si>
  <si>
    <t>Демонтаж унитазов и писсуаров</t>
  </si>
  <si>
    <t>ФЕР-2001, 65-4-2, приказ Минстроя России №1039/пр от 30.12.2016г.</t>
  </si>
  <si>
    <t>100</t>
  </si>
  <si>
    <t>65-4-10</t>
  </si>
  <si>
    <t>Демонтаж смывных бачков фаянсовых на унитазе</t>
  </si>
  <si>
    <t>ФЕР-2001, 65-4-10, приказ Минстроя России №1039/пр от 30.12.2016г.</t>
  </si>
  <si>
    <t>101</t>
  </si>
  <si>
    <t>16-04-001-01</t>
  </si>
  <si>
    <t>Прокладка трубопроводов канализации из полиэтиленовых труб высокой плотности диаметром 50 мм</t>
  </si>
  <si>
    <t>ФЕР-2001, 16-04-001-01, приказ Минстроя России №1039/пр от 30.12.2016г.</t>
  </si>
  <si>
    <t>101,1</t>
  </si>
  <si>
    <t>24.1.02.01-0111</t>
  </si>
  <si>
    <t>Хомуты для крепления канализационных и водосточных пластмассовых трубопроводов, диаметром 50 мм</t>
  </si>
  <si>
    <t>ФССЦ-2001, 24.1.02.01-0111, приказ Минстроя России №1039/пр от 30.12.2016г.</t>
  </si>
  <si>
    <t>101,2</t>
  </si>
  <si>
    <t>24.3.02.02-0003</t>
  </si>
  <si>
    <t>Трубы безнапорные канализационные из полипропилена, диаметром 50 мм</t>
  </si>
  <si>
    <t>ФССЦ-2001, 24.3.02.02-0003, приказ Минстроя России №1039/пр от 30.12.2016г.</t>
  </si>
  <si>
    <t>101,3</t>
  </si>
  <si>
    <t>24.3.05.12-0002</t>
  </si>
  <si>
    <t>Ревизия полиэтиленовая с крышкой размером 50 мм</t>
  </si>
  <si>
    <t>ФССЦ-2001, 24.3.05.12-0002, приказ Минстроя России №1039/пр от 30.12.2016г.</t>
  </si>
  <si>
    <t>101,4</t>
  </si>
  <si>
    <t>24.3.03.02</t>
  </si>
  <si>
    <t>Трубопроводы канализации из полиэтиленовых труб высокой плотности с гильзами, диаметром 50 мм</t>
  </si>
  <si>
    <t>102</t>
  </si>
  <si>
    <t>16-04-001-02</t>
  </si>
  <si>
    <t>Прокладка трубопроводов канализации из полиэтиленовых труб высокой плотности диаметром 110 мм</t>
  </si>
  <si>
    <t>ФЕР-2001, 16-04-001-02, приказ Минстроя России №1039/пр от 30.12.2016г.</t>
  </si>
  <si>
    <t>102,1</t>
  </si>
  <si>
    <t>24.1.02.01-0112</t>
  </si>
  <si>
    <t>Хомуты для крепления канализационных и водосточных пластмассовых трубопроводов, диаметром 100 мм</t>
  </si>
  <si>
    <t>ФССЦ-2001, 24.1.02.01-0112, приказ Минстроя России №1039/пр от 30.12.2016г.</t>
  </si>
  <si>
    <t>102,2</t>
  </si>
  <si>
    <t>24.3.02.02-0004</t>
  </si>
  <si>
    <t>Трубы безнапорные канализационные из полипропилена, диаметром 110 мм</t>
  </si>
  <si>
    <t>ФССЦ-2001, 24.3.02.02-0004, приказ Минстроя России №1039/пр от 30.12.2016г.</t>
  </si>
  <si>
    <t>102,3</t>
  </si>
  <si>
    <t>24.3.05.12-0001</t>
  </si>
  <si>
    <t>Ревизия полипропиленовая с крышкой диаметром 100 мм</t>
  </si>
  <si>
    <t>ФССЦ-2001, 24.3.05.12-0001, приказ Минстроя России №1039/пр от 30.12.2016г.</t>
  </si>
  <si>
    <t>102,4</t>
  </si>
  <si>
    <t>Трубопроводы канализации из полиэтиленовых труб высокой плотности с гильзами, диаметром 110 мм</t>
  </si>
  <si>
    <t>103</t>
  </si>
  <si>
    <t>17-01-001-18</t>
  </si>
  <si>
    <t>Установка поддонов душевых чугунных и стальных мелких</t>
  </si>
  <si>
    <t>10 компл</t>
  </si>
  <si>
    <t>ФЕР-2001, 17-01-001-18, приказ Минстроя России №1039/пр от 30.12.2016г.</t>
  </si>
  <si>
    <t>Водопровод и канализация - внутренние устройства</t>
  </si>
  <si>
    <t>ФЕР-17</t>
  </si>
  <si>
    <t>103,1</t>
  </si>
  <si>
    <t>18.2.02.07-0011</t>
  </si>
  <si>
    <t>Поддоны душевые эмалированные стальные (согласно тех. заданию)</t>
  </si>
  <si>
    <t>ФССЦ-2001, 18.2.02.07-0011, приказ Минстроя России №1039/пр от 30.12.2016г.</t>
  </si>
  <si>
    <t>104</t>
  </si>
  <si>
    <t>17-01-003-03</t>
  </si>
  <si>
    <t>Установка унитазов с функцией биде</t>
  </si>
  <si>
    <t>ФЕР-2001, 17-01-003-03, приказ Минстроя России №1039/пр от 30.12.2016г.</t>
  </si>
  <si>
    <t>104,1</t>
  </si>
  <si>
    <t>01.7.15.07-0012</t>
  </si>
  <si>
    <t>Дюбели пластмассовые с шурупами 12х70 мм</t>
  </si>
  <si>
    <t>ФССЦ-2001, 01.7.15.07-0012, приказ Минстроя России №1039/пр от 30.12.2016г.</t>
  </si>
  <si>
    <t>104,2</t>
  </si>
  <si>
    <t>01.7.19.03-0011</t>
  </si>
  <si>
    <t>Манжеты резиновые</t>
  </si>
  <si>
    <t>ФССЦ-2001, 01.7.19.03-0011, приказ Минстроя России №1039/пр от 30.12.2016г.</t>
  </si>
  <si>
    <t>104,3</t>
  </si>
  <si>
    <t>18.2.01.06-0001</t>
  </si>
  <si>
    <t>Унитаз-компакт с функцией  марка Vitra Grand (9763D003)</t>
  </si>
  <si>
    <t>ФССЦ-2001, 18.2.01.06-0001, приказ Минстроя России №1039/пр от 30.12.2016г.</t>
  </si>
  <si>
    <t>105</t>
  </si>
  <si>
    <t>17-01-005-01</t>
  </si>
  <si>
    <t>Установка моек на одно отделение</t>
  </si>
  <si>
    <t>ФЕР-2001, 17-01-005-01, приказ Минстроя России №1039/пр от 30.12.2016г.</t>
  </si>
  <si>
    <t>105,1</t>
  </si>
  <si>
    <t>18.2.02.05-0005</t>
  </si>
  <si>
    <t>Мойки стальные эмалированные на одно отделение с одной чашей  с креплениями МСК  в комплекте с сифоном (согласно тех. заданию)</t>
  </si>
  <si>
    <t>ФССЦ-2001, 18.2.02.05-0005, приказ Минстроя России №1039/пр от 30.12.2016г.</t>
  </si>
  <si>
    <t>106</t>
  </si>
  <si>
    <t>17-01-005-04</t>
  </si>
  <si>
    <t>Установка раковин</t>
  </si>
  <si>
    <t>ФЕР-2001, 17-01-005-04, приказ Минстроя России №1039/пр от 30.12.2016г.</t>
  </si>
  <si>
    <t>106,1</t>
  </si>
  <si>
    <t>11.2.04.06-0071</t>
  </si>
  <si>
    <t>Подстолье под раковину</t>
  </si>
  <si>
    <t>ФССЦ-2001, 11.2.04.06-0071, приказ Минстроя России №1039/пр от 30.12.2016г.</t>
  </si>
  <si>
    <t>106,2</t>
  </si>
  <si>
    <t>107</t>
  </si>
  <si>
    <t>17-01-002-04</t>
  </si>
  <si>
    <t>Установка гарнитуры туалетной: вешалок, подстаканников, поручней для ванн и т.д.</t>
  </si>
  <si>
    <t>10 ШТ</t>
  </si>
  <si>
    <t>ФЕР-2001, 17-01-002-04, приказ Минстроя России №1039/пр от 30.12.2016г.</t>
  </si>
  <si>
    <t>107,1</t>
  </si>
  <si>
    <t>01.7.15.07-0011</t>
  </si>
  <si>
    <t>Дюбели пластмассовые с шурупами 10х60 мм</t>
  </si>
  <si>
    <t>ФССЦ-2001, 01.7.15.07-0011, приказ Минстроя России №1039/пр от 30.12.2016г.</t>
  </si>
  <si>
    <t>107,2</t>
  </si>
  <si>
    <t>18.2.06.04-0011</t>
  </si>
  <si>
    <t>Зеркало декоративное фигурное с деталями крепления</t>
  </si>
  <si>
    <t>ФССЦ-2001, 18.2.06.04-0011, приказ Минстроя России №1039/пр от 30.12.2016г.</t>
  </si>
  <si>
    <t>108</t>
  </si>
  <si>
    <t>16-07-004-01</t>
  </si>
  <si>
    <t>Врезка в действующие внутренние сети трубопроводов канализации диаметром 50 мм</t>
  </si>
  <si>
    <t>ФЕР-2001, 16-07-004-01, приказ Минстроя России №1039/пр от 30.12.2016г.</t>
  </si>
  <si>
    <t>109</t>
  </si>
  <si>
    <t>16-07-004-02</t>
  </si>
  <si>
    <t>Врезка в действующие внутренние сети трубопроводов канализации диаметром 100 мм</t>
  </si>
  <si>
    <t>ФЕР-2001, 16-07-004-02, приказ Минстроя России №1039/пр от 30.12.2016г.</t>
  </si>
  <si>
    <t>Внутренняя система водоснабжения</t>
  </si>
  <si>
    <t>110</t>
  </si>
  <si>
    <t>111</t>
  </si>
  <si>
    <t>16-04-002-01</t>
  </si>
  <si>
    <t>Прокладка трубопроводов водоснабжения из напорных полиэтиленовых труб наружным диаметром 20 мм</t>
  </si>
  <si>
    <t>ФЕР-2001, 16-04-002-01, приказ Минстроя России №1039/пр от 30.12.2016г.</t>
  </si>
  <si>
    <t>111,1</t>
  </si>
  <si>
    <t>23.1.02.06-0042</t>
  </si>
  <si>
    <t>Хомут стальной оцинкованный с саморезом и резиновой прокладкой для крепления труб диаметром 20 мм</t>
  </si>
  <si>
    <t>ФССЦ-2001, 23.1.02.06-0042, приказ Минстроя России №1039/пр от 30.12.2016г.</t>
  </si>
  <si>
    <t>111,2</t>
  </si>
  <si>
    <t>24.3.02.01-0012</t>
  </si>
  <si>
    <t>Трубопроводы напорные из полипропилена PPRS с гильзами и креплениями для холодного и горячего водоснабжения PN20 SDR 6, диаметром 20 мм, толщина стенки 3,4 мм</t>
  </si>
  <si>
    <t>ФССЦ-2001, 24.3.02.01-0012, приказ Минстроя России №1039/пр от 30.12.2016г.</t>
  </si>
  <si>
    <t>112</t>
  </si>
  <si>
    <t>16-04-002-02</t>
  </si>
  <si>
    <t>Прокладка трубопроводов водоснабжения из напорных полиэтиленовых труб наружным диаметром 25 мм</t>
  </si>
  <si>
    <t>ФЕР-2001, 16-04-002-02, приказ Минстроя России №1039/пр от 30.12.2016г.</t>
  </si>
  <si>
    <t>112,1</t>
  </si>
  <si>
    <t>23.1.02.06-0043</t>
  </si>
  <si>
    <t>Хомут стальной оцинкованный с саморезом и резиновой прокладкой для крепления труб диаметром 25 мм</t>
  </si>
  <si>
    <t>ФССЦ-2001, 23.1.02.06-0043, приказ Минстроя России №1039/пр от 30.12.2016г.</t>
  </si>
  <si>
    <t>112,2</t>
  </si>
  <si>
    <t>24.3.02.01-0013</t>
  </si>
  <si>
    <t>Трубопроводы напорные из полипропилена PPRS с гильзами и креплениями для холодного и горячего водоснабжения PN20 SDR 6, диаметром 25 мм, толщина стенки 4,2 мм</t>
  </si>
  <si>
    <t>ФССЦ-2001, 24.3.02.01-0013, приказ Минстроя России №1039/пр от 30.12.2016г.</t>
  </si>
  <si>
    <t>113</t>
  </si>
  <si>
    <t>16-04-002-03</t>
  </si>
  <si>
    <t>Прокладка трубопроводов водоснабжения из напорных полиэтиленовых труб наружным диаметром 32 мм</t>
  </si>
  <si>
    <t>ФЕР-2001, 16-04-002-03, приказ Минстроя России №1039/пр от 30.12.2016г.</t>
  </si>
  <si>
    <t>113,1</t>
  </si>
  <si>
    <t>23.1.02.06-0044</t>
  </si>
  <si>
    <t>Хомут стальной оцинкованный с саморезом и резиновой прокладкой для крепления труб диаметром 32 мм</t>
  </si>
  <si>
    <t>ФССЦ-2001, 23.1.02.06-0044, приказ Минстроя России №1039/пр от 30.12.2016г.</t>
  </si>
  <si>
    <t>113,2</t>
  </si>
  <si>
    <t>24.3.02.01-0014</t>
  </si>
  <si>
    <t>Трубопроводы напорные из полипропилена PPRS с гильзами и креплениями для холодного и горячего водоснабжения PN20 SDR 6, диаметром 32 мм, толщина стенки 5,4 мм</t>
  </si>
  <si>
    <t>ФССЦ-2001, 24.3.02.01-0014, приказ Минстроя России №1039/пр от 30.12.2016г.</t>
  </si>
  <si>
    <t>114</t>
  </si>
  <si>
    <t>Установка вентилей, задвижек, затворов, клапанов обратных, кранов проходных на трубопроводах из стальных труб диаметром до 25 мм</t>
  </si>
  <si>
    <t>114,1</t>
  </si>
  <si>
    <t>18.1.09.06-0064</t>
  </si>
  <si>
    <t>Кран шаровый муфтовый Valtec для воды диаметром 15 мм, тип в/н</t>
  </si>
  <si>
    <t>ФССЦ-2001, 18.1.09.06-0064, приказ Минстроя России №1039/пр от 30.12.2016г.</t>
  </si>
  <si>
    <t>114,2</t>
  </si>
  <si>
    <t>18.1.09.06-0072</t>
  </si>
  <si>
    <t>Кран шаровый муфтовый Valtec для воды диаметром 25 мм со сгоном</t>
  </si>
  <si>
    <t>ФССЦ-2001, 18.1.09.06-0072, приказ Минстроя России №1039/пр от 30.12.2016г.</t>
  </si>
  <si>
    <t>115</t>
  </si>
  <si>
    <t>65-3-6</t>
  </si>
  <si>
    <t>Снятие смесителя с душевой сеткой</t>
  </si>
  <si>
    <t>ФЕРр-2001, 65-3-6, приказ Минстроя России №1039/пр от 30.12.2016г.</t>
  </si>
  <si>
    <t>116</t>
  </si>
  <si>
    <t>65-3-7</t>
  </si>
  <si>
    <t>Снятие смесителя без душевой сетки</t>
  </si>
  <si>
    <t>ФЕРр-2001, 65-3-7, приказ Минстроя России №1039/пр от 30.12.2016г.</t>
  </si>
  <si>
    <t>117</t>
  </si>
  <si>
    <t>17-01-002-03</t>
  </si>
  <si>
    <t>Установка смесителей</t>
  </si>
  <si>
    <t>ФЕР-2001, 17-01-002-03, приказ Минстроя России №1039/пр от 30.12.2016г.</t>
  </si>
  <si>
    <t>117,1</t>
  </si>
  <si>
    <t>18.2.06.08-0013</t>
  </si>
  <si>
    <t>Подводка гибкая армированная резиновая 500 мм</t>
  </si>
  <si>
    <t>ФССЦ-2001, 18.2.06.08-0013, приказ Минстроя России №1039/пр от 30.12.2016г.</t>
  </si>
  <si>
    <t>117,2</t>
  </si>
  <si>
    <t>18.1.10.10-0014</t>
  </si>
  <si>
    <t>Смесители для ванн СМ-Д-Шл с душевой сеткой на гибком шланге, с кнопочным переключателем, с латунными маховичками, штангой</t>
  </si>
  <si>
    <t>ФССЦ-2001, 18.1.10.10-0014, приказ Минстроя России №1039/пр от 30.12.2016г.</t>
  </si>
  <si>
    <t>117,3</t>
  </si>
  <si>
    <t>18.1.10.10-0042</t>
  </si>
  <si>
    <t>Смесители для умывальников СМ-УМ-НКСА настольные, с нижней камерой смешения с аэратором</t>
  </si>
  <si>
    <t>ФССЦ-2001, 18.1.10.10-0042, приказ Минстроя России №1039/пр от 30.12.2016г.</t>
  </si>
  <si>
    <t>117,4</t>
  </si>
  <si>
    <t>18.1.10.10-0047</t>
  </si>
  <si>
    <t>Смесители для умывальников СМ-УМ-ЦА настольные, с верхней камерой смешения, центральные, с аэратором</t>
  </si>
  <si>
    <t>ФССЦ-2001, 18.1.10.10-0047, приказ Минстроя России №1039/пр от 30.12.2016г.</t>
  </si>
  <si>
    <t>118</t>
  </si>
  <si>
    <t>119</t>
  </si>
  <si>
    <t>16-07-003-04</t>
  </si>
  <si>
    <t>Врезка в действующие внутренние сети трубопроводов отопления и водоснабжения диаметром 32 мм</t>
  </si>
  <si>
    <t>ФЕР-2001, 16-07-003-04, приказ Минстроя России №1039/пр от 30.12.2016г.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</si>
  <si>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</si>
  <si>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</si>
  <si>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</si>
  <si>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</si>
  <si>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</si>
  <si>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</si>
  <si>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</si>
  <si>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</si>
  <si>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</si>
  <si>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</si>
  <si>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</si>
  <si>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</si>
  <si>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</si>
  <si>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</si>
  <si>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</si>
  <si>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</si>
  <si>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</si>
  <si>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</si>
  <si>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</si>
  <si>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</si>
  <si>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</si>
  <si>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</si>
  <si>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</si>
  <si>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</si>
  <si>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</si>
  <si>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</si>
  <si>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</si>
  <si>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</si>
  <si>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</si>
  <si>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</si>
  <si>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</si>
  <si>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</si>
  <si>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</si>
  <si>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</si>
  <si>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</si>
  <si>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</si>
  <si>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</si>
  <si>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</si>
  <si>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</si>
  <si>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</si>
  <si>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</si>
  <si>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</si>
  <si>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</si>
  <si>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</si>
  <si>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</si>
  <si>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</si>
  <si>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</si>
  <si>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</si>
  <si>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</si>
  <si>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</si>
  <si>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</si>
  <si>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</si>
  <si>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</si>
  <si>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</si>
  <si>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</si>
  <si>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</si>
  <si>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</si>
  <si>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</si>
  <si>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</si>
  <si>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</si>
  <si>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</si>
  <si>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</si>
  <si>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</si>
  <si>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</si>
  <si>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</si>
  <si>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</si>
  <si>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</si>
  <si>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</si>
  <si>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</si>
  <si>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</si>
  <si>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</si>
  <si>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</si>
  <si>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</si>
  <si>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1-100-23</t>
  </si>
  <si>
    <t>Рабочий среднего разряда 2.3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</si>
  <si>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</si>
  <si>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</si>
  <si>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</si>
  <si>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01.7.15.06-0111</t>
  </si>
  <si>
    <t>ФССЦ-2001, 01.7.15.06-0111, приказ Минстроя России №1039/пр от 30.12.2016г.</t>
  </si>
  <si>
    <t>Гвозди строительные</t>
  </si>
  <si>
    <t>08.1.02.11-0001</t>
  </si>
  <si>
    <t>ФССЦ-2001, 08.1.02.11-0001, приказ Минстроя России №1039/пр от 30.12.2016г.</t>
  </si>
  <si>
    <t>Поковки из квадратных заготовок, масса 1,8 кг</t>
  </si>
  <si>
    <t>11.2.07.12-0011</t>
  </si>
  <si>
    <t>ФССЦ-2001, 11.2.07.12-0011, приказ Минстроя России №1039/пр от 30.12.2016г.</t>
  </si>
  <si>
    <t>Штапик (раскладка), размер 19х19 мм</t>
  </si>
  <si>
    <t>1-100-20</t>
  </si>
  <si>
    <t>Рабочий среднего разряда 2</t>
  </si>
  <si>
    <t>1-100-30</t>
  </si>
  <si>
    <t>Рабочий среднего разряда 3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</si>
  <si>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</si>
  <si>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</si>
  <si>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</si>
  <si>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</si>
  <si>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</si>
  <si>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</si>
  <si>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1-100-21</t>
  </si>
  <si>
    <t>Рабочий среднего разряда 2.1</t>
  </si>
  <si>
    <t>1-100-32</t>
  </si>
  <si>
    <t>Рабочий среднего разряда 3.2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</si>
  <si>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</si>
  <si>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</si>
  <si>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</si>
  <si>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</si>
  <si>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</si>
  <si>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</si>
  <si>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</si>
  <si>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</si>
  <si>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</si>
  <si>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</si>
  <si>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</si>
  <si>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</si>
  <si>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</si>
  <si>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</si>
  <si>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</si>
  <si>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</si>
  <si>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</si>
  <si>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</si>
  <si>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</si>
  <si>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</si>
  <si>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</si>
  <si>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01.7.20.08-0051</t>
  </si>
  <si>
    <t>ФССЦ-2001, 01.7.20.08-0051, приказ Минстроя России №1039/пр от 30.12.2016г.</t>
  </si>
  <si>
    <t>Ветошь</t>
  </si>
  <si>
    <t>01.8.01.07-0001</t>
  </si>
  <si>
    <t>ФССЦ-2001, 01.8.01.07-0001, приказ Минстроя России №1039/пр от 30.12.2016г.</t>
  </si>
  <si>
    <t>Стекло жидкое калийное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</si>
  <si>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</si>
  <si>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</si>
  <si>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</si>
  <si>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1-100-37</t>
  </si>
  <si>
    <t>Рабочий среднего разряда 3.7</t>
  </si>
  <si>
    <t>1-100-33</t>
  </si>
  <si>
    <t>Рабочий среднего разряда 3.3</t>
  </si>
  <si>
    <t>14.5.05.02-0001</t>
  </si>
  <si>
    <t>ФССЦ-2001, 14.5.05.02-0001, приказ Минстроя России №1039/пр от 30.12.2016г.</t>
  </si>
  <si>
    <t>Олифа натуральная</t>
  </si>
  <si>
    <t>1-100-42</t>
  </si>
  <si>
    <t>Рабочий среднего разряда 4.2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</si>
  <si>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</si>
  <si>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</si>
  <si>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</si>
  <si>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</si>
  <si>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</si>
  <si>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</si>
  <si>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01.7.15.04-0056</t>
  </si>
  <si>
    <t>ФССЦ-2001, 01.7.15.04-0056, приказ Минстроя России №1039/пр от 30.12.2016г.</t>
  </si>
  <si>
    <t>Винты самонарезающие с уплотнительной прокладкой 4,8х35 мм</t>
  </si>
  <si>
    <t>1-100-34</t>
  </si>
  <si>
    <t>Рабочий среднего разряда 3.4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</si>
  <si>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</si>
  <si>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</si>
  <si>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</si>
  <si>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14.5.11.01-0001</t>
  </si>
  <si>
    <t>ФССЦ-2001, 14.5.11.01-0001, приказ Минстроя России №1039/пр от 30.12.2016г.</t>
  </si>
  <si>
    <t>Шпатлевка клеевая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</si>
  <si>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</si>
  <si>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</si>
  <si>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</si>
  <si>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1-100-25</t>
  </si>
  <si>
    <t>Рабочий среднего разряда 2.5</t>
  </si>
  <si>
    <t>1-100-36</t>
  </si>
  <si>
    <t>Рабочий среднего разряда 3.6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</si>
  <si>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</si>
  <si>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</si>
  <si>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</si>
  <si>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04.3.01.07-0011</t>
  </si>
  <si>
    <t>ФССЦ-2001, 04.3.01.07-0011, приказ Минстроя России №1039/пр от 30.12.2016г.</t>
  </si>
  <si>
    <t>Раствор готовый отделочный тяжелый, известковый 1:2,0</t>
  </si>
  <si>
    <t>11.1.03.06-0087</t>
  </si>
  <si>
    <t>ФССЦ-2001, 11.1.03.06-0087, приказ Минстроя России №1039/пр от 30.12.2016г.</t>
  </si>
  <si>
    <t>Доски обрезные хвойных пород длиной 4-6,5 м, шириной 75-150 мм, толщиной 25 мм, III сорта</t>
  </si>
  <si>
    <t>14.5.01.10-0003</t>
  </si>
  <si>
    <t>ФССЦ-2001, 14.5.01.10-0003, приказ Минстроя России №1039/пр от 30.12.2016г.</t>
  </si>
  <si>
    <t>Пена монтажная</t>
  </si>
  <si>
    <t>л</t>
  </si>
  <si>
    <t>08.4.01.02-0011</t>
  </si>
  <si>
    <t>ФССЦ-2001, 08.4.01.02-0011, приказ Минстроя России №1039/пр от 30.12.2016г.</t>
  </si>
  <si>
    <t>Детали закладные и накладные изготовленные без применения сварки, гнутья, сверления (пробивки) отверстий поставляемые отдельно</t>
  </si>
  <si>
    <t>14.5.01.10-0025</t>
  </si>
  <si>
    <t>ФССЦ-2001, 14.5.01.10-0025, приказ Минстроя России №1039/пр от 30.12.2016г.</t>
  </si>
  <si>
    <t>Пена монтажная для герметизации стыков в баллончике емкостью 0,85 л</t>
  </si>
  <si>
    <t>01.7.03.01-0001</t>
  </si>
  <si>
    <t>ФССЦ-2001, 01.7.03.01-0001, приказ Минстроя России №1039/пр от 30.12.2016г.</t>
  </si>
  <si>
    <t>Вода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</si>
  <si>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</si>
  <si>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</si>
  <si>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</si>
  <si>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91.21.01-012</t>
  </si>
  <si>
    <t>ФСЭМ-2001, 91.21.01-012, приказ Минстроя России №1039/пр от 30.12.2016г.</t>
  </si>
  <si>
    <t>Агрегаты окрасочные высокого давления для окраски поверхностей конструкций, мощность 1 кВт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</si>
  <si>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</si>
  <si>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</si>
  <si>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</si>
  <si>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1-100-22</t>
  </si>
  <si>
    <t>Рабочий среднего разряда 2.2</t>
  </si>
  <si>
    <t>91.07.04-002</t>
  </si>
  <si>
    <t>ФСЭМ-2001, 91.07.04-002, приказ Минстроя России №1039/пр от 30.12.2016г.</t>
  </si>
  <si>
    <t>Вибратор поверхностный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</si>
  <si>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</si>
  <si>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</si>
  <si>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</si>
  <si>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01.7.15.07-0021</t>
  </si>
  <si>
    <t>ФССЦ-2001, 01.7.15.07-0021, приказ Минстроя России №1039/пр от 30.12.2016г.</t>
  </si>
  <si>
    <t>Дюбели распорные полиэтиленовые 6х30 мм</t>
  </si>
  <si>
    <t>1-100-49</t>
  </si>
  <si>
    <t>Рабочий среднего разряда 4.9</t>
  </si>
  <si>
    <t>91.08.04-021</t>
  </si>
  <si>
    <t>ФСЭМ-2001, 91.08.04-021, приказ Минстроя России №1039/пр от 30.12.2016г.</t>
  </si>
  <si>
    <t>Котлы битумные передвижные 400 л</t>
  </si>
  <si>
    <t>91.21.22-421</t>
  </si>
  <si>
    <t>ФСЭМ-2001, 91.21.22-421, приказ Минстроя России №1039/пр от 30.12.2016г.</t>
  </si>
  <si>
    <t>Термос 100 л</t>
  </si>
  <si>
    <t>01.1.02.10-0021</t>
  </si>
  <si>
    <t>ФССЦ-2001, 01.1.02.10-0021, приказ Минстроя России №1039/пр от 30.12.2016г.</t>
  </si>
  <si>
    <t>Асбест хризотиловый марки К-6-30</t>
  </si>
  <si>
    <t>01.2.01.02-0052</t>
  </si>
  <si>
    <t>ФССЦ-2001, 01.2.01.02-0052, приказ Минстроя России №1039/пр от 30.12.2016г.</t>
  </si>
  <si>
    <t>Битумы нефтяные строительные марки БН-70/30</t>
  </si>
  <si>
    <t>01.2.01.02-0054</t>
  </si>
  <si>
    <t>ФССЦ-2001, 01.2.01.02-0054, приказ Минстроя России №1039/пр от 30.12.2016г.</t>
  </si>
  <si>
    <t>Битумы нефтяные строительные марки БН-90/10</t>
  </si>
  <si>
    <t>01.3.01.01-0009</t>
  </si>
  <si>
    <t>ФССЦ-2001, 01.3.01.01-0009, приказ Минстроя России №1039/пр от 30.12.2016г.</t>
  </si>
  <si>
    <t>Бензин растворитель</t>
  </si>
  <si>
    <t>01.7.07.13-0001</t>
  </si>
  <si>
    <t>ФССЦ-2001, 01.7.07.13-0001, приказ Минстроя России №1039/пр от 30.12.2016г.</t>
  </si>
  <si>
    <t>Мука андезитовая кислотоупорная, марка А</t>
  </si>
  <si>
    <t>1-100-39</t>
  </si>
  <si>
    <t>Рабочий среднего разряда 3.9</t>
  </si>
  <si>
    <t>01.2.03.03-0013</t>
  </si>
  <si>
    <t>ФССЦ-2001, 01.2.03.03-0013, приказ Минстроя России №1039/пр от 30.12.2016г.</t>
  </si>
  <si>
    <t>Мастика битумная кровельная горячая</t>
  </si>
  <si>
    <t>01.3.01.03-0002</t>
  </si>
  <si>
    <t>ФССЦ-2001, 01.3.01.03-0002, приказ Минстроя России №1039/пр от 30.12.2016г.</t>
  </si>
  <si>
    <t>Керосин для технических целей марок КТ-1, КТ-2</t>
  </si>
  <si>
    <t>1-100-27</t>
  </si>
  <si>
    <t>Рабочий среднего разряда 2.7</t>
  </si>
  <si>
    <t>04.3.01.12-0003</t>
  </si>
  <si>
    <t>ФССЦ-2001, 04.3.01.12-0003, приказ Минстроя России №1039/пр от 30.12.2016г.</t>
  </si>
  <si>
    <t>Раствор готовый кладочный цементно-известковый марки 50</t>
  </si>
  <si>
    <t>11.1.03.01-0080</t>
  </si>
  <si>
    <t>ФССЦ-2001, 11.1.03.01-0080, приказ Минстроя России №1039/пр от 30.12.2016г.</t>
  </si>
  <si>
    <t>Бруски обрезные хвойных пород длиной 4-6,5 м, шириной 75-150 мм, толщиной 40-75 мм, IV сорта</t>
  </si>
  <si>
    <t>91.21.22-193</t>
  </si>
  <si>
    <t>ФСЭМ-2001, 91.21.22-193, приказ Минстроя России №1039/пр от 30.12.2016г.</t>
  </si>
  <si>
    <t>Машины для сварки линолеума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</si>
  <si>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</si>
  <si>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</si>
  <si>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</si>
  <si>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01.7.07.29-0091</t>
  </si>
  <si>
    <t>ФССЦ-2001, 01.7.07.29-0091, приказ Минстроя России №1039/пр от 30.12.2016г.</t>
  </si>
  <si>
    <t>Опилки древесные</t>
  </si>
  <si>
    <t>06.2.02.01-0071</t>
  </si>
  <si>
    <t>ФССЦ-2001, 06.2.02.01-0071, приказ Минстроя России №1039/пр от 30.12.2016г.</t>
  </si>
  <si>
    <t>Плитки керамические для полов гладкие неглазурованные одноцветные с красителем квадратные и прямоугольные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</si>
  <si>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</si>
  <si>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</si>
  <si>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</si>
  <si>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</si>
  <si>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</si>
  <si>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</si>
  <si>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</si>
  <si>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</si>
  <si>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</si>
  <si>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</si>
  <si>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</si>
  <si>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</si>
  <si>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06.2.05.03-0003</t>
  </si>
  <si>
    <t>ФССЦ-2001, 06.2.05.03-0003, приказ Минстроя России №1039/пр от 30.12.2016г.</t>
  </si>
  <si>
    <t>Гранит керамический многоцветный неполированный, размером 400х400х9 мм</t>
  </si>
  <si>
    <t>1-100-40</t>
  </si>
  <si>
    <t>Рабочий среднего разряда 4</t>
  </si>
  <si>
    <t>1-100-38</t>
  </si>
  <si>
    <t>Рабочий среднего разряда 3.8</t>
  </si>
  <si>
    <t>91.07.07-041</t>
  </si>
  <si>
    <t>ФСЭМ-2001, 91.07.07-041, приказ Минстроя России №1039/пр от 30.12.2016г.</t>
  </si>
  <si>
    <t>Растворонасосы 1 м3/ч</t>
  </si>
  <si>
    <t>01.7.15.06-0121</t>
  </si>
  <si>
    <t>ФССЦ-2001, 01.7.15.06-0121, приказ Минстроя России №1039/пр от 30.12.2016г.</t>
  </si>
  <si>
    <t>Гвозди строительные с плоской головкой 1,6x50 мм</t>
  </si>
  <si>
    <t>03.1.01.01-0002</t>
  </si>
  <si>
    <t>ФССЦ-2001, 03.1.01.01-0002, приказ Минстроя России №1039/пр от 30.12.2016г.</t>
  </si>
  <si>
    <t>Гипсовые вяжущие, марка Г3</t>
  </si>
  <si>
    <t>08.1.02.17-0161</t>
  </si>
  <si>
    <t>ФССЦ-2001, 08.1.02.17-0161, приказ Минстроя России №1039/пр от 30.12.2016г.</t>
  </si>
  <si>
    <t>Сетка тканая с квадратными ячейками № 05 без покрытия</t>
  </si>
  <si>
    <t>03.2.01.01-0001</t>
  </si>
  <si>
    <t>ФССЦ-2001, 03.2.01.01-0001, приказ Минстроя России №1039/пр от 30.12.2016г.</t>
  </si>
  <si>
    <t>Портландцемент общестроительного назначения бездобавочный, марки 400</t>
  </si>
  <si>
    <t>04.3.01.09-0023</t>
  </si>
  <si>
    <t>ФССЦ-2001, 04.3.01.09-0023, приказ Минстроя России №1039/пр от 30.12.2016г.</t>
  </si>
  <si>
    <t>Раствор готовый отделочный тяжелый, цементный 1:3</t>
  </si>
  <si>
    <t>1-100-31</t>
  </si>
  <si>
    <t>Рабочий среднего разряда 3.1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</si>
  <si>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</si>
  <si>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</si>
  <si>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</si>
  <si>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01.7.08.04-0003</t>
  </si>
  <si>
    <t>ФССЦ-2001, 01.7.08.04-0003, приказ Минстроя России №1039/пр от 30.12.2016г.</t>
  </si>
  <si>
    <t>Мел природный молотый</t>
  </si>
  <si>
    <t>14.1.03.02-0201</t>
  </si>
  <si>
    <t>ФССЦ-2001, 14.1.03.02-0201, приказ Минстроя России №1039/пр от 30.12.2016г.</t>
  </si>
  <si>
    <t>Клей малярный жидкий</t>
  </si>
  <si>
    <t>01.7.02.10-0005</t>
  </si>
  <si>
    <t>ФССЦ-2001, 01.7.02.10-0005, приказ Минстроя России №1039/пр от 30.12.2016г.</t>
  </si>
  <si>
    <t>Бумага ролевая</t>
  </si>
  <si>
    <t>14.1.03.01-0001</t>
  </si>
  <si>
    <t>ФССЦ-2001, 14.1.03.01-0001, приказ Минстроя России №1039/пр от 30.12.2016г.</t>
  </si>
  <si>
    <t>Клей для обоев КМЦ</t>
  </si>
  <si>
    <t>01.3.05.19-0011</t>
  </si>
  <si>
    <t>ФССЦ-2001, 01.3.05.19-0011, приказ Минстроя России №1039/пр от 30.12.2016г.</t>
  </si>
  <si>
    <t>Купорос медный марки А</t>
  </si>
  <si>
    <t>1-1033</t>
  </si>
  <si>
    <t>Рабочий строитель среднего разряда 3,3</t>
  </si>
  <si>
    <t>чел.-ч</t>
  </si>
  <si>
    <t>чел.час</t>
  </si>
  <si>
    <t>030954</t>
  </si>
  <si>
    <t>ФСЭМ-2001, 030954, приказ Минстроя России №899/пр от 11.12.2015 г.</t>
  </si>
  <si>
    <t>Подъемники грузоподъемностью до 500 кг одномачтовые, высота подъема 45 м</t>
  </si>
  <si>
    <t>400001</t>
  </si>
  <si>
    <t>ФСЭМ-2001, 400001, приказ Минстроя России №899/пр от 11.12.2015 г.</t>
  </si>
  <si>
    <t>101-0456</t>
  </si>
  <si>
    <t>ФССЦ-2001, 101-0456, приказ Минстроя России №899/пр от 11.12.2015 г.</t>
  </si>
  <si>
    <t>Краски цветные, готовые к применению для внутренних работ МА-25 розово-бежевая, светло-бежевая, светло-серая</t>
  </si>
  <si>
    <t>101-1757</t>
  </si>
  <si>
    <t>ФССЦ-2001, 101-1757, приказ Минстроя России №899/пр от 11.12.2015 г.</t>
  </si>
  <si>
    <t>101-1825</t>
  </si>
  <si>
    <t>ФССЦ-2001, 101-1825, приказ Минстроя России №899/пр от 11.12.2015 г.</t>
  </si>
  <si>
    <t>1-100-10</t>
  </si>
  <si>
    <t>Рабочий среднего разряда 1</t>
  </si>
  <si>
    <t>01.7.20.03-0003</t>
  </si>
  <si>
    <t>ФССЦ-2001, 01.7.20.03-0003, приказ Минстроя России №1039/пр от 30.12.2016г.</t>
  </si>
  <si>
    <t>Мешки полипропиленовые (50 кг)</t>
  </si>
  <si>
    <t>1-100-46</t>
  </si>
  <si>
    <t>Рабочий среднего разряда 4.6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</si>
  <si>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</si>
  <si>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</si>
  <si>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</si>
  <si>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</si>
  <si>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</si>
  <si>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</si>
  <si>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</si>
  <si>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</si>
  <si>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</si>
  <si>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</si>
  <si>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</si>
  <si>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</si>
  <si>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999-9950</t>
  </si>
  <si>
    <t>Вспомогательные ненормируемые материалы (2% от ОЗП)</t>
  </si>
  <si>
    <t>РУБ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</si>
  <si>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</si>
  <si>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</si>
  <si>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</si>
  <si>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</si>
  <si>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</si>
  <si>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</si>
  <si>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</si>
  <si>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</si>
  <si>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</si>
  <si>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</si>
  <si>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</si>
  <si>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</si>
  <si>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</si>
  <si>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</si>
  <si>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</si>
  <si>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</si>
  <si>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</si>
  <si>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</si>
  <si>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14.4.02.09-0001</t>
  </si>
  <si>
    <t>ФССЦ-2001, 14.4.02.09-0001, приказ Минстроя России №1039/пр от 30.12.2016г.</t>
  </si>
  <si>
    <t>Краска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</si>
  <si>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</si>
  <si>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</si>
  <si>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</si>
  <si>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20.1.02.23-0082</t>
  </si>
  <si>
    <t>ФССЦ-2001, 20.1.02.23-0082, приказ Минстроя России №1039/пр от 30.12.2016г.</t>
  </si>
  <si>
    <t>Перемычки гибкие, тип ПГС-50</t>
  </si>
  <si>
    <t>14.4.02.04-0221</t>
  </si>
  <si>
    <t>ФССЦ-2001, 14.4.02.04-0221, приказ Минстроя России №1039/пр от 30.12.2016г.</t>
  </si>
  <si>
    <t>Краски масляные и алкидные, готовые к применению белила цинковые МА-15</t>
  </si>
  <si>
    <t>1-100-35</t>
  </si>
  <si>
    <t>Рабочий среднего разряда 3.5</t>
  </si>
  <si>
    <t>01.7.06.05-0042</t>
  </si>
  <si>
    <t>ФССЦ-2001, 01.7.06.05-0042, приказ Минстроя России №1039/пр от 30.12.2016г.</t>
  </si>
  <si>
    <t>Лента липкая изоляционная на поликасиновом компаунде марки ЛСЭПЛ, шириной 20-30 мм, толщиной от 0,14 до 0,19 мм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</si>
  <si>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</si>
  <si>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</si>
  <si>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</si>
  <si>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24.3.01.01-0002</t>
  </si>
  <si>
    <t>ФССЦ-2001, 24.3.01.01-0002, приказ Минстроя России №1039/пр от 30.12.2016г.</t>
  </si>
  <si>
    <t>Трубка полихлорвиниловая</t>
  </si>
  <si>
    <t>21.2.01.02-0141</t>
  </si>
  <si>
    <t>ФССЦ-2001, 21.2.01.02-0141, приказ Минстроя России №1039/пр от 30.12.2016г.</t>
  </si>
  <si>
    <t>Провода неизолированные для воздушных линий электропередачи медные марки М, сечением 4 мм2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</si>
  <si>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</si>
  <si>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</si>
  <si>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</si>
  <si>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</si>
  <si>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</si>
  <si>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</si>
  <si>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</si>
  <si>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</si>
  <si>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</si>
  <si>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04.3.01.09-0016</t>
  </si>
  <si>
    <t>ФССЦ-2001, 04.3.01.09-0016, приказ Минстроя России №1039/пр от 30.12.2016г.</t>
  </si>
  <si>
    <t>Раствор готовый кладочный цементный марки 200</t>
  </si>
  <si>
    <t>14.1.02.01-0002</t>
  </si>
  <si>
    <t>ФССЦ-2001, 14.1.02.01-0002, приказ Минстроя России №1039/пр от 30.12.2016г.</t>
  </si>
  <si>
    <t>Клей БМК-5к</t>
  </si>
  <si>
    <t>20.2.02.01-0019</t>
  </si>
  <si>
    <t>ФССЦ-2001, 20.2.02.01-0019, приказ Минстроя России №1039/пр от 30.12.2016г.</t>
  </si>
  <si>
    <t>Втулки изолирующие</t>
  </si>
  <si>
    <t>20.2.02.02-0011</t>
  </si>
  <si>
    <t>ФССЦ-2001, 20.2.02.02-0011, приказ Минстроя России №1039/пр от 30.12.2016г.</t>
  </si>
  <si>
    <t>Заглушки</t>
  </si>
  <si>
    <t>20.2.08.05-0017</t>
  </si>
  <si>
    <t>ФССЦ-2001, 20.2.08.05-0017, приказ Минстроя России №1039/пр от 30.12.2016г.</t>
  </si>
  <si>
    <t>Профиль монтажный</t>
  </si>
  <si>
    <t>1-100-41</t>
  </si>
  <si>
    <t>Рабочий среднего разряда 4.1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</si>
  <si>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</si>
  <si>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</si>
  <si>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</si>
  <si>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01.7.06.07-0001</t>
  </si>
  <si>
    <t>ФССЦ-2001, 01.7.06.07-0001, приказ Минстроя России №1039/пр от 30.12.2016г.</t>
  </si>
  <si>
    <t>Лента К226</t>
  </si>
  <si>
    <t>91.21.16-012</t>
  </si>
  <si>
    <t>ФСЭМ-2001, 91.21.16-012, приказ Минстроя России №1039/пр от 30.12.2016г.</t>
  </si>
  <si>
    <t>Пресс гидравлический с электроприводом</t>
  </si>
  <si>
    <t>2-200-60</t>
  </si>
  <si>
    <t>Электромонтажник-наладчик, разряд VI</t>
  </si>
  <si>
    <t>2-400-30</t>
  </si>
  <si>
    <t>Инженер по наладке и испытаниям, категория III</t>
  </si>
  <si>
    <t>2-200-40</t>
  </si>
  <si>
    <t>Электромонтажник-наладчик, разряд IV</t>
  </si>
  <si>
    <t>2-300-20</t>
  </si>
  <si>
    <t>Техник по наладке и испытаниям, категория II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</si>
  <si>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</si>
  <si>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</si>
  <si>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</si>
  <si>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</si>
  <si>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</si>
  <si>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</si>
  <si>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</si>
  <si>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</si>
  <si>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</si>
  <si>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01.3.02.03-0011</t>
  </si>
  <si>
    <t>ФССЦ-2001, 01.3.02.03-0011, приказ Минстроя России №1039/пр от 30.12.2016г.</t>
  </si>
  <si>
    <t>Ацетилен растворенный технический марки А</t>
  </si>
  <si>
    <t>01.7.07.29-0101</t>
  </si>
  <si>
    <t>ФССЦ-2001, 01.7.07.29-0101, приказ Минстроя России №1039/пр от 30.12.2016г.</t>
  </si>
  <si>
    <t>Очес льняной</t>
  </si>
  <si>
    <t>01.7.11.04-0072</t>
  </si>
  <si>
    <t>ФССЦ-2001, 01.7.11.04-0072, приказ Минстроя России №1039/пр от 30.12.2016г.</t>
  </si>
  <si>
    <t>Проволока сварочная легированная диаметром 4 мм</t>
  </si>
  <si>
    <t>03.1.02.03-0015</t>
  </si>
  <si>
    <t>ФССЦ-2001, 03.1.02.03-0015, приказ Минстроя России №1039/пр от 30.12.2016г.</t>
  </si>
  <si>
    <t>Известь строительная негашеная хлорная, марки А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</si>
  <si>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</si>
  <si>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</si>
  <si>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</si>
  <si>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</si>
  <si>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</si>
  <si>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</si>
  <si>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</si>
  <si>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</si>
  <si>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</si>
  <si>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01.3.05.38-0031</t>
  </si>
  <si>
    <t>ФССЦ-2001, 01.3.05.38-0031, приказ Минстроя России №1039/пр от 30.12.2016г.</t>
  </si>
  <si>
    <t>Водный раствор нитрата и карбоната</t>
  </si>
  <si>
    <t>18.5.08.05-0031</t>
  </si>
  <si>
    <t>ФССЦ-2001, 18.5.08.05-0031, приказ Минстроя России №1039/пр от 30.12.2016г.</t>
  </si>
  <si>
    <t>Кронштейны для радиаторов стальных спаренных марки КР1-РС</t>
  </si>
  <si>
    <t>01.1.02.08-0001</t>
  </si>
  <si>
    <t>ФССЦ-2001, 01.1.02.08-0001, приказ Минстроя России №1039/пр от 30.12.2016г.</t>
  </si>
  <si>
    <t>Прокладки из паронита марки ПМБ, толщиной 1 мм, диаметром 50 мм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</si>
  <si>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</si>
  <si>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</si>
  <si>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</si>
  <si>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01.7.15.03-0013</t>
  </si>
  <si>
    <t>ФССЦ-2001, 01.7.15.03-0013, приказ Минстроя России №1039/пр от 30.12.2016г.</t>
  </si>
  <si>
    <t>Болты с гайками и шайбами для санитарно-технических работ диаметром 12 мм</t>
  </si>
  <si>
    <t>01.1.02.08-0002</t>
  </si>
  <si>
    <t>ФССЦ-2001, 01.1.02.08-0002, приказ Минстроя России №1039/пр от 30.12.2016г.</t>
  </si>
  <si>
    <t>Прокладки из паронита марки ПМБ, толщиной 1 мм, диаметром 100 мм</t>
  </si>
  <si>
    <t>23.3.06.02-0003</t>
  </si>
  <si>
    <t>ФССЦ-2001, 23.3.06.02-0003, приказ Минстроя России №1039/пр от 30.12.2016г.</t>
  </si>
  <si>
    <t>Трубы стальные сварные водогазопроводные с резьбой оцинкованные обыкновенные, диаметр условного прохода 25 мм, толщина стенки 3,2 мм</t>
  </si>
  <si>
    <t>1-100-53</t>
  </si>
  <si>
    <t>Рабочий среднего разряда 5.3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</si>
  <si>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</si>
  <si>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</si>
  <si>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</si>
  <si>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01.1.01.09-0026</t>
  </si>
  <si>
    <t>ФССЦ-2001, 01.1.01.09-0026, приказ Минстроя России №1039/пр от 30.12.2016г.</t>
  </si>
  <si>
    <t>Шнур асбестовый общего назначения марки ШАОН диаметром 8-10 мм</t>
  </si>
  <si>
    <t>01.7.15.03-0041</t>
  </si>
  <si>
    <t>ФССЦ-2001, 01.7.15.03-0041, приказ Минстроя России №1039/пр от 30.12.2016г.</t>
  </si>
  <si>
    <t>01.7.19.04-0031</t>
  </si>
  <si>
    <t>ФССЦ-2001, 01.7.19.04-0031, приказ Минстроя России №1039/пр от 30.12.2016г.</t>
  </si>
  <si>
    <t>Прокладки резиновые (пластина техническая прессованная)</t>
  </si>
  <si>
    <t>14.5.04.03-0002</t>
  </si>
  <si>
    <t>ФССЦ-2001, 14.5.04.03-0002, приказ Минстроя России №1039/пр от 30.12.2016г.</t>
  </si>
  <si>
    <t>Мастика герметизирующая нетвердеющая «Гэлан»</t>
  </si>
  <si>
    <t>91.06.03-047</t>
  </si>
  <si>
    <t>ФСЭМ-2001, 91.06.03-047, приказ Минстроя России №1039/пр от 30.12.2016г.</t>
  </si>
  <si>
    <t>Лебедки ручные и рычажные тяговым усилием 31,39 кН (3,2 т)</t>
  </si>
  <si>
    <t>22.2.02.11-0032</t>
  </si>
  <si>
    <t>ФССЦ-2001, 22.2.02.11-0032, приказ Минстроя России №1039/пр от 30.12.2016г.</t>
  </si>
  <si>
    <t>Болты сборочные с гайками и шайбами по классу прочности 5.8</t>
  </si>
  <si>
    <t>1-100-29</t>
  </si>
  <si>
    <t>Рабочий среднего разряда 2.9</t>
  </si>
  <si>
    <t>01.7.07.29-0031</t>
  </si>
  <si>
    <t>ФССЦ-2001, 01.7.07.29-0031, приказ Минстроя России №1039/пр от 30.12.2016г.</t>
  </si>
  <si>
    <t>Каболка</t>
  </si>
  <si>
    <t>03.2.02.08-0002</t>
  </si>
  <si>
    <t>ФССЦ-2001, 03.2.02.08-0002, приказ Минстроя России №1039/пр от 30.12.2016г.</t>
  </si>
  <si>
    <t>Цемент расширяющийся</t>
  </si>
  <si>
    <t>01.7.15.03-0014</t>
  </si>
  <si>
    <t>ФССЦ-2001, 01.7.15.03-0014, приказ Минстроя России №1039/пр от 30.12.2016г.</t>
  </si>
  <si>
    <t>Болты с гайками и шайбами для санитарно-технических работ диаметром 16 мм</t>
  </si>
  <si>
    <t>01.7.19.02-0041</t>
  </si>
  <si>
    <t>ФССЦ-2001, 01.7.19.02-0041, приказ Минстроя России №1039/пр от 30.12.2016г.</t>
  </si>
  <si>
    <t>Кольца резиновые для: чугунных напорных труб диаметром 50-300 мм</t>
  </si>
  <si>
    <t>01.7.15.03-0012</t>
  </si>
  <si>
    <t>ФССЦ-2001, 01.7.15.03-0012, приказ Минстроя России №1039/пр от 30.12.2016г.</t>
  </si>
  <si>
    <t>Болты с гайками и шайбами для санитарно-технических работ диаметром 10 мм</t>
  </si>
  <si>
    <t>03.2.02.08-0001</t>
  </si>
  <si>
    <t>ФССЦ-2001, 03.2.02.08-0001, приказ Минстроя России №1039/пр от 30.12.2016г.</t>
  </si>
  <si>
    <t>Цемент гипсоглиноземистый расширяющийся</t>
  </si>
  <si>
    <t>01.7.19.04-0002</t>
  </si>
  <si>
    <t>ФССЦ-2001, 01.7.19.04-0002, приказ Минстроя России №1039/пр от 30.12.2016г.</t>
  </si>
  <si>
    <t>Пластина резиновая рулонная вулканизированная</t>
  </si>
  <si>
    <t>10.2.02.08-0001</t>
  </si>
  <si>
    <t>ФССЦ-2001, 10.2.02.08-0001, приказ Минстроя России №1039/пр от 30.12.2016г.</t>
  </si>
  <si>
    <t>Проволока медная круглая электротехническая ММ (мягкая) диаметром 1,0-3,0 мм и выше</t>
  </si>
  <si>
    <t>14.1.05.03-0012</t>
  </si>
  <si>
    <t>ФССЦ-2001, 14.1.05.03-0012, приказ Минстроя России №1039/пр от 30.12.2016г.</t>
  </si>
  <si>
    <t>Клей фенолполивинилацетатный марки БФ-2, сорт I</t>
  </si>
  <si>
    <t>18.1.10.11-0003</t>
  </si>
  <si>
    <t>ФССЦ-2001, 18.1.10.11-0003, приказ Минстроя России №1039/пр от 30.12.2016г.</t>
  </si>
  <si>
    <t>Краны смывные полуавтоматические латунные с гальванопокрытием диаметром 25 мм</t>
  </si>
  <si>
    <t>18.2.06.11-0022</t>
  </si>
  <si>
    <t>ФССЦ-2001, 18.2.06.11-0022, приказ Минстроя России №1039/пр от 30.12.2016г.</t>
  </si>
  <si>
    <t>Трубы сливные из стальных водо-газопроводных труб диаметром 32 мм оцинкованные</t>
  </si>
  <si>
    <t>01.7.07.29-0111</t>
  </si>
  <si>
    <t>ФССЦ-2001, 01.7.07.29-0111, приказ Минстроя России №1039/пр от 30.12.2016г.</t>
  </si>
  <si>
    <t>Пакля пропитанная</t>
  </si>
  <si>
    <t>23.8.05.01-0011</t>
  </si>
  <si>
    <t>ФССЦ-2001, 23.8.05.01-0011, приказ Минстроя России №1039/пр от 30.12.2016г.</t>
  </si>
  <si>
    <t>Заглушки чугунные диаметром 50 мм</t>
  </si>
  <si>
    <t>23.8.05.05-0011</t>
  </si>
  <si>
    <t>ФССЦ-2001, 23.8.05.05-0011, приказ Минстроя России №1039/пр от 30.12.2016г.</t>
  </si>
  <si>
    <t>Муфты надвижные диаметром 50 мм</t>
  </si>
  <si>
    <t>23.8.05.12-0121</t>
  </si>
  <si>
    <t>ФССЦ-2001, 23.8.05.12-0121, приказ Минстроя России №1039/пр от 30.12.2016г.</t>
  </si>
  <si>
    <t>Тройники косые под 60 градусов диаметром 50х50 мм</t>
  </si>
  <si>
    <t>23.8.05.01-0012</t>
  </si>
  <si>
    <t>ФССЦ-2001, 23.8.05.01-0012, приказ Минстроя России №1039/пр от 30.12.2016г.</t>
  </si>
  <si>
    <t>Заглушки чугунные диаметром 100 мм</t>
  </si>
  <si>
    <t>23.8.05.05-0012</t>
  </si>
  <si>
    <t>ФССЦ-2001, 23.8.05.05-0012, приказ Минстроя России №1039/пр от 30.12.2016г.</t>
  </si>
  <si>
    <t>Муфты надвижные диаметром 100 мм</t>
  </si>
  <si>
    <t>23.8.05.12-0123</t>
  </si>
  <si>
    <t>ФССЦ-2001, 23.8.05.12-0123, приказ Минстроя России №1039/пр от 30.12.2016г.</t>
  </si>
  <si>
    <t>Тройники косые под 60 градусов диаметром 100х100 мм</t>
  </si>
  <si>
    <t>91.17.04-031</t>
  </si>
  <si>
    <t>ФСЭМ-2001, 91.17.04-031, приказ Минстроя России №1039/пр от 30.12.2016г.</t>
  </si>
  <si>
    <t>Агрегаты для сварки полиэтиленовых труб</t>
  </si>
  <si>
    <t>01.3.05.38-0241</t>
  </si>
  <si>
    <t>ФССЦ-2001, 01.3.05.38-0241, приказ Минстроя России №1039/пр от 30.12.2016г.</t>
  </si>
  <si>
    <t>Метиленхлорид</t>
  </si>
  <si>
    <t>01.7.07.10-0001</t>
  </si>
  <si>
    <t>ФССЦ-2001, 01.7.07.10-0001, приказ Минстроя России №1039/пр от 30.12.2016г.</t>
  </si>
  <si>
    <t>Патроны для строительно-монтажного пистолета</t>
  </si>
  <si>
    <t>01.7.15.07-0042</t>
  </si>
  <si>
    <t>ФССЦ-2001, 01.7.15.07-0042, приказ Минстроя России №1039/пр от 30.12.2016г.</t>
  </si>
  <si>
    <t>Дюбели с калиброванной головкой (в обоймах) 3х58,5 мм</t>
  </si>
  <si>
    <t>14.1.04.02-0002</t>
  </si>
  <si>
    <t>ФССЦ-2001, 14.1.04.02-0002, приказ Минстроя России №1039/пр от 30.12.2016г.</t>
  </si>
  <si>
    <t>Клей 88-СА</t>
  </si>
  <si>
    <t>23.3.06.02-0004</t>
  </si>
  <si>
    <t>ФССЦ-2001, 23.3.06.02-0004, приказ Минстроя России №1039/пр от 30.12.2016г.</t>
  </si>
  <si>
    <t>Трубы стальные сварные водогазопроводные с резьбой оцинкованные обыкновенные, диаметр условного прохода 32 мм, толщина стенки 3,2 мм</t>
  </si>
  <si>
    <t>11.2.04.06</t>
  </si>
  <si>
    <t>Изделия штучные</t>
  </si>
  <si>
    <t>01.7.07.07</t>
  </si>
  <si>
    <t>Строительный мусор</t>
  </si>
  <si>
    <t>11.3.01.05</t>
  </si>
  <si>
    <t>Блоки дверные входные пластиковые</t>
  </si>
  <si>
    <t>01.7.15.14</t>
  </si>
  <si>
    <t>Шурупы строительные</t>
  </si>
  <si>
    <t>07.2.07.13</t>
  </si>
  <si>
    <t>Конструкции стальные</t>
  </si>
  <si>
    <t>Планка из стального листа</t>
  </si>
  <si>
    <t>14.4.02.04</t>
  </si>
  <si>
    <t>Краски для внутренних работ масляные готовые к применению</t>
  </si>
  <si>
    <t>01.7.04.11</t>
  </si>
  <si>
    <t>Скобяные изделия</t>
  </si>
  <si>
    <t>08.1.02.25</t>
  </si>
  <si>
    <t>Ерши металлические</t>
  </si>
  <si>
    <t>11.2.02.01</t>
  </si>
  <si>
    <t>Блоки дверные</t>
  </si>
  <si>
    <t>07.1.01.03</t>
  </si>
  <si>
    <t>Блоки дверные металлические</t>
  </si>
  <si>
    <t>03.2.02.11</t>
  </si>
  <si>
    <t>Цемент</t>
  </si>
  <si>
    <t>11.3.03.14</t>
  </si>
  <si>
    <t>Уголок наружный для пластикового плинтуса</t>
  </si>
  <si>
    <t>Уголок внутренний для пластикового плинтуса</t>
  </si>
  <si>
    <t>Соединитель для пластикового плинтуса</t>
  </si>
  <si>
    <t>Заглушка торцевая для пластикового плинтуса левая</t>
  </si>
  <si>
    <t>Заглушка торцевая для пластикового плинтуса правая</t>
  </si>
  <si>
    <t>06.1.01.05</t>
  </si>
  <si>
    <t>Кирпич керамический, силикатный или пустотелый</t>
  </si>
  <si>
    <t>01.6.03.04</t>
  </si>
  <si>
    <t>Линолеум на теплозвукоизолирующей подоснове</t>
  </si>
  <si>
    <t>01.7.06.03</t>
  </si>
  <si>
    <t>Лента полимерная</t>
  </si>
  <si>
    <t>11.2.04.05</t>
  </si>
  <si>
    <t>Рейки деревянные</t>
  </si>
  <si>
    <t>04.3.02.09</t>
  </si>
  <si>
    <t>Смеси на цементной основе</t>
  </si>
  <si>
    <t>06.2.05.04</t>
  </si>
  <si>
    <t>Плитки рядовые</t>
  </si>
  <si>
    <t>01.6.02.01</t>
  </si>
  <si>
    <t>Обои</t>
  </si>
  <si>
    <t>14.4.02.09</t>
  </si>
  <si>
    <t>999-0005</t>
  </si>
  <si>
    <t>Масса оборудования</t>
  </si>
  <si>
    <t>Строительный мусор и масса возвратных материалов</t>
  </si>
  <si>
    <t>18.1.01.01</t>
  </si>
  <si>
    <t>Арматура муфтовая</t>
  </si>
  <si>
    <t>19.1.01.11</t>
  </si>
  <si>
    <t>Крепления</t>
  </si>
  <si>
    <t>19.2.03.09</t>
  </si>
  <si>
    <t>Решетки жалюзийные</t>
  </si>
  <si>
    <t>Арматура трубопроводная фланцевая</t>
  </si>
  <si>
    <t>23.8.03.12</t>
  </si>
  <si>
    <t>Фланцы стальные</t>
  </si>
  <si>
    <t>19.1.02.01</t>
  </si>
  <si>
    <t>Воздухоотводчики</t>
  </si>
  <si>
    <t>08.1.02.17</t>
  </si>
  <si>
    <t>Сетки в рамках</t>
  </si>
  <si>
    <t>19.1.01.13</t>
  </si>
  <si>
    <t>Воздуховоды металлические</t>
  </si>
  <si>
    <t>19.3.01.01</t>
  </si>
  <si>
    <t>Дроссель-клапаны в патрубке</t>
  </si>
  <si>
    <t>19.3.02.07</t>
  </si>
  <si>
    <t>Шиберы</t>
  </si>
  <si>
    <t>24.3.05.02</t>
  </si>
  <si>
    <t>Заглушки питометражных лючков</t>
  </si>
  <si>
    <t>18.4.01.02</t>
  </si>
  <si>
    <t>Растяжки с талрепами</t>
  </si>
  <si>
    <t>19.1.04.02</t>
  </si>
  <si>
    <t>Дефлекторы</t>
  </si>
  <si>
    <t>01.7.15.02</t>
  </si>
  <si>
    <t>Болты анкерные</t>
  </si>
  <si>
    <t>18.2.06.12</t>
  </si>
  <si>
    <t>Приборы санитарно-технические</t>
  </si>
  <si>
    <t>18.1.02.03</t>
  </si>
  <si>
    <t>Задвижки</t>
  </si>
  <si>
    <t>01.7.19.03</t>
  </si>
  <si>
    <t>14.5.02.02</t>
  </si>
  <si>
    <t>Замазка суриковая</t>
  </si>
  <si>
    <t>18.2.06.04</t>
  </si>
  <si>
    <t>Гарнитура туалетная</t>
  </si>
  <si>
    <t>Наконечники</t>
  </si>
  <si>
    <t>24.3.03.15</t>
  </si>
  <si>
    <t>Трубы полиэтиленовые</t>
  </si>
  <si>
    <t>24.3.05.19</t>
  </si>
  <si>
    <t>Фасонные и соединительные части к полиэтиленовым трубам</t>
  </si>
  <si>
    <t>18.1.10.10</t>
  </si>
  <si>
    <t>Смесители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</si>
  <si>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</si>
  <si>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МДС 81-37.2004, п.3.2.1.4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не подлежит дальнейшему использованию (предназначено в лом)  без разборки и резки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</si>
  <si>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</si>
  <si>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</si>
  <si>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</si>
  <si>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</si>
  <si>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</si>
  <si>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</si>
  <si>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</si>
  <si>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</si>
  <si>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</si>
  <si>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</si>
  <si>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</si>
  <si>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</si>
  <si>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</si>
  <si>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</si>
  <si>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</si>
  <si>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</si>
  <si>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</si>
  <si>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</si>
  <si>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</si>
  <si>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</si>
  <si>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</si>
  <si>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</si>
  <si>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</si>
  <si>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</si>
  <si>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</si>
  <si>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</si>
  <si>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</si>
  <si>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</si>
  <si>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</si>
  <si>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</si>
  <si>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</si>
  <si>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 xml:space="preserve">   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</si>
  <si>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</si>
  <si>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</si>
  <si>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</si>
  <si>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</si>
  <si>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</si>
  <si>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</si>
  <si>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</si>
  <si>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</si>
  <si>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</si>
  <si>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</si>
  <si>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</si>
  <si>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</si>
  <si>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</si>
  <si>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</si>
  <si>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</si>
  <si>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</si>
  <si>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</si>
  <si>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</si>
  <si>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</si>
  <si>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</si>
  <si>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</si>
  <si>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</si>
  <si>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</si>
  <si>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</si>
  <si>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</si>
  <si>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</si>
  <si>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</si>
  <si>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</si>
  <si>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</si>
  <si>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</si>
  <si>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</si>
  <si>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</si>
  <si>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</si>
  <si>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</si>
  <si>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</si>
  <si>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</si>
  <si>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</si>
  <si>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</si>
  <si>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</si>
  <si>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</si>
  <si>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</si>
  <si>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</si>
  <si>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</si>
  <si>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</si>
  <si>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НР с поправкой</t>
  </si>
  <si>
    <t>% СП</t>
  </si>
  <si>
    <t>СП с поправкой</t>
  </si>
  <si>
    <t xml:space="preserve">Итого с НР и СП </t>
  </si>
  <si>
    <t xml:space="preserve">Стоимость материалов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</si>
  <si>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</si>
  <si>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</si>
  <si>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</si>
  <si>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</si>
  <si>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</si>
  <si>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Исключен
Раствор готовый отделочный тяжелый, цементно-известковый 1:1:6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</si>
  <si>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</si>
  <si>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</si>
  <si>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</si>
  <si>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</si>
  <si>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</si>
  <si>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</si>
  <si>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</si>
  <si>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Унифицированная форма № КС-3</t>
  </si>
  <si>
    <t>Коды</t>
  </si>
  <si>
    <t xml:space="preserve">Инвестор </t>
  </si>
  <si>
    <t xml:space="preserve">Заказчик (генподрядчик) </t>
  </si>
  <si>
    <t xml:space="preserve">Подрядчик (субподрядчик) </t>
  </si>
  <si>
    <t xml:space="preserve">Стройка </t>
  </si>
  <si>
    <t>Вид деятельности  по ОКДП</t>
  </si>
  <si>
    <t xml:space="preserve">Договор подряда (контракт) </t>
  </si>
  <si>
    <t>Вид операции</t>
  </si>
  <si>
    <t>СПРАВКА</t>
  </si>
  <si>
    <t>СТОИМОСТИ ВЫПОЛНЕННЫХ РАБОТ И ЗАТРАТ</t>
  </si>
  <si>
    <t>Наименование пусковых комплексов, объектов, видов работ, оборудования, затрат</t>
  </si>
  <si>
    <t>Стоимость выполненных работ и затрат</t>
  </si>
  <si>
    <t>с начала проведения работ</t>
  </si>
  <si>
    <t>с начала года по отчетный период включительно</t>
  </si>
  <si>
    <t>в том числе за отчетный месяц</t>
  </si>
  <si>
    <t>Всего работ и затрат, включаемых в стоимость</t>
  </si>
  <si>
    <t>В том числе:</t>
  </si>
  <si>
    <t>Итого</t>
  </si>
  <si>
    <t xml:space="preserve">Сумма НДС </t>
  </si>
  <si>
    <t xml:space="preserve">Всего с учетом НДС </t>
  </si>
  <si>
    <t>МП</t>
  </si>
  <si>
    <t>Составлена в ценах II квартал 2018 года</t>
  </si>
  <si>
    <t>СМЕТА</t>
  </si>
  <si>
    <t>Капитальный ремонт жилых и нежилых помещений П-4/ Т-4, В-7, В-8, С-7, С-8 2-го этажа общежития №2 Нововоронежского политехнического колледжа - филиала НИЯУ МИФИ (НВПК НИЯУ МИФИ) по адресу: Воронежская обл., г. Нововоронеж, ул. Космонавтов, д. 1А</t>
  </si>
  <si>
    <t>ПРИЛОЖЕНИЕ 1 к ФОРМЕ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</si>
</sst>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8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Alignment="1"/>
    <xf numFmtId="0" fontId="11" fillId="0" borderId="0" xfId="0" applyFont="1" applyAlignment="1"/>
    <xf numFmtId="0" fontId="11" fillId="0" borderId="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3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11" fillId="0" borderId="0" xfId="0" applyNumberFormat="1" applyFont="1"/>
    <xf numFmtId="0" fontId="9" fillId="0" borderId="0" xfId="0" applyFont="1" applyAlignment="1">
      <alignment wrapText="1"/>
    </xf>
    <xf numFmtId="164" fontId="0" fillId="0" borderId="0" xfId="0" applyNumberFormat="1"/>
    <xf numFmtId="0" fontId="11" fillId="0" borderId="2" xfId="0" applyFont="1" applyBorder="1"/>
    <xf numFmtId="0" fontId="11" fillId="0" borderId="0" xfId="0" applyFont="1" applyAlignment="1">
      <alignment vertic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7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164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4" fillId="0" borderId="0" xfId="0" applyFont="1" applyAlignment="1">
      <alignment horizontal="left" wrapText="1"/>
    </xf>
    <xf numFmtId="0" fontId="11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14" fontId="9" fillId="0" borderId="4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64" fontId="9" fillId="0" borderId="0" xfId="0" applyNumberFormat="1" applyFont="1" applyAlignment="1">
      <alignment horizontal="right" wrapText="1"/>
    </xf>
    <xf numFmtId="0" fontId="14" fillId="0" borderId="0" xfId="0" applyFont="1" applyAlignment="1">
      <alignment horizontal="right"/>
    </xf>
    <xf numFmtId="164" fontId="14" fillId="0" borderId="0" xfId="0" applyNumberFormat="1" applyFont="1" applyAlignment="1">
      <alignment horizontal="right"/>
    </xf>
    <xf numFmtId="0" fontId="11" fillId="0" borderId="14" xfId="0" applyFont="1" applyBorder="1" applyAlignment="1">
      <alignment horizontal="left" vertical="center" shrinkToFit="1"/>
    </xf>
    <xf numFmtId="0" fontId="11" fillId="0" borderId="14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top" shrinkToFit="1"/>
    </xf>
    <xf numFmtId="0" fontId="11" fillId="0" borderId="6" xfId="0" applyFont="1" applyBorder="1" applyAlignment="1">
      <alignment horizontal="center"/>
    </xf>
    <xf numFmtId="14" fontId="11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wrapText="1" shrinkToFit="1"/>
    </xf>
    <xf numFmtId="0" fontId="11" fillId="0" borderId="4" xfId="0" applyFont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right"/>
    </xf>
    <xf numFmtId="0" fontId="11" fillId="0" borderId="0" xfId="0" applyFont="1" applyBorder="1"/>
    <xf numFmtId="0" fontId="0" fillId="0" borderId="0" xfId="0" applyBorder="1"/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1" fillId="0" borderId="0" xfId="0" applyFont="1" applyBorder="1" applyAlignment="1">
      <alignment horizontal="left" wrapText="1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4" fillId="0" borderId="0" xfId="0" applyFont="1" applyAlignment="1">
      <alignment horizontal="right"/>
    </xf>
    <xf numFmtId="0" fontId="11" fillId="0" borderId="2" xfId="0" applyFont="1" applyBorder="1" applyAlignment="1">
      <alignment horizontal="left"/>
    </xf>
    <xf numFmtId="164" fontId="14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right" wrapText="1"/>
    </xf>
    <xf numFmtId="0" fontId="12" fillId="0" borderId="0" xfId="0" applyFont="1" applyAlignment="1">
      <alignment horizontal="center" wrapText="1"/>
    </xf>
    <xf numFmtId="0" fontId="10" fillId="0" borderId="0" xfId="0" applyFont="1" applyBorder="1" applyAlignment="1">
      <alignment horizontal="center" vertical="top"/>
    </xf>
    <xf numFmtId="0" fontId="14" fillId="0" borderId="0" xfId="0" applyFont="1" applyAlignment="1">
      <alignment horizontal="left" wrapText="1"/>
    </xf>
    <xf numFmtId="164" fontId="14" fillId="0" borderId="0" xfId="0" applyNumberFormat="1" applyFont="1" applyAlignment="1">
      <alignment horizontal="right"/>
    </xf>
    <xf numFmtId="0" fontId="10" fillId="0" borderId="1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>
      <alignment horizontal="left" wrapText="1"/>
    </xf>
    <xf numFmtId="0" fontId="10" fillId="0" borderId="0" xfId="0" applyFont="1" applyAlignment="1">
      <alignment horizontal="right"/>
    </xf>
    <xf numFmtId="0" fontId="11" fillId="0" borderId="5" xfId="0" quotePrefix="1" applyFont="1" applyBorder="1" applyAlignment="1">
      <alignment horizontal="center"/>
    </xf>
    <xf numFmtId="0" fontId="11" fillId="0" borderId="8" xfId="0" applyFont="1" applyBorder="1" applyAlignment="1">
      <alignment horizontal="right"/>
    </xf>
    <xf numFmtId="14" fontId="11" fillId="0" borderId="5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164" fontId="14" fillId="0" borderId="2" xfId="0" applyNumberFormat="1" applyFont="1" applyBorder="1" applyAlignment="1">
      <alignment horizontal="right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9" fillId="0" borderId="0" xfId="0" quotePrefix="1" applyFont="1" applyAlignment="1">
      <alignment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vertical="center" shrinkToFit="1"/>
    </xf>
    <xf numFmtId="0" fontId="11" fillId="0" borderId="14" xfId="0" applyFont="1" applyBorder="1" applyAlignment="1">
      <alignment horizontal="left" vertical="center" shrinkToFit="1"/>
    </xf>
    <xf numFmtId="0" fontId="10" fillId="0" borderId="15" xfId="0" applyFont="1" applyBorder="1" applyAlignment="1">
      <alignment horizontal="center" vertical="top" shrinkToFit="1"/>
    </xf>
    <xf numFmtId="0" fontId="10" fillId="0" borderId="0" xfId="0" applyFont="1"/>
    <xf numFmtId="0" fontId="11" fillId="0" borderId="2" xfId="0" applyFont="1" applyBorder="1"/>
    <xf numFmtId="0" fontId="11" fillId="0" borderId="5" xfId="0" applyFont="1" applyBorder="1" applyAlignment="1">
      <alignment horizontal="right"/>
    </xf>
    <xf numFmtId="0" fontId="11" fillId="0" borderId="1" xfId="0" applyFont="1" applyBorder="1" applyAlignment="1">
      <alignment horizontal="right"/>
    </xf>
    <xf numFmtId="0" fontId="11" fillId="0" borderId="4" xfId="0" applyFont="1" applyBorder="1" applyAlignment="1">
      <alignment horizontal="right"/>
    </xf>
    <xf numFmtId="0" fontId="11" fillId="0" borderId="16" xfId="0" applyFont="1" applyBorder="1" applyAlignment="1">
      <alignment horizontal="right"/>
    </xf>
    <xf numFmtId="0" fontId="11" fillId="0" borderId="4" xfId="0" applyFont="1" applyBorder="1"/>
    <xf numFmtId="0" fontId="11" fillId="0" borderId="11" xfId="0" applyFont="1" applyBorder="1"/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14" fontId="11" fillId="0" borderId="11" xfId="0" applyNumberFormat="1" applyFont="1" applyBorder="1" applyAlignment="1">
      <alignment horizontal="center"/>
    </xf>
    <xf numFmtId="14" fontId="11" fillId="0" borderId="16" xfId="0" applyNumberFormat="1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 shrinkToFit="1"/>
    </xf>
    <xf numFmtId="0" fontId="11" fillId="0" borderId="7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 shrinkToFit="1"/>
    </xf>
    <xf numFmtId="0" fontId="11" fillId="0" borderId="8" xfId="0" applyFont="1" applyBorder="1" applyAlignment="1">
      <alignment horizontal="center" vertical="center" wrapText="1" shrinkToFit="1"/>
    </xf>
    <xf numFmtId="0" fontId="11" fillId="0" borderId="0" xfId="0" applyFont="1" applyAlignment="1">
      <alignment horizontal="right" vertical="center" wrapText="1" shrinkToFit="1"/>
    </xf>
    <xf numFmtId="164" fontId="11" fillId="0" borderId="4" xfId="0" applyNumberFormat="1" applyFont="1" applyBorder="1" applyAlignment="1">
      <alignment horizontal="right" vertical="center" wrapText="1" shrinkToFit="1"/>
    </xf>
    <xf numFmtId="0" fontId="11" fillId="0" borderId="11" xfId="0" applyFont="1" applyBorder="1" applyAlignment="1">
      <alignment horizontal="right" vertical="center" wrapText="1" shrinkToFit="1"/>
    </xf>
    <xf numFmtId="0" fontId="11" fillId="0" borderId="1" xfId="0" applyFont="1" applyBorder="1" applyAlignment="1">
      <alignment horizontal="center"/>
    </xf>
    <xf numFmtId="0" fontId="11" fillId="0" borderId="5" xfId="0" applyFont="1" applyBorder="1" applyAlignment="1">
      <alignment horizontal="justify" vertical="top" wrapText="1" shrinkToFit="1"/>
    </xf>
    <xf numFmtId="0" fontId="11" fillId="0" borderId="1" xfId="0" applyFont="1" applyBorder="1" applyAlignment="1">
      <alignment horizontal="justify" vertical="top" wrapText="1" shrinkToFit="1"/>
    </xf>
    <xf numFmtId="164" fontId="11" fillId="0" borderId="5" xfId="0" applyNumberFormat="1" applyFont="1" applyBorder="1" applyAlignment="1">
      <alignment horizontal="right" wrapText="1" shrinkToFit="1"/>
    </xf>
    <xf numFmtId="0" fontId="11" fillId="0" borderId="1" xfId="0" applyFont="1" applyBorder="1" applyAlignment="1">
      <alignment horizontal="right" wrapText="1" shrinkToFit="1"/>
    </xf>
    <xf numFmtId="0" fontId="11" fillId="0" borderId="6" xfId="0" applyFont="1" applyBorder="1" applyAlignment="1">
      <alignment horizontal="right" wrapText="1" shrinkToFit="1"/>
    </xf>
    <xf numFmtId="0" fontId="11" fillId="0" borderId="4" xfId="0" applyFont="1" applyBorder="1" applyAlignment="1">
      <alignment horizontal="justify" vertical="top" wrapText="1" shrinkToFit="1"/>
    </xf>
    <xf numFmtId="0" fontId="11" fillId="0" borderId="16" xfId="0" applyFont="1" applyBorder="1" applyAlignment="1">
      <alignment horizontal="justify" vertical="top" wrapText="1" shrinkToFit="1"/>
    </xf>
    <xf numFmtId="0" fontId="11" fillId="0" borderId="6" xfId="0" applyFont="1" applyBorder="1" applyAlignment="1">
      <alignment horizontal="justify" vertical="top" wrapText="1" shrinkToFit="1"/>
    </xf>
    <xf numFmtId="0" fontId="11" fillId="0" borderId="6" xfId="0" applyFont="1" applyBorder="1" applyAlignment="1">
      <alignment horizontal="right"/>
    </xf>
    <xf numFmtId="164" fontId="11" fillId="0" borderId="5" xfId="0" applyNumberFormat="1" applyFont="1" applyBorder="1" applyAlignment="1">
      <alignment horizontal="right"/>
    </xf>
    <xf numFmtId="164" fontId="11" fillId="0" borderId="5" xfId="0" applyNumberFormat="1" applyFont="1" applyBorder="1" applyAlignment="1">
      <alignment horizontal="right" vertical="center" wrapText="1" shrinkToFit="1"/>
    </xf>
    <xf numFmtId="0" fontId="11" fillId="0" borderId="6" xfId="0" applyFont="1" applyBorder="1" applyAlignment="1">
      <alignment horizontal="right" vertical="center" wrapText="1" shrinkToFit="1"/>
    </xf>
    <xf numFmtId="0" fontId="11" fillId="0" borderId="2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top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241"/>
  <sheetViews>
    <sheetView tabSelected="1" zoomScaleNormal="100" workbookViewId="0">
      <selection activeCell="B15" sqref="B15:K15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1" width="0" hidden="1" customWidth="1"/>
    <col min="32" max="32" width="91.7109375" hidden="1" customWidth="1"/>
    <col min="33" max="36" width="0" hidden="1" customWidth="1"/>
  </cols>
  <sheetData>
    <row r="1" spans="1:12" x14ac:dyDescent="0.2">
      <c r="A1" s="10" t="str">
        <f>Source!B1</f>
        <v>Smeta.RU  (495) 974-1589</v>
      </c>
      <c r="H1" t="s">
        <v>1879</v>
      </c>
    </row>
    <row r="2" spans="1:12" ht="14.25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2"/>
      <c r="L2" s="12"/>
    </row>
    <row r="3" spans="1:12" ht="16.5" x14ac:dyDescent="0.25">
      <c r="A3" s="13"/>
      <c r="B3" s="80"/>
      <c r="C3" s="80"/>
      <c r="D3" s="80"/>
      <c r="E3" s="80"/>
      <c r="F3" s="12"/>
      <c r="G3" s="12"/>
      <c r="H3" s="80"/>
      <c r="I3" s="80"/>
      <c r="J3" s="80"/>
      <c r="K3" s="80"/>
      <c r="L3" s="80"/>
    </row>
    <row r="4" spans="1:12" ht="14.25" x14ac:dyDescent="0.2">
      <c r="A4" s="12"/>
      <c r="B4" s="81"/>
      <c r="C4" s="81"/>
      <c r="D4" s="81"/>
      <c r="E4" s="81"/>
      <c r="F4" s="12"/>
      <c r="G4" s="12"/>
      <c r="H4" s="81"/>
      <c r="I4" s="81"/>
      <c r="J4" s="81"/>
      <c r="K4" s="81"/>
      <c r="L4" s="81"/>
    </row>
    <row r="5" spans="1:12" ht="14.25" x14ac:dyDescent="0.2">
      <c r="A5" s="14"/>
      <c r="B5" s="14"/>
      <c r="C5" s="15"/>
      <c r="D5" s="15"/>
      <c r="E5" s="15"/>
      <c r="F5" s="12"/>
      <c r="G5" s="12"/>
      <c r="H5" s="16"/>
      <c r="I5" s="15"/>
      <c r="J5" s="15"/>
      <c r="K5" s="15"/>
      <c r="L5" s="16"/>
    </row>
    <row r="6" spans="1:12" ht="14.25" x14ac:dyDescent="0.2">
      <c r="A6" s="16"/>
      <c r="B6" s="81"/>
      <c r="C6" s="81"/>
      <c r="D6" s="81"/>
      <c r="E6" s="81"/>
      <c r="F6" s="12"/>
      <c r="G6" s="12"/>
      <c r="H6" s="81"/>
      <c r="I6" s="81"/>
      <c r="J6" s="81"/>
      <c r="K6" s="81"/>
      <c r="L6" s="81"/>
    </row>
    <row r="7" spans="1:12" ht="14.25" x14ac:dyDescent="0.2">
      <c r="A7" s="17"/>
      <c r="B7" s="79"/>
      <c r="C7" s="79"/>
      <c r="D7" s="79"/>
      <c r="E7" s="79"/>
      <c r="F7" s="12"/>
      <c r="G7" s="12"/>
      <c r="H7" s="79"/>
      <c r="I7" s="79"/>
      <c r="J7" s="79"/>
      <c r="K7" s="79"/>
      <c r="L7" s="79"/>
    </row>
    <row r="10" spans="1:12" ht="14.25" x14ac:dyDescent="0.2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12" ht="15.75" x14ac:dyDescent="0.25">
      <c r="A11" s="18"/>
      <c r="B11" s="75" t="s">
        <v>1877</v>
      </c>
      <c r="C11" s="75"/>
      <c r="D11" s="75"/>
      <c r="E11" s="75"/>
      <c r="F11" s="75"/>
      <c r="G11" s="75"/>
      <c r="H11" s="75"/>
      <c r="I11" s="75"/>
      <c r="J11" s="75"/>
      <c r="K11" s="75"/>
      <c r="L11" s="18"/>
    </row>
    <row r="12" spans="1:12" ht="15.75" x14ac:dyDescent="0.25">
      <c r="A12" s="18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8"/>
    </row>
    <row r="13" spans="1:12" ht="18" hidden="1" x14ac:dyDescent="0.25">
      <c r="A13" s="18"/>
      <c r="B13" s="76" t="str">
        <f>IF(Source!G20&lt;&gt;"Новая локальная смета", Source!G20, "")</f>
        <v/>
      </c>
      <c r="C13" s="76"/>
      <c r="D13" s="76"/>
      <c r="E13" s="76"/>
      <c r="F13" s="76"/>
      <c r="G13" s="76"/>
      <c r="H13" s="76"/>
      <c r="I13" s="76"/>
      <c r="J13" s="76"/>
      <c r="K13" s="76"/>
      <c r="L13" s="18"/>
    </row>
    <row r="14" spans="1:12" ht="14.25" hidden="1" x14ac:dyDescent="0.2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ht="64.5" customHeight="1" x14ac:dyDescent="0.25">
      <c r="A15" s="12"/>
      <c r="B15" s="76" t="s">
        <v>1878</v>
      </c>
      <c r="C15" s="76"/>
      <c r="D15" s="76"/>
      <c r="E15" s="76"/>
      <c r="F15" s="76"/>
      <c r="G15" s="76"/>
      <c r="H15" s="76"/>
      <c r="I15" s="76"/>
      <c r="J15" s="76"/>
      <c r="K15" s="76"/>
      <c r="L15" s="20"/>
    </row>
    <row r="16" spans="1:12" ht="14.25" x14ac:dyDescent="0.2">
      <c r="A16" s="12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17"/>
    </row>
    <row r="17" spans="1:12" ht="14.25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14.25" x14ac:dyDescent="0.2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12" ht="14.25" x14ac:dyDescent="0.2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</row>
    <row r="20" spans="1:12" ht="14.25" x14ac:dyDescent="0.2">
      <c r="A20" s="12"/>
      <c r="B20" s="12"/>
      <c r="C20" s="12"/>
      <c r="D20" s="12"/>
      <c r="E20" s="21"/>
      <c r="F20" s="21"/>
      <c r="G20" s="78" t="s">
        <v>1760</v>
      </c>
      <c r="H20" s="78"/>
      <c r="I20" s="78" t="s">
        <v>1761</v>
      </c>
      <c r="J20" s="78"/>
      <c r="K20" s="12"/>
      <c r="L20" s="12"/>
    </row>
    <row r="21" spans="1:12" ht="15" x14ac:dyDescent="0.25">
      <c r="A21" s="12"/>
      <c r="B21" s="12"/>
      <c r="C21" s="85" t="s">
        <v>1762</v>
      </c>
      <c r="D21" s="85"/>
      <c r="E21" s="85"/>
      <c r="F21" s="85"/>
      <c r="G21" s="83">
        <f>SUM(O32:O1229)/1000</f>
        <v>302.51521999999983</v>
      </c>
      <c r="H21" s="83"/>
      <c r="I21" s="83">
        <f>(Source!F479/1000)</f>
        <v>2552.0127900000002</v>
      </c>
      <c r="J21" s="83"/>
      <c r="K21" s="84" t="s">
        <v>1763</v>
      </c>
      <c r="L21" s="84"/>
    </row>
    <row r="22" spans="1:12" ht="14.25" x14ac:dyDescent="0.2">
      <c r="A22" s="12"/>
      <c r="B22" s="12"/>
      <c r="C22" s="82" t="s">
        <v>1764</v>
      </c>
      <c r="D22" s="82"/>
      <c r="E22" s="82"/>
      <c r="F22" s="82"/>
      <c r="G22" s="83">
        <f>SUM(W32:W1229)/1000</f>
        <v>270.23617999999999</v>
      </c>
      <c r="H22" s="83"/>
      <c r="I22" s="83">
        <f>(Source!F466)/1000</f>
        <v>1927.50045</v>
      </c>
      <c r="J22" s="83"/>
      <c r="K22" s="84" t="s">
        <v>1763</v>
      </c>
      <c r="L22" s="84"/>
    </row>
    <row r="23" spans="1:12" ht="14.25" x14ac:dyDescent="0.2">
      <c r="A23" s="12"/>
      <c r="B23" s="12"/>
      <c r="C23" s="82" t="s">
        <v>1765</v>
      </c>
      <c r="D23" s="82"/>
      <c r="E23" s="82"/>
      <c r="F23" s="82"/>
      <c r="G23" s="83">
        <f>SUM(X32:X1229)/1000</f>
        <v>31.344849999999994</v>
      </c>
      <c r="H23" s="83"/>
      <c r="I23" s="83">
        <f>(Source!F467)/1000</f>
        <v>223.48878999999999</v>
      </c>
      <c r="J23" s="83"/>
      <c r="K23" s="84" t="s">
        <v>1763</v>
      </c>
      <c r="L23" s="84"/>
    </row>
    <row r="24" spans="1:12" ht="14.25" x14ac:dyDescent="0.2">
      <c r="A24" s="12"/>
      <c r="B24" s="12"/>
      <c r="C24" s="82" t="s">
        <v>1766</v>
      </c>
      <c r="D24" s="82"/>
      <c r="E24" s="82"/>
      <c r="F24" s="82"/>
      <c r="G24" s="83">
        <f>SUM(Y32:Y1229)/1000</f>
        <v>0</v>
      </c>
      <c r="H24" s="83"/>
      <c r="I24" s="83">
        <f>(Source!F458)/1000</f>
        <v>0</v>
      </c>
      <c r="J24" s="83"/>
      <c r="K24" s="84" t="s">
        <v>1763</v>
      </c>
      <c r="L24" s="84"/>
    </row>
    <row r="25" spans="1:12" ht="14.25" x14ac:dyDescent="0.2">
      <c r="A25" s="12"/>
      <c r="B25" s="12"/>
      <c r="C25" s="82" t="s">
        <v>1767</v>
      </c>
      <c r="D25" s="82"/>
      <c r="E25" s="82"/>
      <c r="F25" s="82"/>
      <c r="G25" s="83">
        <f>SUM(Z32:Z1229)/1000</f>
        <v>0.93419000000000008</v>
      </c>
      <c r="H25" s="83"/>
      <c r="I25" s="83">
        <f>(Source!F468+Source!F469)/1000</f>
        <v>11.733459999999999</v>
      </c>
      <c r="J25" s="83"/>
      <c r="K25" s="84" t="s">
        <v>1763</v>
      </c>
      <c r="L25" s="84"/>
    </row>
    <row r="26" spans="1:12" ht="15" x14ac:dyDescent="0.25">
      <c r="A26" s="12"/>
      <c r="B26" s="12"/>
      <c r="C26" s="85" t="s">
        <v>1768</v>
      </c>
      <c r="D26" s="85"/>
      <c r="E26" s="85"/>
      <c r="F26" s="85"/>
      <c r="G26" s="83">
        <f>I26</f>
        <v>2993.1992602250002</v>
      </c>
      <c r="H26" s="83"/>
      <c r="I26" s="83">
        <f>(Source!F471+Source!F472)</f>
        <v>2993.1992602250002</v>
      </c>
      <c r="J26" s="83"/>
      <c r="K26" s="84" t="s">
        <v>1769</v>
      </c>
      <c r="L26" s="84"/>
    </row>
    <row r="27" spans="1:12" ht="15" x14ac:dyDescent="0.25">
      <c r="A27" s="12"/>
      <c r="B27" s="12"/>
      <c r="C27" s="85" t="s">
        <v>1770</v>
      </c>
      <c r="D27" s="85"/>
      <c r="E27" s="85"/>
      <c r="F27" s="85"/>
      <c r="G27" s="83">
        <f>SUM(R32:R1229)/1000</f>
        <v>27.134130000000013</v>
      </c>
      <c r="H27" s="83"/>
      <c r="I27" s="83">
        <f>(Source!F464+ Source!F463)/1000</f>
        <v>195.94076000000001</v>
      </c>
      <c r="J27" s="83"/>
      <c r="K27" s="84" t="s">
        <v>1763</v>
      </c>
      <c r="L27" s="84"/>
    </row>
    <row r="28" spans="1:12" ht="14.25" x14ac:dyDescent="0.2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12" ht="14.25" x14ac:dyDescent="0.2">
      <c r="A29" s="86" t="s">
        <v>1876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</row>
    <row r="30" spans="1:12" ht="57" x14ac:dyDescent="0.2">
      <c r="A30" s="22" t="s">
        <v>1771</v>
      </c>
      <c r="B30" s="22" t="s">
        <v>1772</v>
      </c>
      <c r="C30" s="22" t="s">
        <v>1773</v>
      </c>
      <c r="D30" s="22" t="s">
        <v>1774</v>
      </c>
      <c r="E30" s="22" t="s">
        <v>1775</v>
      </c>
      <c r="F30" s="22" t="s">
        <v>1776</v>
      </c>
      <c r="G30" s="22" t="s">
        <v>1777</v>
      </c>
      <c r="H30" s="22" t="s">
        <v>1778</v>
      </c>
      <c r="I30" s="22" t="s">
        <v>1779</v>
      </c>
      <c r="J30" s="22" t="s">
        <v>1780</v>
      </c>
      <c r="K30" s="22" t="s">
        <v>1781</v>
      </c>
      <c r="L30" s="22" t="s">
        <v>1782</v>
      </c>
    </row>
    <row r="31" spans="1:12" ht="14.25" x14ac:dyDescent="0.2">
      <c r="A31" s="23">
        <v>1</v>
      </c>
      <c r="B31" s="23">
        <v>2</v>
      </c>
      <c r="C31" s="23">
        <v>3</v>
      </c>
      <c r="D31" s="23">
        <v>4</v>
      </c>
      <c r="E31" s="23">
        <v>5</v>
      </c>
      <c r="F31" s="23">
        <v>6</v>
      </c>
      <c r="G31" s="23">
        <v>7</v>
      </c>
      <c r="H31" s="23">
        <v>8</v>
      </c>
      <c r="I31" s="23">
        <v>9</v>
      </c>
      <c r="J31" s="23">
        <v>10</v>
      </c>
      <c r="K31" s="23">
        <v>11</v>
      </c>
      <c r="L31" s="24">
        <v>12</v>
      </c>
    </row>
    <row r="33" spans="1:26" ht="16.5" x14ac:dyDescent="0.25">
      <c r="A33" s="89" t="str">
        <f>CONCATENATE("Раздел: ",IF(Source!G24&lt;&gt;"Новый раздел", Source!G24, ""))</f>
        <v>Раздел: Общестроительные работы</v>
      </c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</row>
    <row r="34" spans="1:26" ht="28.5" x14ac:dyDescent="0.2">
      <c r="A34" s="49" t="str">
        <f>Source!E28</f>
        <v>1</v>
      </c>
      <c r="B34" s="50" t="str">
        <f>Source!F28</f>
        <v>46-04-012-03</v>
      </c>
      <c r="C34" s="50" t="str">
        <f>Source!G28</f>
        <v>Разборка деревянных заполнений проемов дверных и воротных</v>
      </c>
      <c r="D34" s="33" t="str">
        <f>Source!H28</f>
        <v>100 м2</v>
      </c>
      <c r="E34" s="11">
        <f>Source!I28</f>
        <v>0.45140000000000002</v>
      </c>
      <c r="F34" s="34">
        <f>Source!AL28+Source!AM28+Source!AO28</f>
        <v>1082.58</v>
      </c>
      <c r="G34" s="35"/>
      <c r="H34" s="34"/>
      <c r="I34" s="35" t="str">
        <f>Source!BO28</f>
        <v/>
      </c>
      <c r="J34" s="35"/>
      <c r="K34" s="34"/>
      <c r="L34" s="36"/>
      <c r="S34">
        <f>ROUND((Source!FX28/100)*((ROUND(Source!AF28*Source!I28, 2)+ROUND(Source!AE28*Source!I28, 2))), 2)</f>
        <v>422.36</v>
      </c>
      <c r="T34">
        <f>Source!X28</f>
        <v>3011.43</v>
      </c>
      <c r="U34">
        <f>ROUND((Source!FY28/100)*((ROUND(Source!AF28*Source!I28, 2)+ROUND(Source!AE28*Source!I28, 2))), 2)</f>
        <v>253.84</v>
      </c>
      <c r="V34">
        <f>Source!Y28</f>
        <v>1825.11</v>
      </c>
    </row>
    <row r="35" spans="1:26" x14ac:dyDescent="0.2">
      <c r="C35" s="26" t="str">
        <f>"Объем: "&amp;Source!I28&amp;"=45,14/"&amp;"100"</f>
        <v>Объем: 0,4514=45,14/100</v>
      </c>
    </row>
    <row r="36" spans="1:26" ht="14.25" x14ac:dyDescent="0.2">
      <c r="A36" s="49"/>
      <c r="B36" s="50"/>
      <c r="C36" s="50" t="s">
        <v>1783</v>
      </c>
      <c r="D36" s="33"/>
      <c r="E36" s="11"/>
      <c r="F36" s="34">
        <f>Source!AO28</f>
        <v>840.63</v>
      </c>
      <c r="G36" s="35" t="str">
        <f>Source!DG28</f>
        <v/>
      </c>
      <c r="H36" s="34">
        <f>ROUND(Source!AF28*Source!I28, 2)</f>
        <v>379.46</v>
      </c>
      <c r="I36" s="35"/>
      <c r="J36" s="35">
        <f>IF(Source!BA28&lt;&gt; 0, Source!BA28, 1)</f>
        <v>7.13</v>
      </c>
      <c r="K36" s="34">
        <f>Source!S28</f>
        <v>2705.55</v>
      </c>
      <c r="L36" s="36"/>
      <c r="R36">
        <f>H36</f>
        <v>379.46</v>
      </c>
    </row>
    <row r="37" spans="1:26" ht="14.25" x14ac:dyDescent="0.2">
      <c r="A37" s="49"/>
      <c r="B37" s="50"/>
      <c r="C37" s="50" t="s">
        <v>449</v>
      </c>
      <c r="D37" s="33"/>
      <c r="E37" s="11"/>
      <c r="F37" s="34">
        <f>Source!AM28</f>
        <v>241.95</v>
      </c>
      <c r="G37" s="35" t="str">
        <f>Source!DE28</f>
        <v/>
      </c>
      <c r="H37" s="34">
        <f>ROUND(Source!AD28*Source!I28, 2)</f>
        <v>109.22</v>
      </c>
      <c r="I37" s="35"/>
      <c r="J37" s="35">
        <f>IF(Source!BB28&lt;&gt; 0, Source!BB28, 1)</f>
        <v>7.13</v>
      </c>
      <c r="K37" s="34">
        <f>Source!Q28</f>
        <v>778.71</v>
      </c>
      <c r="L37" s="36"/>
    </row>
    <row r="38" spans="1:26" ht="14.25" x14ac:dyDescent="0.2">
      <c r="A38" s="49"/>
      <c r="B38" s="50"/>
      <c r="C38" s="50" t="s">
        <v>1784</v>
      </c>
      <c r="D38" s="33"/>
      <c r="E38" s="11"/>
      <c r="F38" s="34">
        <f>Source!AN28</f>
        <v>104.49</v>
      </c>
      <c r="G38" s="35" t="str">
        <f>Source!DF28</f>
        <v/>
      </c>
      <c r="H38" s="37">
        <f>ROUND(Source!AE28*Source!I28, 2)</f>
        <v>47.17</v>
      </c>
      <c r="I38" s="35"/>
      <c r="J38" s="35">
        <f>IF(Source!BS28&lt;&gt; 0, Source!BS28, 1)</f>
        <v>7.13</v>
      </c>
      <c r="K38" s="37">
        <f>Source!R28</f>
        <v>336.3</v>
      </c>
      <c r="L38" s="36"/>
      <c r="R38">
        <f>H38</f>
        <v>47.17</v>
      </c>
    </row>
    <row r="39" spans="1:26" ht="14.25" x14ac:dyDescent="0.2">
      <c r="A39" s="49"/>
      <c r="B39" s="50"/>
      <c r="C39" s="50" t="s">
        <v>1785</v>
      </c>
      <c r="D39" s="33" t="s">
        <v>1786</v>
      </c>
      <c r="E39" s="11">
        <f>Source!BZ28</f>
        <v>110</v>
      </c>
      <c r="F39" s="81" t="str">
        <f>CONCATENATE(" )", Source!DL28, Source!FT28, "=", Source!FX28)</f>
        <v xml:space="preserve"> )*0,9=99</v>
      </c>
      <c r="G39" s="88"/>
      <c r="H39" s="34">
        <f>SUM(S34:S41)</f>
        <v>422.36</v>
      </c>
      <c r="I39" s="38"/>
      <c r="J39" s="31">
        <f>Source!AT28</f>
        <v>99</v>
      </c>
      <c r="K39" s="34">
        <f>SUM(T34:T41)</f>
        <v>3011.43</v>
      </c>
      <c r="L39" s="36"/>
    </row>
    <row r="40" spans="1:26" ht="14.25" x14ac:dyDescent="0.2">
      <c r="A40" s="49"/>
      <c r="B40" s="50"/>
      <c r="C40" s="50" t="s">
        <v>1787</v>
      </c>
      <c r="D40" s="33" t="s">
        <v>1786</v>
      </c>
      <c r="E40" s="11">
        <f>Source!CA28</f>
        <v>70</v>
      </c>
      <c r="F40" s="81" t="str">
        <f>CONCATENATE(" )", Source!DM28, Source!FU28, "=", Source!FY28)</f>
        <v xml:space="preserve"> )*0,85=59,5</v>
      </c>
      <c r="G40" s="88"/>
      <c r="H40" s="34">
        <f>SUM(U34:U41)</f>
        <v>253.84</v>
      </c>
      <c r="I40" s="38"/>
      <c r="J40" s="31">
        <f>Source!AU28</f>
        <v>60</v>
      </c>
      <c r="K40" s="34">
        <f>SUM(V34:V41)</f>
        <v>1825.11</v>
      </c>
      <c r="L40" s="36"/>
    </row>
    <row r="41" spans="1:26" ht="14.25" x14ac:dyDescent="0.2">
      <c r="A41" s="51"/>
      <c r="B41" s="52"/>
      <c r="C41" s="52" t="s">
        <v>1788</v>
      </c>
      <c r="D41" s="39" t="s">
        <v>1789</v>
      </c>
      <c r="E41" s="40">
        <f>Source!AQ28</f>
        <v>103.91</v>
      </c>
      <c r="F41" s="41"/>
      <c r="G41" s="42" t="str">
        <f>Source!DI28</f>
        <v/>
      </c>
      <c r="H41" s="41"/>
      <c r="I41" s="42"/>
      <c r="J41" s="42"/>
      <c r="K41" s="41"/>
      <c r="L41" s="43">
        <f>Source!U28</f>
        <v>46.904974000000003</v>
      </c>
    </row>
    <row r="42" spans="1:26" ht="15" x14ac:dyDescent="0.25">
      <c r="G42" s="87">
        <f>H36+H37+H39+H40</f>
        <v>1164.8799999999999</v>
      </c>
      <c r="H42" s="87"/>
      <c r="J42" s="87">
        <f>K36+K37+K39+K40</f>
        <v>8320.8000000000011</v>
      </c>
      <c r="K42" s="87"/>
      <c r="L42" s="44">
        <f>Source!U28</f>
        <v>46.904974000000003</v>
      </c>
      <c r="O42" s="27">
        <f>G42</f>
        <v>1164.8799999999999</v>
      </c>
      <c r="P42" s="27">
        <f>J42</f>
        <v>8320.8000000000011</v>
      </c>
      <c r="Q42" s="27">
        <f>L42</f>
        <v>46.904974000000003</v>
      </c>
      <c r="W42">
        <f>IF(Source!BI28&lt;=1,H36+H37+H39+H40, 0)</f>
        <v>1164.8799999999999</v>
      </c>
      <c r="X42">
        <f>IF(Source!BI28=2,H36+H37+H39+H40, 0)</f>
        <v>0</v>
      </c>
      <c r="Y42">
        <f>IF(Source!BI28=3,H36+H37+H39+H40, 0)</f>
        <v>0</v>
      </c>
      <c r="Z42">
        <f>IF(Source!BI28=4,H36+H37+H39+H40, 0)</f>
        <v>0</v>
      </c>
    </row>
    <row r="43" spans="1:26" ht="28.5" x14ac:dyDescent="0.2">
      <c r="A43" s="49" t="str">
        <f>Source!E29</f>
        <v>2</v>
      </c>
      <c r="B43" s="50" t="str">
        <f>Source!F29</f>
        <v>10-01-059-01</v>
      </c>
      <c r="C43" s="50" t="str">
        <f>Source!G29</f>
        <v>Разборка деревянных встроенных шкафов</v>
      </c>
      <c r="D43" s="33" t="str">
        <f>Source!H29</f>
        <v>100 ШТ</v>
      </c>
      <c r="E43" s="11">
        <f>Source!I29</f>
        <v>0.02</v>
      </c>
      <c r="F43" s="34">
        <f>Source!AL29+Source!AM29+Source!AO29</f>
        <v>2452.4399999999996</v>
      </c>
      <c r="G43" s="35"/>
      <c r="H43" s="34"/>
      <c r="I43" s="35" t="str">
        <f>Source!BO29</f>
        <v/>
      </c>
      <c r="J43" s="35"/>
      <c r="K43" s="34"/>
      <c r="L43" s="36"/>
      <c r="S43">
        <f>ROUND((Source!FX29/100)*((ROUND(Source!AF29*Source!I29, 2)+ROUND(Source!AE29*Source!I29, 2))), 2)</f>
        <v>11.12</v>
      </c>
      <c r="T43">
        <f>Source!X29</f>
        <v>79.17</v>
      </c>
      <c r="U43">
        <f>ROUND((Source!FY29/100)*((ROUND(Source!AF29*Source!I29, 2)+ROUND(Source!AE29*Source!I29, 2))), 2)</f>
        <v>5.61</v>
      </c>
      <c r="V43">
        <f>Source!Y29</f>
        <v>40.33</v>
      </c>
    </row>
    <row r="44" spans="1:26" x14ac:dyDescent="0.2">
      <c r="C44" s="26" t="str">
        <f>"Объем: "&amp;Source!I29&amp;"=2/"&amp;"100"</f>
        <v>Объем: 0,02=2/100</v>
      </c>
    </row>
    <row r="45" spans="1:26" ht="14.25" x14ac:dyDescent="0.2">
      <c r="A45" s="49"/>
      <c r="B45" s="50"/>
      <c r="C45" s="50" t="s">
        <v>1783</v>
      </c>
      <c r="D45" s="33"/>
      <c r="E45" s="11"/>
      <c r="F45" s="34">
        <f>Source!AO29</f>
        <v>602.70000000000005</v>
      </c>
      <c r="G45" s="35" t="str">
        <f>Source!DG29</f>
        <v>)*0,8</v>
      </c>
      <c r="H45" s="34">
        <f>ROUND(Source!AF29*Source!I29, 2)</f>
        <v>9.64</v>
      </c>
      <c r="I45" s="35"/>
      <c r="J45" s="35">
        <f>IF(Source!BA29&lt;&gt; 0, Source!BA29, 1)</f>
        <v>7.13</v>
      </c>
      <c r="K45" s="34">
        <f>Source!S29</f>
        <v>68.760000000000005</v>
      </c>
      <c r="L45" s="36"/>
      <c r="R45">
        <f>H45</f>
        <v>9.64</v>
      </c>
    </row>
    <row r="46" spans="1:26" ht="14.25" x14ac:dyDescent="0.2">
      <c r="A46" s="49"/>
      <c r="B46" s="50"/>
      <c r="C46" s="50" t="s">
        <v>449</v>
      </c>
      <c r="D46" s="33"/>
      <c r="E46" s="11"/>
      <c r="F46" s="34">
        <f>Source!AM29</f>
        <v>216.38</v>
      </c>
      <c r="G46" s="35" t="str">
        <f>Source!DE29</f>
        <v>)*0,8</v>
      </c>
      <c r="H46" s="34">
        <f>ROUND(Source!AD29*Source!I29, 2)</f>
        <v>3.46</v>
      </c>
      <c r="I46" s="35"/>
      <c r="J46" s="35">
        <f>IF(Source!BB29&lt;&gt; 0, Source!BB29, 1)</f>
        <v>7.13</v>
      </c>
      <c r="K46" s="34">
        <f>Source!Q29</f>
        <v>24.69</v>
      </c>
      <c r="L46" s="36"/>
    </row>
    <row r="47" spans="1:26" ht="14.25" x14ac:dyDescent="0.2">
      <c r="A47" s="49"/>
      <c r="B47" s="50"/>
      <c r="C47" s="50" t="s">
        <v>1784</v>
      </c>
      <c r="D47" s="33"/>
      <c r="E47" s="11"/>
      <c r="F47" s="34">
        <f>Source!AN29</f>
        <v>52.01</v>
      </c>
      <c r="G47" s="35" t="str">
        <f>Source!DF29</f>
        <v>)*0,8</v>
      </c>
      <c r="H47" s="37">
        <f>ROUND(Source!AE29*Source!I29, 2)</f>
        <v>0.83</v>
      </c>
      <c r="I47" s="35"/>
      <c r="J47" s="35">
        <f>IF(Source!BS29&lt;&gt; 0, Source!BS29, 1)</f>
        <v>7.13</v>
      </c>
      <c r="K47" s="37">
        <f>Source!R29</f>
        <v>5.93</v>
      </c>
      <c r="L47" s="36"/>
      <c r="R47">
        <f>H47</f>
        <v>0.83</v>
      </c>
    </row>
    <row r="48" spans="1:26" ht="14.25" x14ac:dyDescent="0.2">
      <c r="A48" s="49"/>
      <c r="B48" s="50"/>
      <c r="C48" s="50" t="s">
        <v>1785</v>
      </c>
      <c r="D48" s="33" t="s">
        <v>1786</v>
      </c>
      <c r="E48" s="11">
        <f>Source!BZ29</f>
        <v>118</v>
      </c>
      <c r="F48" s="81" t="str">
        <f>CONCATENATE(" )", Source!DL29, Source!FT29, "=", Source!FX29)</f>
        <v xml:space="preserve"> )*0,9=106,2</v>
      </c>
      <c r="G48" s="88"/>
      <c r="H48" s="34">
        <f>SUM(S43:S50)</f>
        <v>11.12</v>
      </c>
      <c r="I48" s="38"/>
      <c r="J48" s="31">
        <f>Source!AT29</f>
        <v>106</v>
      </c>
      <c r="K48" s="34">
        <f>SUM(T43:T50)</f>
        <v>79.17</v>
      </c>
      <c r="L48" s="36"/>
    </row>
    <row r="49" spans="1:26" ht="14.25" x14ac:dyDescent="0.2">
      <c r="A49" s="49"/>
      <c r="B49" s="50"/>
      <c r="C49" s="50" t="s">
        <v>1787</v>
      </c>
      <c r="D49" s="33" t="s">
        <v>1786</v>
      </c>
      <c r="E49" s="11">
        <f>Source!CA29</f>
        <v>63</v>
      </c>
      <c r="F49" s="81" t="str">
        <f>CONCATENATE(" )", Source!DM29, Source!FU29, "=", Source!FY29)</f>
        <v xml:space="preserve"> )*0,85=53,55</v>
      </c>
      <c r="G49" s="88"/>
      <c r="H49" s="34">
        <f>SUM(U43:U50)</f>
        <v>5.61</v>
      </c>
      <c r="I49" s="38"/>
      <c r="J49" s="31">
        <f>Source!AU29</f>
        <v>54</v>
      </c>
      <c r="K49" s="34">
        <f>SUM(V43:V50)</f>
        <v>40.33</v>
      </c>
      <c r="L49" s="36"/>
    </row>
    <row r="50" spans="1:26" ht="14.25" x14ac:dyDescent="0.2">
      <c r="A50" s="51"/>
      <c r="B50" s="52"/>
      <c r="C50" s="52" t="s">
        <v>1788</v>
      </c>
      <c r="D50" s="39" t="s">
        <v>1789</v>
      </c>
      <c r="E50" s="40">
        <f>Source!AQ29</f>
        <v>75.150000000000006</v>
      </c>
      <c r="F50" s="41"/>
      <c r="G50" s="42" t="str">
        <f>Source!DI29</f>
        <v>)*0,8</v>
      </c>
      <c r="H50" s="41"/>
      <c r="I50" s="42"/>
      <c r="J50" s="42"/>
      <c r="K50" s="41"/>
      <c r="L50" s="43">
        <f>Source!U29</f>
        <v>1.2024000000000001</v>
      </c>
    </row>
    <row r="51" spans="1:26" ht="15" x14ac:dyDescent="0.25">
      <c r="G51" s="87">
        <f>H45+H46+H48+H49</f>
        <v>29.83</v>
      </c>
      <c r="H51" s="87"/>
      <c r="J51" s="87">
        <f>K45+K46+K48+K49</f>
        <v>212.95</v>
      </c>
      <c r="K51" s="87"/>
      <c r="L51" s="44">
        <f>Source!U29</f>
        <v>1.2024000000000001</v>
      </c>
      <c r="O51" s="27">
        <f>G51</f>
        <v>29.83</v>
      </c>
      <c r="P51" s="27">
        <f>J51</f>
        <v>212.95</v>
      </c>
      <c r="Q51" s="27">
        <f>L51</f>
        <v>1.2024000000000001</v>
      </c>
      <c r="W51">
        <f>IF(Source!BI29&lt;=1,H45+H46+H48+H49, 0)</f>
        <v>29.83</v>
      </c>
      <c r="X51">
        <f>IF(Source!BI29=2,H45+H46+H48+H49, 0)</f>
        <v>0</v>
      </c>
      <c r="Y51">
        <f>IF(Source!BI29=3,H45+H46+H48+H49, 0)</f>
        <v>0</v>
      </c>
      <c r="Z51">
        <f>IF(Source!BI29=4,H45+H46+H48+H49, 0)</f>
        <v>0</v>
      </c>
    </row>
    <row r="52" spans="1:26" ht="28.5" x14ac:dyDescent="0.2">
      <c r="A52" s="49" t="str">
        <f>Source!E30</f>
        <v>3</v>
      </c>
      <c r="B52" s="50" t="str">
        <f>Source!F30</f>
        <v>57-1-2</v>
      </c>
      <c r="C52" s="50" t="str">
        <f>Source!G30</f>
        <v>Разборка оснований покрытия полов лаг из досок и брусков</v>
      </c>
      <c r="D52" s="33" t="str">
        <f>Source!H30</f>
        <v>100 м2</v>
      </c>
      <c r="E52" s="11">
        <f>Source!I30</f>
        <v>5.8999999999999997E-2</v>
      </c>
      <c r="F52" s="34">
        <f>Source!AL30+Source!AM30+Source!AO30</f>
        <v>59.83</v>
      </c>
      <c r="G52" s="35"/>
      <c r="H52" s="34"/>
      <c r="I52" s="35" t="str">
        <f>Source!BO30</f>
        <v/>
      </c>
      <c r="J52" s="35"/>
      <c r="K52" s="34"/>
      <c r="L52" s="36"/>
      <c r="S52">
        <f>ROUND((Source!FX30/100)*((ROUND(Source!AF30*Source!I30, 2)+ROUND(Source!AE30*Source!I30, 2))), 2)</f>
        <v>2.82</v>
      </c>
      <c r="T52">
        <f>Source!X30</f>
        <v>20.14</v>
      </c>
      <c r="U52">
        <f>ROUND((Source!FY30/100)*((ROUND(Source!AF30*Source!I30, 2)+ROUND(Source!AE30*Source!I30, 2))), 2)</f>
        <v>2.4</v>
      </c>
      <c r="V52">
        <f>Source!Y30</f>
        <v>17.12</v>
      </c>
    </row>
    <row r="53" spans="1:26" x14ac:dyDescent="0.2">
      <c r="C53" s="26" t="str">
        <f>"Объем: "&amp;Source!I30&amp;"=5,9/"&amp;"100"</f>
        <v>Объем: 0,059=5,9/100</v>
      </c>
    </row>
    <row r="54" spans="1:26" ht="14.25" x14ac:dyDescent="0.2">
      <c r="A54" s="49"/>
      <c r="B54" s="50"/>
      <c r="C54" s="50" t="s">
        <v>1783</v>
      </c>
      <c r="D54" s="33"/>
      <c r="E54" s="11"/>
      <c r="F54" s="34">
        <f>Source!AO30</f>
        <v>59.83</v>
      </c>
      <c r="G54" s="35" t="str">
        <f>Source!DG30</f>
        <v/>
      </c>
      <c r="H54" s="34">
        <f>ROUND(Source!AF30*Source!I30, 2)</f>
        <v>3.53</v>
      </c>
      <c r="I54" s="35"/>
      <c r="J54" s="35">
        <f>IF(Source!BA30&lt;&gt; 0, Source!BA30, 1)</f>
        <v>7.13</v>
      </c>
      <c r="K54" s="34">
        <f>Source!S30</f>
        <v>25.17</v>
      </c>
      <c r="L54" s="36"/>
      <c r="R54">
        <f>H54</f>
        <v>3.53</v>
      </c>
    </row>
    <row r="55" spans="1:26" ht="14.25" x14ac:dyDescent="0.2">
      <c r="A55" s="49"/>
      <c r="B55" s="50"/>
      <c r="C55" s="50" t="s">
        <v>1785</v>
      </c>
      <c r="D55" s="33" t="s">
        <v>1786</v>
      </c>
      <c r="E55" s="11">
        <f>Source!BZ30</f>
        <v>80</v>
      </c>
      <c r="F55" s="53"/>
      <c r="G55" s="35"/>
      <c r="H55" s="34">
        <f>SUM(S52:S57)</f>
        <v>2.82</v>
      </c>
      <c r="I55" s="38"/>
      <c r="J55" s="31">
        <f>Source!AT30</f>
        <v>80</v>
      </c>
      <c r="K55" s="34">
        <f>SUM(T52:T57)</f>
        <v>20.14</v>
      </c>
      <c r="L55" s="36"/>
    </row>
    <row r="56" spans="1:26" ht="14.25" x14ac:dyDescent="0.2">
      <c r="A56" s="49"/>
      <c r="B56" s="50"/>
      <c r="C56" s="50" t="s">
        <v>1787</v>
      </c>
      <c r="D56" s="33" t="s">
        <v>1786</v>
      </c>
      <c r="E56" s="11">
        <f>Source!CA30</f>
        <v>68</v>
      </c>
      <c r="F56" s="53"/>
      <c r="G56" s="35"/>
      <c r="H56" s="34">
        <f>SUM(U52:U57)</f>
        <v>2.4</v>
      </c>
      <c r="I56" s="38"/>
      <c r="J56" s="31">
        <f>Source!AU30</f>
        <v>68</v>
      </c>
      <c r="K56" s="34">
        <f>SUM(V52:V57)</f>
        <v>17.12</v>
      </c>
      <c r="L56" s="36"/>
    </row>
    <row r="57" spans="1:26" ht="14.25" x14ac:dyDescent="0.2">
      <c r="A57" s="51"/>
      <c r="B57" s="52"/>
      <c r="C57" s="52" t="s">
        <v>1788</v>
      </c>
      <c r="D57" s="39" t="s">
        <v>1789</v>
      </c>
      <c r="E57" s="40">
        <f>Source!AQ30</f>
        <v>7.67</v>
      </c>
      <c r="F57" s="41"/>
      <c r="G57" s="42" t="str">
        <f>Source!DI30</f>
        <v/>
      </c>
      <c r="H57" s="41"/>
      <c r="I57" s="42"/>
      <c r="J57" s="42"/>
      <c r="K57" s="41"/>
      <c r="L57" s="43">
        <f>Source!U30</f>
        <v>0.45252999999999999</v>
      </c>
    </row>
    <row r="58" spans="1:26" ht="15" x14ac:dyDescent="0.25">
      <c r="G58" s="87">
        <f>H54+H55+H56</f>
        <v>8.75</v>
      </c>
      <c r="H58" s="87"/>
      <c r="J58" s="87">
        <f>K54+K55+K56</f>
        <v>62.430000000000007</v>
      </c>
      <c r="K58" s="87"/>
      <c r="L58" s="44">
        <f>Source!U30</f>
        <v>0.45252999999999999</v>
      </c>
      <c r="O58" s="27">
        <f>G58</f>
        <v>8.75</v>
      </c>
      <c r="P58" s="27">
        <f>J58</f>
        <v>62.430000000000007</v>
      </c>
      <c r="Q58" s="27">
        <f>L58</f>
        <v>0.45252999999999999</v>
      </c>
      <c r="W58">
        <f>IF(Source!BI30&lt;=1,H54+H55+H56, 0)</f>
        <v>8.75</v>
      </c>
      <c r="X58">
        <f>IF(Source!BI30=2,H54+H55+H56, 0)</f>
        <v>0</v>
      </c>
      <c r="Y58">
        <f>IF(Source!BI30=3,H54+H55+H56, 0)</f>
        <v>0</v>
      </c>
      <c r="Z58">
        <f>IF(Source!BI30=4,H54+H55+H56, 0)</f>
        <v>0</v>
      </c>
    </row>
    <row r="59" spans="1:26" ht="28.5" x14ac:dyDescent="0.2">
      <c r="A59" s="49" t="str">
        <f>Source!E31</f>
        <v>4</v>
      </c>
      <c r="B59" s="50" t="str">
        <f>Source!F31</f>
        <v>57-2-1</v>
      </c>
      <c r="C59" s="50" t="str">
        <f>Source!G31</f>
        <v>Разборка покрытий полов из линолеума и релина</v>
      </c>
      <c r="D59" s="33" t="str">
        <f>Source!H31</f>
        <v>100 м2</v>
      </c>
      <c r="E59" s="11">
        <f>Source!I31</f>
        <v>2.2389999999999999</v>
      </c>
      <c r="F59" s="34">
        <f>Source!AL31+Source!AM31+Source!AO31</f>
        <v>92.9</v>
      </c>
      <c r="G59" s="35"/>
      <c r="H59" s="34"/>
      <c r="I59" s="35" t="str">
        <f>Source!BO31</f>
        <v/>
      </c>
      <c r="J59" s="35"/>
      <c r="K59" s="34"/>
      <c r="L59" s="36"/>
      <c r="S59">
        <f>ROUND((Source!FX31/100)*((ROUND(Source!AF31*Source!I31, 2)+ROUND(Source!AE31*Source!I31, 2))), 2)</f>
        <v>162.28</v>
      </c>
      <c r="T59">
        <f>Source!X31</f>
        <v>1157.08</v>
      </c>
      <c r="U59">
        <f>ROUND((Source!FY31/100)*((ROUND(Source!AF31*Source!I31, 2)+ROUND(Source!AE31*Source!I31, 2))), 2)</f>
        <v>137.94</v>
      </c>
      <c r="V59">
        <f>Source!Y31</f>
        <v>983.52</v>
      </c>
    </row>
    <row r="60" spans="1:26" x14ac:dyDescent="0.2">
      <c r="C60" s="26" t="str">
        <f>"Объем: "&amp;Source!I31&amp;"=223,9/"&amp;"100"</f>
        <v>Объем: 2,239=223,9/100</v>
      </c>
    </row>
    <row r="61" spans="1:26" ht="14.25" x14ac:dyDescent="0.2">
      <c r="A61" s="49"/>
      <c r="B61" s="50"/>
      <c r="C61" s="50" t="s">
        <v>1783</v>
      </c>
      <c r="D61" s="33"/>
      <c r="E61" s="11"/>
      <c r="F61" s="34">
        <f>Source!AO31</f>
        <v>88.84</v>
      </c>
      <c r="G61" s="35" t="str">
        <f>Source!DG31</f>
        <v/>
      </c>
      <c r="H61" s="34">
        <f>ROUND(Source!AF31*Source!I31, 2)</f>
        <v>198.91</v>
      </c>
      <c r="I61" s="35"/>
      <c r="J61" s="35">
        <f>IF(Source!BA31&lt;&gt; 0, Source!BA31, 1)</f>
        <v>7.13</v>
      </c>
      <c r="K61" s="34">
        <f>Source!S31</f>
        <v>1418.25</v>
      </c>
      <c r="L61" s="36"/>
      <c r="R61">
        <f>H61</f>
        <v>198.91</v>
      </c>
    </row>
    <row r="62" spans="1:26" ht="14.25" x14ac:dyDescent="0.2">
      <c r="A62" s="49"/>
      <c r="B62" s="50"/>
      <c r="C62" s="50" t="s">
        <v>449</v>
      </c>
      <c r="D62" s="33"/>
      <c r="E62" s="11"/>
      <c r="F62" s="34">
        <f>Source!AM31</f>
        <v>4.0599999999999996</v>
      </c>
      <c r="G62" s="35" t="str">
        <f>Source!DE31</f>
        <v/>
      </c>
      <c r="H62" s="34">
        <f>ROUND(Source!AD31*Source!I31, 2)</f>
        <v>9.09</v>
      </c>
      <c r="I62" s="35"/>
      <c r="J62" s="35">
        <f>IF(Source!BB31&lt;&gt; 0, Source!BB31, 1)</f>
        <v>7.13</v>
      </c>
      <c r="K62" s="34">
        <f>Source!Q31</f>
        <v>64.81</v>
      </c>
      <c r="L62" s="36"/>
    </row>
    <row r="63" spans="1:26" ht="14.25" x14ac:dyDescent="0.2">
      <c r="A63" s="49"/>
      <c r="B63" s="50"/>
      <c r="C63" s="50" t="s">
        <v>1784</v>
      </c>
      <c r="D63" s="33"/>
      <c r="E63" s="11"/>
      <c r="F63" s="34">
        <f>Source!AN31</f>
        <v>1.76</v>
      </c>
      <c r="G63" s="35" t="str">
        <f>Source!DF31</f>
        <v/>
      </c>
      <c r="H63" s="37">
        <f>ROUND(Source!AE31*Source!I31, 2)</f>
        <v>3.94</v>
      </c>
      <c r="I63" s="35"/>
      <c r="J63" s="35">
        <f>IF(Source!BS31&lt;&gt; 0, Source!BS31, 1)</f>
        <v>7.13</v>
      </c>
      <c r="K63" s="37">
        <f>Source!R31</f>
        <v>28.1</v>
      </c>
      <c r="L63" s="36"/>
      <c r="R63">
        <f>H63</f>
        <v>3.94</v>
      </c>
    </row>
    <row r="64" spans="1:26" ht="14.25" x14ac:dyDescent="0.2">
      <c r="A64" s="49"/>
      <c r="B64" s="50"/>
      <c r="C64" s="50" t="s">
        <v>1785</v>
      </c>
      <c r="D64" s="33" t="s">
        <v>1786</v>
      </c>
      <c r="E64" s="11">
        <f>Source!BZ31</f>
        <v>80</v>
      </c>
      <c r="F64" s="53"/>
      <c r="G64" s="35"/>
      <c r="H64" s="34">
        <f>SUM(S59:S66)</f>
        <v>162.28</v>
      </c>
      <c r="I64" s="38"/>
      <c r="J64" s="31">
        <f>Source!AT31</f>
        <v>80</v>
      </c>
      <c r="K64" s="34">
        <f>SUM(T59:T66)</f>
        <v>1157.08</v>
      </c>
      <c r="L64" s="36"/>
    </row>
    <row r="65" spans="1:26" ht="14.25" x14ac:dyDescent="0.2">
      <c r="A65" s="49"/>
      <c r="B65" s="50"/>
      <c r="C65" s="50" t="s">
        <v>1787</v>
      </c>
      <c r="D65" s="33" t="s">
        <v>1786</v>
      </c>
      <c r="E65" s="11">
        <f>Source!CA31</f>
        <v>68</v>
      </c>
      <c r="F65" s="53"/>
      <c r="G65" s="35"/>
      <c r="H65" s="34">
        <f>SUM(U59:U66)</f>
        <v>137.94</v>
      </c>
      <c r="I65" s="38"/>
      <c r="J65" s="31">
        <f>Source!AU31</f>
        <v>68</v>
      </c>
      <c r="K65" s="34">
        <f>SUM(V59:V66)</f>
        <v>983.52</v>
      </c>
      <c r="L65" s="36"/>
    </row>
    <row r="66" spans="1:26" ht="14.25" x14ac:dyDescent="0.2">
      <c r="A66" s="51"/>
      <c r="B66" s="52"/>
      <c r="C66" s="52" t="s">
        <v>1788</v>
      </c>
      <c r="D66" s="39" t="s">
        <v>1789</v>
      </c>
      <c r="E66" s="40">
        <f>Source!AQ31</f>
        <v>11.39</v>
      </c>
      <c r="F66" s="41"/>
      <c r="G66" s="42" t="str">
        <f>Source!DI31</f>
        <v/>
      </c>
      <c r="H66" s="41"/>
      <c r="I66" s="42"/>
      <c r="J66" s="42"/>
      <c r="K66" s="41"/>
      <c r="L66" s="43">
        <f>Source!U31</f>
        <v>25.502210000000002</v>
      </c>
    </row>
    <row r="67" spans="1:26" ht="15" x14ac:dyDescent="0.25">
      <c r="G67" s="87">
        <f>H61+H62+H64+H65</f>
        <v>508.21999999999997</v>
      </c>
      <c r="H67" s="87"/>
      <c r="J67" s="87">
        <f>K61+K62+K64+K65</f>
        <v>3623.66</v>
      </c>
      <c r="K67" s="87"/>
      <c r="L67" s="44">
        <f>Source!U31</f>
        <v>25.502210000000002</v>
      </c>
      <c r="O67" s="27">
        <f>G67</f>
        <v>508.21999999999997</v>
      </c>
      <c r="P67" s="27">
        <f>J67</f>
        <v>3623.66</v>
      </c>
      <c r="Q67" s="27">
        <f>L67</f>
        <v>25.502210000000002</v>
      </c>
      <c r="W67">
        <f>IF(Source!BI31&lt;=1,H61+H62+H64+H65, 0)</f>
        <v>508.21999999999997</v>
      </c>
      <c r="X67">
        <f>IF(Source!BI31=2,H61+H62+H64+H65, 0)</f>
        <v>0</v>
      </c>
      <c r="Y67">
        <f>IF(Source!BI31=3,H61+H62+H64+H65, 0)</f>
        <v>0</v>
      </c>
      <c r="Z67">
        <f>IF(Source!BI31=4,H61+H62+H64+H65, 0)</f>
        <v>0</v>
      </c>
    </row>
    <row r="68" spans="1:26" ht="28.5" x14ac:dyDescent="0.2">
      <c r="A68" s="49" t="str">
        <f>Source!E32</f>
        <v>5</v>
      </c>
      <c r="B68" s="50" t="str">
        <f>Source!F32</f>
        <v>57-2-3</v>
      </c>
      <c r="C68" s="50" t="str">
        <f>Source!G32</f>
        <v>Разборка покрытий полов из керамических плиток</v>
      </c>
      <c r="D68" s="33" t="str">
        <f>Source!H32</f>
        <v>100 м2</v>
      </c>
      <c r="E68" s="11">
        <f>Source!I32</f>
        <v>0.33800000000000002</v>
      </c>
      <c r="F68" s="34">
        <f>Source!AL32+Source!AM32+Source!AO32</f>
        <v>641</v>
      </c>
      <c r="G68" s="35"/>
      <c r="H68" s="34"/>
      <c r="I68" s="35" t="str">
        <f>Source!BO32</f>
        <v/>
      </c>
      <c r="J68" s="35"/>
      <c r="K68" s="34"/>
      <c r="L68" s="36"/>
      <c r="S68">
        <f>ROUND((Source!FX32/100)*((ROUND(Source!AF32*Source!I32, 2)+ROUND(Source!AE32*Source!I32, 2))), 2)</f>
        <v>166.41</v>
      </c>
      <c r="T68">
        <f>Source!X32</f>
        <v>1186.52</v>
      </c>
      <c r="U68">
        <f>ROUND((Source!FY32/100)*((ROUND(Source!AF32*Source!I32, 2)+ROUND(Source!AE32*Source!I32, 2))), 2)</f>
        <v>141.44999999999999</v>
      </c>
      <c r="V68">
        <f>Source!Y32</f>
        <v>1008.54</v>
      </c>
    </row>
    <row r="69" spans="1:26" x14ac:dyDescent="0.2">
      <c r="C69" s="26" t="str">
        <f>"Объем: "&amp;Source!I32&amp;"=33,8/"&amp;"100"</f>
        <v>Объем: 0,338=33,8/100</v>
      </c>
    </row>
    <row r="70" spans="1:26" ht="14.25" x14ac:dyDescent="0.2">
      <c r="A70" s="49"/>
      <c r="B70" s="50"/>
      <c r="C70" s="50" t="s">
        <v>1783</v>
      </c>
      <c r="D70" s="33"/>
      <c r="E70" s="11"/>
      <c r="F70" s="34">
        <f>Source!AO32</f>
        <v>595.99</v>
      </c>
      <c r="G70" s="35" t="str">
        <f>Source!DG32</f>
        <v/>
      </c>
      <c r="H70" s="34">
        <f>ROUND(Source!AF32*Source!I32, 2)</f>
        <v>201.44</v>
      </c>
      <c r="I70" s="35"/>
      <c r="J70" s="35">
        <f>IF(Source!BA32&lt;&gt; 0, Source!BA32, 1)</f>
        <v>7.13</v>
      </c>
      <c r="K70" s="34">
        <f>Source!S32</f>
        <v>1436.3</v>
      </c>
      <c r="L70" s="36"/>
      <c r="R70">
        <f>H70</f>
        <v>201.44</v>
      </c>
    </row>
    <row r="71" spans="1:26" ht="14.25" x14ac:dyDescent="0.2">
      <c r="A71" s="49"/>
      <c r="B71" s="50"/>
      <c r="C71" s="50" t="s">
        <v>449</v>
      </c>
      <c r="D71" s="33"/>
      <c r="E71" s="11"/>
      <c r="F71" s="34">
        <f>Source!AM32</f>
        <v>45.01</v>
      </c>
      <c r="G71" s="35" t="str">
        <f>Source!DE32</f>
        <v/>
      </c>
      <c r="H71" s="34">
        <f>ROUND(Source!AD32*Source!I32, 2)</f>
        <v>15.21</v>
      </c>
      <c r="I71" s="35"/>
      <c r="J71" s="35">
        <f>IF(Source!BB32&lt;&gt; 0, Source!BB32, 1)</f>
        <v>7.13</v>
      </c>
      <c r="K71" s="34">
        <f>Source!Q32</f>
        <v>108.47</v>
      </c>
      <c r="L71" s="36"/>
    </row>
    <row r="72" spans="1:26" ht="14.25" x14ac:dyDescent="0.2">
      <c r="A72" s="49"/>
      <c r="B72" s="50"/>
      <c r="C72" s="50" t="s">
        <v>1784</v>
      </c>
      <c r="D72" s="33"/>
      <c r="E72" s="11"/>
      <c r="F72" s="34">
        <f>Source!AN32</f>
        <v>19.440000000000001</v>
      </c>
      <c r="G72" s="35" t="str">
        <f>Source!DF32</f>
        <v/>
      </c>
      <c r="H72" s="37">
        <f>ROUND(Source!AE32*Source!I32, 2)</f>
        <v>6.57</v>
      </c>
      <c r="I72" s="35"/>
      <c r="J72" s="35">
        <f>IF(Source!BS32&lt;&gt; 0, Source!BS32, 1)</f>
        <v>7.13</v>
      </c>
      <c r="K72" s="37">
        <f>Source!R32</f>
        <v>46.85</v>
      </c>
      <c r="L72" s="36"/>
      <c r="R72">
        <f>H72</f>
        <v>6.57</v>
      </c>
    </row>
    <row r="73" spans="1:26" ht="14.25" x14ac:dyDescent="0.2">
      <c r="A73" s="49"/>
      <c r="B73" s="50"/>
      <c r="C73" s="50" t="s">
        <v>1785</v>
      </c>
      <c r="D73" s="33" t="s">
        <v>1786</v>
      </c>
      <c r="E73" s="11">
        <f>Source!BZ32</f>
        <v>80</v>
      </c>
      <c r="F73" s="53"/>
      <c r="G73" s="35"/>
      <c r="H73" s="34">
        <f>SUM(S68:S75)</f>
        <v>166.41</v>
      </c>
      <c r="I73" s="38"/>
      <c r="J73" s="31">
        <f>Source!AT32</f>
        <v>80</v>
      </c>
      <c r="K73" s="34">
        <f>SUM(T68:T75)</f>
        <v>1186.52</v>
      </c>
      <c r="L73" s="36"/>
    </row>
    <row r="74" spans="1:26" ht="14.25" x14ac:dyDescent="0.2">
      <c r="A74" s="49"/>
      <c r="B74" s="50"/>
      <c r="C74" s="50" t="s">
        <v>1787</v>
      </c>
      <c r="D74" s="33" t="s">
        <v>1786</v>
      </c>
      <c r="E74" s="11">
        <f>Source!CA32</f>
        <v>68</v>
      </c>
      <c r="F74" s="53"/>
      <c r="G74" s="35"/>
      <c r="H74" s="34">
        <f>SUM(U68:U75)</f>
        <v>141.44999999999999</v>
      </c>
      <c r="I74" s="38"/>
      <c r="J74" s="31">
        <f>Source!AU32</f>
        <v>68</v>
      </c>
      <c r="K74" s="34">
        <f>SUM(V68:V75)</f>
        <v>1008.54</v>
      </c>
      <c r="L74" s="36"/>
    </row>
    <row r="75" spans="1:26" ht="14.25" x14ac:dyDescent="0.2">
      <c r="A75" s="51"/>
      <c r="B75" s="52"/>
      <c r="C75" s="52" t="s">
        <v>1788</v>
      </c>
      <c r="D75" s="39" t="s">
        <v>1789</v>
      </c>
      <c r="E75" s="40">
        <f>Source!AQ32</f>
        <v>69.87</v>
      </c>
      <c r="F75" s="41"/>
      <c r="G75" s="42" t="str">
        <f>Source!DI32</f>
        <v/>
      </c>
      <c r="H75" s="41"/>
      <c r="I75" s="42"/>
      <c r="J75" s="42"/>
      <c r="K75" s="41"/>
      <c r="L75" s="43">
        <f>Source!U32</f>
        <v>23.616060000000004</v>
      </c>
    </row>
    <row r="76" spans="1:26" ht="15" x14ac:dyDescent="0.25">
      <c r="G76" s="87">
        <f>H70+H71+H73+H74</f>
        <v>524.51</v>
      </c>
      <c r="H76" s="87"/>
      <c r="J76" s="87">
        <f>K70+K71+K73+K74</f>
        <v>3739.83</v>
      </c>
      <c r="K76" s="87"/>
      <c r="L76" s="44">
        <f>Source!U32</f>
        <v>23.616060000000004</v>
      </c>
      <c r="O76" s="27">
        <f>G76</f>
        <v>524.51</v>
      </c>
      <c r="P76" s="27">
        <f>J76</f>
        <v>3739.83</v>
      </c>
      <c r="Q76" s="27">
        <f>L76</f>
        <v>23.616060000000004</v>
      </c>
      <c r="W76">
        <f>IF(Source!BI32&lt;=1,H70+H71+H73+H74, 0)</f>
        <v>524.51</v>
      </c>
      <c r="X76">
        <f>IF(Source!BI32=2,H70+H71+H73+H74, 0)</f>
        <v>0</v>
      </c>
      <c r="Y76">
        <f>IF(Source!BI32=3,H70+H71+H73+H74, 0)</f>
        <v>0</v>
      </c>
      <c r="Z76">
        <f>IF(Source!BI32=4,H70+H71+H73+H74, 0)</f>
        <v>0</v>
      </c>
    </row>
    <row r="77" spans="1:26" ht="28.5" x14ac:dyDescent="0.2">
      <c r="A77" s="49" t="str">
        <f>Source!E33</f>
        <v>6</v>
      </c>
      <c r="B77" s="50" t="str">
        <f>Source!F33</f>
        <v>57-2-4</v>
      </c>
      <c r="C77" s="50" t="str">
        <f>Source!G33</f>
        <v>Разборка покрытий полов цементных толщиной 45 мм</v>
      </c>
      <c r="D77" s="33" t="str">
        <f>Source!H33</f>
        <v>100 м2</v>
      </c>
      <c r="E77" s="11">
        <f>Source!I33</f>
        <v>0.33800000000000002</v>
      </c>
      <c r="F77" s="34">
        <f>Source!AL33+Source!AM33+Source!AO33</f>
        <v>1687.56</v>
      </c>
      <c r="G77" s="35"/>
      <c r="H77" s="34"/>
      <c r="I77" s="35" t="str">
        <f>Source!BO33</f>
        <v/>
      </c>
      <c r="J77" s="35"/>
      <c r="K77" s="34"/>
      <c r="L77" s="36"/>
      <c r="S77">
        <f>ROUND((Source!FX33/100)*((ROUND(Source!AF33*Source!I33, 2)+ROUND(Source!AE33*Source!I33, 2))), 2)</f>
        <v>263.06</v>
      </c>
      <c r="T77">
        <f>Source!X33</f>
        <v>1875.58</v>
      </c>
      <c r="U77">
        <f>ROUND((Source!FY33/100)*((ROUND(Source!AF33*Source!I33, 2)+ROUND(Source!AE33*Source!I33, 2))), 2)</f>
        <v>223.6</v>
      </c>
      <c r="V77">
        <f>Source!Y33</f>
        <v>1594.25</v>
      </c>
    </row>
    <row r="78" spans="1:26" x14ac:dyDescent="0.2">
      <c r="C78" s="26" t="str">
        <f>"Объем: "&amp;Source!I33&amp;"=33,8/"&amp;"100"</f>
        <v>Объем: 0,338=33,8/100</v>
      </c>
    </row>
    <row r="79" spans="1:26" ht="14.25" x14ac:dyDescent="0.2">
      <c r="A79" s="49"/>
      <c r="B79" s="50"/>
      <c r="C79" s="50" t="s">
        <v>1783</v>
      </c>
      <c r="D79" s="33"/>
      <c r="E79" s="11"/>
      <c r="F79" s="34">
        <f>Source!AO33</f>
        <v>948.54</v>
      </c>
      <c r="G79" s="35" t="str">
        <f>Source!DG33</f>
        <v/>
      </c>
      <c r="H79" s="34">
        <f>ROUND(Source!AF33*Source!I33, 2)</f>
        <v>320.61</v>
      </c>
      <c r="I79" s="35"/>
      <c r="J79" s="35">
        <f>IF(Source!BA33&lt;&gt; 0, Source!BA33, 1)</f>
        <v>7.13</v>
      </c>
      <c r="K79" s="34">
        <f>Source!S33</f>
        <v>2285.92</v>
      </c>
      <c r="L79" s="36"/>
      <c r="R79">
        <f>H79</f>
        <v>320.61</v>
      </c>
    </row>
    <row r="80" spans="1:26" ht="14.25" x14ac:dyDescent="0.2">
      <c r="A80" s="49"/>
      <c r="B80" s="50"/>
      <c r="C80" s="50" t="s">
        <v>449</v>
      </c>
      <c r="D80" s="33"/>
      <c r="E80" s="11"/>
      <c r="F80" s="34">
        <f>Source!AM33</f>
        <v>739.02</v>
      </c>
      <c r="G80" s="35" t="str">
        <f>Source!DE33</f>
        <v/>
      </c>
      <c r="H80" s="34">
        <f>ROUND(Source!AD33*Source!I33, 2)</f>
        <v>249.79</v>
      </c>
      <c r="I80" s="35"/>
      <c r="J80" s="35">
        <f>IF(Source!BB33&lt;&gt; 0, Source!BB33, 1)</f>
        <v>7.13</v>
      </c>
      <c r="K80" s="34">
        <f>Source!Q33</f>
        <v>1780.99</v>
      </c>
      <c r="L80" s="36"/>
    </row>
    <row r="81" spans="1:26" ht="14.25" x14ac:dyDescent="0.2">
      <c r="A81" s="49"/>
      <c r="B81" s="50"/>
      <c r="C81" s="50" t="s">
        <v>1784</v>
      </c>
      <c r="D81" s="33"/>
      <c r="E81" s="11"/>
      <c r="F81" s="34">
        <f>Source!AN33</f>
        <v>24.3</v>
      </c>
      <c r="G81" s="35" t="str">
        <f>Source!DF33</f>
        <v/>
      </c>
      <c r="H81" s="37">
        <f>ROUND(Source!AE33*Source!I33, 2)</f>
        <v>8.2100000000000009</v>
      </c>
      <c r="I81" s="35"/>
      <c r="J81" s="35">
        <f>IF(Source!BS33&lt;&gt; 0, Source!BS33, 1)</f>
        <v>7.13</v>
      </c>
      <c r="K81" s="37">
        <f>Source!R33</f>
        <v>58.56</v>
      </c>
      <c r="L81" s="36"/>
      <c r="R81">
        <f>H81</f>
        <v>8.2100000000000009</v>
      </c>
    </row>
    <row r="82" spans="1:26" ht="14.25" x14ac:dyDescent="0.2">
      <c r="A82" s="49"/>
      <c r="B82" s="50"/>
      <c r="C82" s="50" t="s">
        <v>1785</v>
      </c>
      <c r="D82" s="33" t="s">
        <v>1786</v>
      </c>
      <c r="E82" s="11">
        <f>Source!BZ33</f>
        <v>80</v>
      </c>
      <c r="F82" s="53"/>
      <c r="G82" s="35"/>
      <c r="H82" s="34">
        <f>SUM(S77:S84)</f>
        <v>263.06</v>
      </c>
      <c r="I82" s="38"/>
      <c r="J82" s="31">
        <f>Source!AT33</f>
        <v>80</v>
      </c>
      <c r="K82" s="34">
        <f>SUM(T77:T84)</f>
        <v>1875.58</v>
      </c>
      <c r="L82" s="36"/>
    </row>
    <row r="83" spans="1:26" ht="14.25" x14ac:dyDescent="0.2">
      <c r="A83" s="49"/>
      <c r="B83" s="50"/>
      <c r="C83" s="50" t="s">
        <v>1787</v>
      </c>
      <c r="D83" s="33" t="s">
        <v>1786</v>
      </c>
      <c r="E83" s="11">
        <f>Source!CA33</f>
        <v>68</v>
      </c>
      <c r="F83" s="53"/>
      <c r="G83" s="35"/>
      <c r="H83" s="34">
        <f>SUM(U77:U84)</f>
        <v>223.6</v>
      </c>
      <c r="I83" s="38"/>
      <c r="J83" s="31">
        <f>Source!AU33</f>
        <v>68</v>
      </c>
      <c r="K83" s="34">
        <f>SUM(V77:V84)</f>
        <v>1594.25</v>
      </c>
      <c r="L83" s="36"/>
    </row>
    <row r="84" spans="1:26" ht="14.25" x14ac:dyDescent="0.2">
      <c r="A84" s="51"/>
      <c r="B84" s="52"/>
      <c r="C84" s="52" t="s">
        <v>1788</v>
      </c>
      <c r="D84" s="39" t="s">
        <v>1789</v>
      </c>
      <c r="E84" s="40">
        <f>Source!AQ33</f>
        <v>111.2</v>
      </c>
      <c r="F84" s="41"/>
      <c r="G84" s="42" t="str">
        <f>Source!DI33</f>
        <v/>
      </c>
      <c r="H84" s="41"/>
      <c r="I84" s="42"/>
      <c r="J84" s="42"/>
      <c r="K84" s="41"/>
      <c r="L84" s="43">
        <f>Source!U33</f>
        <v>37.585600000000007</v>
      </c>
    </row>
    <row r="85" spans="1:26" ht="15" x14ac:dyDescent="0.25">
      <c r="G85" s="87">
        <f>H79+H80+H82+H83</f>
        <v>1057.06</v>
      </c>
      <c r="H85" s="87"/>
      <c r="J85" s="87">
        <f>K79+K80+K82+K83</f>
        <v>7536.74</v>
      </c>
      <c r="K85" s="87"/>
      <c r="L85" s="44">
        <f>Source!U33</f>
        <v>37.585600000000007</v>
      </c>
      <c r="O85" s="27">
        <f>G85</f>
        <v>1057.06</v>
      </c>
      <c r="P85" s="27">
        <f>J85</f>
        <v>7536.74</v>
      </c>
      <c r="Q85" s="27">
        <f>L85</f>
        <v>37.585600000000007</v>
      </c>
      <c r="W85">
        <f>IF(Source!BI33&lt;=1,H79+H80+H82+H83, 0)</f>
        <v>1057.06</v>
      </c>
      <c r="X85">
        <f>IF(Source!BI33=2,H79+H80+H82+H83, 0)</f>
        <v>0</v>
      </c>
      <c r="Y85">
        <f>IF(Source!BI33=3,H79+H80+H82+H83, 0)</f>
        <v>0</v>
      </c>
      <c r="Z85">
        <f>IF(Source!BI33=4,H79+H80+H82+H83, 0)</f>
        <v>0</v>
      </c>
    </row>
    <row r="86" spans="1:26" ht="28.5" x14ac:dyDescent="0.2">
      <c r="A86" s="49" t="str">
        <f>Source!E34</f>
        <v>7</v>
      </c>
      <c r="B86" s="50" t="str">
        <f>Source!F34</f>
        <v>57-3-2</v>
      </c>
      <c r="C86" s="50" t="str">
        <f>Source!G34</f>
        <v>Разборка плинтусов цементных и из керамической плитки</v>
      </c>
      <c r="D86" s="33" t="str">
        <f>Source!H34</f>
        <v>100 м</v>
      </c>
      <c r="E86" s="11">
        <f>Source!I34</f>
        <v>0.51880000000000004</v>
      </c>
      <c r="F86" s="34">
        <f>Source!AL34+Source!AM34+Source!AO34</f>
        <v>111.38</v>
      </c>
      <c r="G86" s="35"/>
      <c r="H86" s="34"/>
      <c r="I86" s="35" t="str">
        <f>Source!BO34</f>
        <v/>
      </c>
      <c r="J86" s="35"/>
      <c r="K86" s="34"/>
      <c r="L86" s="36"/>
      <c r="S86">
        <f>ROUND((Source!FX34/100)*((ROUND(Source!AF34*Source!I34, 2)+ROUND(Source!AE34*Source!I34, 2))), 2)</f>
        <v>46.22</v>
      </c>
      <c r="T86">
        <f>Source!X34</f>
        <v>329.6</v>
      </c>
      <c r="U86">
        <f>ROUND((Source!FY34/100)*((ROUND(Source!AF34*Source!I34, 2)+ROUND(Source!AE34*Source!I34, 2))), 2)</f>
        <v>39.29</v>
      </c>
      <c r="V86">
        <f>Source!Y34</f>
        <v>280.16000000000003</v>
      </c>
    </row>
    <row r="87" spans="1:26" x14ac:dyDescent="0.2">
      <c r="C87" s="26" t="str">
        <f>"Объем: "&amp;Source!I34&amp;"=51,88/"&amp;"100"</f>
        <v>Объем: 0,5188=51,88/100</v>
      </c>
    </row>
    <row r="88" spans="1:26" ht="14.25" x14ac:dyDescent="0.2">
      <c r="A88" s="49"/>
      <c r="B88" s="50"/>
      <c r="C88" s="50" t="s">
        <v>1783</v>
      </c>
      <c r="D88" s="33"/>
      <c r="E88" s="11"/>
      <c r="F88" s="34">
        <f>Source!AO34</f>
        <v>111.38</v>
      </c>
      <c r="G88" s="35" t="str">
        <f>Source!DG34</f>
        <v/>
      </c>
      <c r="H88" s="34">
        <f>ROUND(Source!AF34*Source!I34, 2)</f>
        <v>57.78</v>
      </c>
      <c r="I88" s="35"/>
      <c r="J88" s="35">
        <f>IF(Source!BA34&lt;&gt; 0, Source!BA34, 1)</f>
        <v>7.13</v>
      </c>
      <c r="K88" s="34">
        <f>Source!S34</f>
        <v>412</v>
      </c>
      <c r="L88" s="36"/>
      <c r="R88">
        <f>H88</f>
        <v>57.78</v>
      </c>
    </row>
    <row r="89" spans="1:26" ht="14.25" x14ac:dyDescent="0.2">
      <c r="A89" s="49"/>
      <c r="B89" s="50"/>
      <c r="C89" s="50" t="s">
        <v>1785</v>
      </c>
      <c r="D89" s="33" t="s">
        <v>1786</v>
      </c>
      <c r="E89" s="11">
        <f>Source!BZ34</f>
        <v>80</v>
      </c>
      <c r="F89" s="53"/>
      <c r="G89" s="35"/>
      <c r="H89" s="34">
        <f>SUM(S86:S91)</f>
        <v>46.22</v>
      </c>
      <c r="I89" s="38"/>
      <c r="J89" s="31">
        <f>Source!AT34</f>
        <v>80</v>
      </c>
      <c r="K89" s="34">
        <f>SUM(T86:T91)</f>
        <v>329.6</v>
      </c>
      <c r="L89" s="36"/>
    </row>
    <row r="90" spans="1:26" ht="14.25" x14ac:dyDescent="0.2">
      <c r="A90" s="49"/>
      <c r="B90" s="50"/>
      <c r="C90" s="50" t="s">
        <v>1787</v>
      </c>
      <c r="D90" s="33" t="s">
        <v>1786</v>
      </c>
      <c r="E90" s="11">
        <f>Source!CA34</f>
        <v>68</v>
      </c>
      <c r="F90" s="53"/>
      <c r="G90" s="35"/>
      <c r="H90" s="34">
        <f>SUM(U86:U91)</f>
        <v>39.29</v>
      </c>
      <c r="I90" s="38"/>
      <c r="J90" s="31">
        <f>Source!AU34</f>
        <v>68</v>
      </c>
      <c r="K90" s="34">
        <f>SUM(V86:V91)</f>
        <v>280.16000000000003</v>
      </c>
      <c r="L90" s="36"/>
    </row>
    <row r="91" spans="1:26" ht="14.25" x14ac:dyDescent="0.2">
      <c r="A91" s="51"/>
      <c r="B91" s="52"/>
      <c r="C91" s="52" t="s">
        <v>1788</v>
      </c>
      <c r="D91" s="39" t="s">
        <v>1789</v>
      </c>
      <c r="E91" s="40">
        <f>Source!AQ34</f>
        <v>14.28</v>
      </c>
      <c r="F91" s="41"/>
      <c r="G91" s="42" t="str">
        <f>Source!DI34</f>
        <v/>
      </c>
      <c r="H91" s="41"/>
      <c r="I91" s="42"/>
      <c r="J91" s="42"/>
      <c r="K91" s="41"/>
      <c r="L91" s="43">
        <f>Source!U34</f>
        <v>7.4084640000000004</v>
      </c>
    </row>
    <row r="92" spans="1:26" ht="15" x14ac:dyDescent="0.25">
      <c r="G92" s="87">
        <f>H88+H89+H90</f>
        <v>143.29</v>
      </c>
      <c r="H92" s="87"/>
      <c r="J92" s="87">
        <f>K88+K89+K90</f>
        <v>1021.76</v>
      </c>
      <c r="K92" s="87"/>
      <c r="L92" s="44">
        <f>Source!U34</f>
        <v>7.4084640000000004</v>
      </c>
      <c r="O92" s="27">
        <f>G92</f>
        <v>143.29</v>
      </c>
      <c r="P92" s="27">
        <f>J92</f>
        <v>1021.76</v>
      </c>
      <c r="Q92" s="27">
        <f>L92</f>
        <v>7.4084640000000004</v>
      </c>
      <c r="W92">
        <f>IF(Source!BI34&lt;=1,H88+H89+H90, 0)</f>
        <v>143.29</v>
      </c>
      <c r="X92">
        <f>IF(Source!BI34=2,H88+H89+H90, 0)</f>
        <v>0</v>
      </c>
      <c r="Y92">
        <f>IF(Source!BI34=3,H88+H89+H90, 0)</f>
        <v>0</v>
      </c>
      <c r="Z92">
        <f>IF(Source!BI34=4,H88+H89+H90, 0)</f>
        <v>0</v>
      </c>
    </row>
    <row r="93" spans="1:26" ht="28.5" x14ac:dyDescent="0.2">
      <c r="A93" s="49" t="str">
        <f>Source!E35</f>
        <v>8</v>
      </c>
      <c r="B93" s="50" t="str">
        <f>Source!F35</f>
        <v>57-3-1</v>
      </c>
      <c r="C93" s="50" t="str">
        <f>Source!G35</f>
        <v>Разборка плинтусов деревянных и из пластмассовых материалов</v>
      </c>
      <c r="D93" s="33" t="str">
        <f>Source!H35</f>
        <v>100 м</v>
      </c>
      <c r="E93" s="11">
        <f>Source!I35</f>
        <v>1.9157999999999999</v>
      </c>
      <c r="F93" s="34">
        <f>Source!AL35+Source!AM35+Source!AO35</f>
        <v>29.41</v>
      </c>
      <c r="G93" s="35"/>
      <c r="H93" s="34"/>
      <c r="I93" s="35" t="str">
        <f>Source!BO35</f>
        <v/>
      </c>
      <c r="J93" s="35"/>
      <c r="K93" s="34"/>
      <c r="L93" s="36"/>
      <c r="S93">
        <f>ROUND((Source!FX35/100)*((ROUND(Source!AF35*Source!I35, 2)+ROUND(Source!AE35*Source!I35, 2))), 2)</f>
        <v>45.07</v>
      </c>
      <c r="T93">
        <f>Source!X35</f>
        <v>321.38</v>
      </c>
      <c r="U93">
        <f>ROUND((Source!FY35/100)*((ROUND(Source!AF35*Source!I35, 2)+ROUND(Source!AE35*Source!I35, 2))), 2)</f>
        <v>38.31</v>
      </c>
      <c r="V93">
        <f>Source!Y35</f>
        <v>273.18</v>
      </c>
    </row>
    <row r="94" spans="1:26" x14ac:dyDescent="0.2">
      <c r="C94" s="26" t="str">
        <f>"Объем: "&amp;Source!I35&amp;"=191,58/"&amp;"100"</f>
        <v>Объем: 1,9158=191,58/100</v>
      </c>
    </row>
    <row r="95" spans="1:26" ht="14.25" x14ac:dyDescent="0.2">
      <c r="A95" s="49"/>
      <c r="B95" s="50"/>
      <c r="C95" s="50" t="s">
        <v>1783</v>
      </c>
      <c r="D95" s="33"/>
      <c r="E95" s="11"/>
      <c r="F95" s="34">
        <f>Source!AO35</f>
        <v>29.41</v>
      </c>
      <c r="G95" s="35" t="str">
        <f>Source!DG35</f>
        <v/>
      </c>
      <c r="H95" s="34">
        <f>ROUND(Source!AF35*Source!I35, 2)</f>
        <v>56.34</v>
      </c>
      <c r="I95" s="35"/>
      <c r="J95" s="35">
        <f>IF(Source!BA35&lt;&gt; 0, Source!BA35, 1)</f>
        <v>7.13</v>
      </c>
      <c r="K95" s="34">
        <f>Source!S35</f>
        <v>401.73</v>
      </c>
      <c r="L95" s="36"/>
      <c r="R95">
        <f>H95</f>
        <v>56.34</v>
      </c>
    </row>
    <row r="96" spans="1:26" ht="14.25" x14ac:dyDescent="0.2">
      <c r="A96" s="49"/>
      <c r="B96" s="50"/>
      <c r="C96" s="50" t="s">
        <v>1785</v>
      </c>
      <c r="D96" s="33" t="s">
        <v>1786</v>
      </c>
      <c r="E96" s="11">
        <f>Source!BZ35</f>
        <v>80</v>
      </c>
      <c r="F96" s="53"/>
      <c r="G96" s="35"/>
      <c r="H96" s="34">
        <f>SUM(S93:S98)</f>
        <v>45.07</v>
      </c>
      <c r="I96" s="38"/>
      <c r="J96" s="31">
        <f>Source!AT35</f>
        <v>80</v>
      </c>
      <c r="K96" s="34">
        <f>SUM(T93:T98)</f>
        <v>321.38</v>
      </c>
      <c r="L96" s="36"/>
    </row>
    <row r="97" spans="1:26" ht="14.25" x14ac:dyDescent="0.2">
      <c r="A97" s="49"/>
      <c r="B97" s="50"/>
      <c r="C97" s="50" t="s">
        <v>1787</v>
      </c>
      <c r="D97" s="33" t="s">
        <v>1786</v>
      </c>
      <c r="E97" s="11">
        <f>Source!CA35</f>
        <v>68</v>
      </c>
      <c r="F97" s="53"/>
      <c r="G97" s="35"/>
      <c r="H97" s="34">
        <f>SUM(U93:U98)</f>
        <v>38.31</v>
      </c>
      <c r="I97" s="38"/>
      <c r="J97" s="31">
        <f>Source!AU35</f>
        <v>68</v>
      </c>
      <c r="K97" s="34">
        <f>SUM(V93:V98)</f>
        <v>273.18</v>
      </c>
      <c r="L97" s="36"/>
    </row>
    <row r="98" spans="1:26" ht="14.25" x14ac:dyDescent="0.2">
      <c r="A98" s="51"/>
      <c r="B98" s="52"/>
      <c r="C98" s="52" t="s">
        <v>1788</v>
      </c>
      <c r="D98" s="39" t="s">
        <v>1789</v>
      </c>
      <c r="E98" s="40">
        <f>Source!AQ35</f>
        <v>3.77</v>
      </c>
      <c r="F98" s="41"/>
      <c r="G98" s="42" t="str">
        <f>Source!DI35</f>
        <v/>
      </c>
      <c r="H98" s="41"/>
      <c r="I98" s="42"/>
      <c r="J98" s="42"/>
      <c r="K98" s="41"/>
      <c r="L98" s="43">
        <f>Source!U35</f>
        <v>7.2225659999999996</v>
      </c>
    </row>
    <row r="99" spans="1:26" ht="15" x14ac:dyDescent="0.25">
      <c r="G99" s="87">
        <f>H95+H96+H97</f>
        <v>139.72</v>
      </c>
      <c r="H99" s="87"/>
      <c r="J99" s="87">
        <f>K95+K96+K97</f>
        <v>996.29</v>
      </c>
      <c r="K99" s="87"/>
      <c r="L99" s="44">
        <f>Source!U35</f>
        <v>7.2225659999999996</v>
      </c>
      <c r="O99" s="27">
        <f>G99</f>
        <v>139.72</v>
      </c>
      <c r="P99" s="27">
        <f>J99</f>
        <v>996.29</v>
      </c>
      <c r="Q99" s="27">
        <f>L99</f>
        <v>7.2225659999999996</v>
      </c>
      <c r="W99">
        <f>IF(Source!BI35&lt;=1,H95+H96+H97, 0)</f>
        <v>139.72</v>
      </c>
      <c r="X99">
        <f>IF(Source!BI35=2,H95+H96+H97, 0)</f>
        <v>0</v>
      </c>
      <c r="Y99">
        <f>IF(Source!BI35=3,H95+H96+H97, 0)</f>
        <v>0</v>
      </c>
      <c r="Z99">
        <f>IF(Source!BI35=4,H95+H96+H97, 0)</f>
        <v>0</v>
      </c>
    </row>
    <row r="100" spans="1:26" ht="28.5" x14ac:dyDescent="0.2">
      <c r="A100" s="49" t="str">
        <f>Source!E36</f>
        <v>9</v>
      </c>
      <c r="B100" s="50" t="str">
        <f>Source!F36</f>
        <v>63-7-5</v>
      </c>
      <c r="C100" s="50" t="str">
        <f>Source!G36</f>
        <v>Разборка облицовки стен из керамических глазурованных плиток</v>
      </c>
      <c r="D100" s="33" t="str">
        <f>Source!H36</f>
        <v>100 м2</v>
      </c>
      <c r="E100" s="11">
        <f>Source!I36</f>
        <v>0.7873</v>
      </c>
      <c r="F100" s="34">
        <f>Source!AL36+Source!AM36+Source!AO36</f>
        <v>654</v>
      </c>
      <c r="G100" s="35"/>
      <c r="H100" s="34"/>
      <c r="I100" s="35" t="str">
        <f>Source!BO36</f>
        <v/>
      </c>
      <c r="J100" s="35"/>
      <c r="K100" s="34"/>
      <c r="L100" s="36"/>
      <c r="S100">
        <f>ROUND((Source!FX36/100)*((ROUND(Source!AF36*Source!I36, 2)+ROUND(Source!AE36*Source!I36, 2))), 2)</f>
        <v>357.35</v>
      </c>
      <c r="T100">
        <f>Source!X36</f>
        <v>2547.9</v>
      </c>
      <c r="U100">
        <f>ROUND((Source!FY36/100)*((ROUND(Source!AF36*Source!I36, 2)+ROUND(Source!AE36*Source!I36, 2))), 2)</f>
        <v>232.05</v>
      </c>
      <c r="V100">
        <f>Source!Y36</f>
        <v>1654.48</v>
      </c>
    </row>
    <row r="101" spans="1:26" x14ac:dyDescent="0.2">
      <c r="C101" s="26" t="str">
        <f>"Объем: "&amp;Source!I36&amp;"=78,73/"&amp;"100"</f>
        <v>Объем: 0,7873=78,73/100</v>
      </c>
    </row>
    <row r="102" spans="1:26" ht="14.25" x14ac:dyDescent="0.2">
      <c r="A102" s="49"/>
      <c r="B102" s="50"/>
      <c r="C102" s="50" t="s">
        <v>1783</v>
      </c>
      <c r="D102" s="33"/>
      <c r="E102" s="11"/>
      <c r="F102" s="34">
        <f>Source!AO36</f>
        <v>584.74</v>
      </c>
      <c r="G102" s="35" t="str">
        <f>Source!DG36</f>
        <v/>
      </c>
      <c r="H102" s="34">
        <f>ROUND(Source!AF36*Source!I36, 2)</f>
        <v>460.37</v>
      </c>
      <c r="I102" s="35"/>
      <c r="J102" s="35">
        <f>IF(Source!BA36&lt;&gt; 0, Source!BA36, 1)</f>
        <v>7.13</v>
      </c>
      <c r="K102" s="34">
        <f>Source!S36</f>
        <v>3282.41</v>
      </c>
      <c r="L102" s="36"/>
      <c r="R102">
        <f>H102</f>
        <v>460.37</v>
      </c>
    </row>
    <row r="103" spans="1:26" ht="14.25" x14ac:dyDescent="0.2">
      <c r="A103" s="49"/>
      <c r="B103" s="50"/>
      <c r="C103" s="50" t="s">
        <v>449</v>
      </c>
      <c r="D103" s="33"/>
      <c r="E103" s="11"/>
      <c r="F103" s="34">
        <f>Source!AM36</f>
        <v>69.260000000000005</v>
      </c>
      <c r="G103" s="35" t="str">
        <f>Source!DE36</f>
        <v/>
      </c>
      <c r="H103" s="34">
        <f>ROUND(Source!AD36*Source!I36, 2)</f>
        <v>54.53</v>
      </c>
      <c r="I103" s="35"/>
      <c r="J103" s="35">
        <f>IF(Source!BB36&lt;&gt; 0, Source!BB36, 1)</f>
        <v>7.13</v>
      </c>
      <c r="K103" s="34">
        <f>Source!Q36</f>
        <v>388.79</v>
      </c>
      <c r="L103" s="36"/>
    </row>
    <row r="104" spans="1:26" ht="14.25" x14ac:dyDescent="0.2">
      <c r="A104" s="49"/>
      <c r="B104" s="50"/>
      <c r="C104" s="50" t="s">
        <v>1784</v>
      </c>
      <c r="D104" s="33"/>
      <c r="E104" s="11"/>
      <c r="F104" s="34">
        <f>Source!AN36</f>
        <v>4.7300000000000004</v>
      </c>
      <c r="G104" s="35" t="str">
        <f>Source!DF36</f>
        <v/>
      </c>
      <c r="H104" s="37">
        <f>ROUND(Source!AE36*Source!I36, 2)</f>
        <v>3.72</v>
      </c>
      <c r="I104" s="35"/>
      <c r="J104" s="35">
        <f>IF(Source!BS36&lt;&gt; 0, Source!BS36, 1)</f>
        <v>7.13</v>
      </c>
      <c r="K104" s="37">
        <f>Source!R36</f>
        <v>26.55</v>
      </c>
      <c r="L104" s="36"/>
      <c r="R104">
        <f>H104</f>
        <v>3.72</v>
      </c>
    </row>
    <row r="105" spans="1:26" ht="14.25" x14ac:dyDescent="0.2">
      <c r="A105" s="49"/>
      <c r="B105" s="50"/>
      <c r="C105" s="50" t="s">
        <v>1785</v>
      </c>
      <c r="D105" s="33" t="s">
        <v>1786</v>
      </c>
      <c r="E105" s="11">
        <f>Source!BZ36</f>
        <v>77</v>
      </c>
      <c r="F105" s="53"/>
      <c r="G105" s="35"/>
      <c r="H105" s="34">
        <f>SUM(S100:S107)</f>
        <v>357.35</v>
      </c>
      <c r="I105" s="38"/>
      <c r="J105" s="31">
        <f>Source!AT36</f>
        <v>77</v>
      </c>
      <c r="K105" s="34">
        <f>SUM(T100:T107)</f>
        <v>2547.9</v>
      </c>
      <c r="L105" s="36"/>
    </row>
    <row r="106" spans="1:26" ht="14.25" x14ac:dyDescent="0.2">
      <c r="A106" s="49"/>
      <c r="B106" s="50"/>
      <c r="C106" s="50" t="s">
        <v>1787</v>
      </c>
      <c r="D106" s="33" t="s">
        <v>1786</v>
      </c>
      <c r="E106" s="11">
        <f>Source!CA36</f>
        <v>50</v>
      </c>
      <c r="F106" s="53"/>
      <c r="G106" s="35"/>
      <c r="H106" s="34">
        <f>SUM(U100:U107)</f>
        <v>232.05</v>
      </c>
      <c r="I106" s="38"/>
      <c r="J106" s="31">
        <f>Source!AU36</f>
        <v>50</v>
      </c>
      <c r="K106" s="34">
        <f>SUM(V100:V107)</f>
        <v>1654.48</v>
      </c>
      <c r="L106" s="36"/>
    </row>
    <row r="107" spans="1:26" ht="14.25" x14ac:dyDescent="0.2">
      <c r="A107" s="51"/>
      <c r="B107" s="52"/>
      <c r="C107" s="52" t="s">
        <v>1788</v>
      </c>
      <c r="D107" s="39" t="s">
        <v>1789</v>
      </c>
      <c r="E107" s="40">
        <f>Source!AQ36</f>
        <v>74.3</v>
      </c>
      <c r="F107" s="41"/>
      <c r="G107" s="42" t="str">
        <f>Source!DI36</f>
        <v/>
      </c>
      <c r="H107" s="41"/>
      <c r="I107" s="42"/>
      <c r="J107" s="42"/>
      <c r="K107" s="41"/>
      <c r="L107" s="43">
        <f>Source!U36</f>
        <v>58.496389999999998</v>
      </c>
    </row>
    <row r="108" spans="1:26" ht="15" x14ac:dyDescent="0.25">
      <c r="G108" s="87">
        <f>H102+H103+H105+H106</f>
        <v>1104.3</v>
      </c>
      <c r="H108" s="87"/>
      <c r="J108" s="87">
        <f>K102+K103+K105+K106</f>
        <v>7873.58</v>
      </c>
      <c r="K108" s="87"/>
      <c r="L108" s="44">
        <f>Source!U36</f>
        <v>58.496389999999998</v>
      </c>
      <c r="O108" s="27">
        <f>G108</f>
        <v>1104.3</v>
      </c>
      <c r="P108" s="27">
        <f>J108</f>
        <v>7873.58</v>
      </c>
      <c r="Q108" s="27">
        <f>L108</f>
        <v>58.496389999999998</v>
      </c>
      <c r="W108">
        <f>IF(Source!BI36&lt;=1,H102+H103+H105+H106, 0)</f>
        <v>1104.3</v>
      </c>
      <c r="X108">
        <f>IF(Source!BI36=2,H102+H103+H105+H106, 0)</f>
        <v>0</v>
      </c>
      <c r="Y108">
        <f>IF(Source!BI36=3,H102+H103+H105+H106, 0)</f>
        <v>0</v>
      </c>
      <c r="Z108">
        <f>IF(Source!BI36=4,H102+H103+H105+H106, 0)</f>
        <v>0</v>
      </c>
    </row>
    <row r="109" spans="1:26" ht="14.25" x14ac:dyDescent="0.2">
      <c r="A109" s="49" t="str">
        <f>Source!E37</f>
        <v>10</v>
      </c>
      <c r="B109" s="50" t="str">
        <f>Source!F37</f>
        <v>63-5-1</v>
      </c>
      <c r="C109" s="50" t="str">
        <f>Source!G37</f>
        <v>Снятие обоев простых и улучшенных</v>
      </c>
      <c r="D109" s="33" t="str">
        <f>Source!H37</f>
        <v>100 м2</v>
      </c>
      <c r="E109" s="11">
        <f>Source!I37</f>
        <v>3.7440000000000002</v>
      </c>
      <c r="F109" s="34">
        <f>Source!AL37+Source!AM37+Source!AO37</f>
        <v>81.12</v>
      </c>
      <c r="G109" s="35"/>
      <c r="H109" s="34"/>
      <c r="I109" s="35" t="str">
        <f>Source!BO37</f>
        <v/>
      </c>
      <c r="J109" s="35"/>
      <c r="K109" s="34"/>
      <c r="L109" s="36"/>
      <c r="S109">
        <f>ROUND((Source!FX37/100)*((ROUND(Source!AF37*Source!I37, 2)+ROUND(Source!AE37*Source!I37, 2))), 2)</f>
        <v>233.86</v>
      </c>
      <c r="T109">
        <f>Source!X37</f>
        <v>1667.42</v>
      </c>
      <c r="U109">
        <f>ROUND((Source!FY37/100)*((ROUND(Source!AF37*Source!I37, 2)+ROUND(Source!AE37*Source!I37, 2))), 2)</f>
        <v>151.86000000000001</v>
      </c>
      <c r="V109">
        <f>Source!Y37</f>
        <v>1082.74</v>
      </c>
    </row>
    <row r="110" spans="1:26" x14ac:dyDescent="0.2">
      <c r="C110" s="26" t="str">
        <f>"Объем: "&amp;Source!I37&amp;"=374,4/"&amp;"100"</f>
        <v>Объем: 3,744=374,4/100</v>
      </c>
    </row>
    <row r="111" spans="1:26" ht="14.25" x14ac:dyDescent="0.2">
      <c r="A111" s="49"/>
      <c r="B111" s="50"/>
      <c r="C111" s="50" t="s">
        <v>1783</v>
      </c>
      <c r="D111" s="33"/>
      <c r="E111" s="11"/>
      <c r="F111" s="34">
        <f>Source!AO37</f>
        <v>81.12</v>
      </c>
      <c r="G111" s="35" t="str">
        <f>Source!DG37</f>
        <v/>
      </c>
      <c r="H111" s="34">
        <f>ROUND(Source!AF37*Source!I37, 2)</f>
        <v>303.70999999999998</v>
      </c>
      <c r="I111" s="35"/>
      <c r="J111" s="35">
        <f>IF(Source!BA37&lt;&gt; 0, Source!BA37, 1)</f>
        <v>7.13</v>
      </c>
      <c r="K111" s="34">
        <f>Source!S37</f>
        <v>2165.48</v>
      </c>
      <c r="L111" s="36"/>
      <c r="R111">
        <f>H111</f>
        <v>303.70999999999998</v>
      </c>
    </row>
    <row r="112" spans="1:26" ht="14.25" x14ac:dyDescent="0.2">
      <c r="A112" s="49"/>
      <c r="B112" s="50"/>
      <c r="C112" s="50" t="s">
        <v>1785</v>
      </c>
      <c r="D112" s="33" t="s">
        <v>1786</v>
      </c>
      <c r="E112" s="11">
        <f>Source!BZ37</f>
        <v>77</v>
      </c>
      <c r="F112" s="53"/>
      <c r="G112" s="35"/>
      <c r="H112" s="34">
        <f>SUM(S109:S114)</f>
        <v>233.86</v>
      </c>
      <c r="I112" s="38"/>
      <c r="J112" s="31">
        <f>Source!AT37</f>
        <v>77</v>
      </c>
      <c r="K112" s="34">
        <f>SUM(T109:T114)</f>
        <v>1667.42</v>
      </c>
      <c r="L112" s="36"/>
    </row>
    <row r="113" spans="1:26" ht="14.25" x14ac:dyDescent="0.2">
      <c r="A113" s="49"/>
      <c r="B113" s="50"/>
      <c r="C113" s="50" t="s">
        <v>1787</v>
      </c>
      <c r="D113" s="33" t="s">
        <v>1786</v>
      </c>
      <c r="E113" s="11">
        <f>Source!CA37</f>
        <v>50</v>
      </c>
      <c r="F113" s="53"/>
      <c r="G113" s="35"/>
      <c r="H113" s="34">
        <f>SUM(U109:U114)</f>
        <v>151.86000000000001</v>
      </c>
      <c r="I113" s="38"/>
      <c r="J113" s="31">
        <f>Source!AU37</f>
        <v>50</v>
      </c>
      <c r="K113" s="34">
        <f>SUM(V109:V114)</f>
        <v>1082.74</v>
      </c>
      <c r="L113" s="36"/>
    </row>
    <row r="114" spans="1:26" ht="14.25" x14ac:dyDescent="0.2">
      <c r="A114" s="51"/>
      <c r="B114" s="52"/>
      <c r="C114" s="52" t="s">
        <v>1788</v>
      </c>
      <c r="D114" s="39" t="s">
        <v>1789</v>
      </c>
      <c r="E114" s="40">
        <f>Source!AQ37</f>
        <v>10.4</v>
      </c>
      <c r="F114" s="41"/>
      <c r="G114" s="42" t="str">
        <f>Source!DI37</f>
        <v/>
      </c>
      <c r="H114" s="41"/>
      <c r="I114" s="42"/>
      <c r="J114" s="42"/>
      <c r="K114" s="41"/>
      <c r="L114" s="43">
        <f>Source!U37</f>
        <v>38.937600000000003</v>
      </c>
    </row>
    <row r="115" spans="1:26" ht="15" x14ac:dyDescent="0.25">
      <c r="G115" s="87">
        <f>H111+H112+H113</f>
        <v>689.43</v>
      </c>
      <c r="H115" s="87"/>
      <c r="J115" s="87">
        <f>K111+K112+K113</f>
        <v>4915.6400000000003</v>
      </c>
      <c r="K115" s="87"/>
      <c r="L115" s="44">
        <f>Source!U37</f>
        <v>38.937600000000003</v>
      </c>
      <c r="O115" s="27">
        <f>G115</f>
        <v>689.43</v>
      </c>
      <c r="P115" s="27">
        <f>J115</f>
        <v>4915.6400000000003</v>
      </c>
      <c r="Q115" s="27">
        <f>L115</f>
        <v>38.937600000000003</v>
      </c>
      <c r="W115">
        <f>IF(Source!BI37&lt;=1,H111+H112+H113, 0)</f>
        <v>689.43</v>
      </c>
      <c r="X115">
        <f>IF(Source!BI37=2,H111+H112+H113, 0)</f>
        <v>0</v>
      </c>
      <c r="Y115">
        <f>IF(Source!BI37=3,H111+H112+H113, 0)</f>
        <v>0</v>
      </c>
      <c r="Z115">
        <f>IF(Source!BI37=4,H111+H112+H113, 0)</f>
        <v>0</v>
      </c>
    </row>
    <row r="116" spans="1:26" ht="28.5" x14ac:dyDescent="0.2">
      <c r="A116" s="49" t="str">
        <f>Source!E38</f>
        <v>11</v>
      </c>
      <c r="B116" s="50" t="str">
        <f>Source!F38</f>
        <v>46-02-009-02</v>
      </c>
      <c r="C116" s="50" t="str">
        <f>Source!G38</f>
        <v>Отбивка штукатурки с поверхностей стен</v>
      </c>
      <c r="D116" s="33" t="str">
        <f>Source!H38</f>
        <v>100 м2</v>
      </c>
      <c r="E116" s="11">
        <f>Source!I38</f>
        <v>1.3838999999999999</v>
      </c>
      <c r="F116" s="34">
        <f>Source!AL38+Source!AM38+Source!AO38</f>
        <v>178</v>
      </c>
      <c r="G116" s="35"/>
      <c r="H116" s="34"/>
      <c r="I116" s="35" t="str">
        <f>Source!BO38</f>
        <v/>
      </c>
      <c r="J116" s="35"/>
      <c r="K116" s="34"/>
      <c r="L116" s="36"/>
      <c r="S116">
        <f>ROUND((Source!FX38/100)*((ROUND(Source!AF38*Source!I38, 2)+ROUND(Source!AE38*Source!I38, 2))), 2)</f>
        <v>243.87</v>
      </c>
      <c r="T116">
        <f>Source!X38</f>
        <v>1738.8</v>
      </c>
      <c r="U116">
        <f>ROUND((Source!FY38/100)*((ROUND(Source!AF38*Source!I38, 2)+ROUND(Source!AE38*Source!I38, 2))), 2)</f>
        <v>146.57</v>
      </c>
      <c r="V116">
        <f>Source!Y38</f>
        <v>1053.82</v>
      </c>
    </row>
    <row r="117" spans="1:26" x14ac:dyDescent="0.2">
      <c r="C117" s="26" t="str">
        <f>"Объем: "&amp;Source!I38&amp;"=138,39/"&amp;"100"</f>
        <v>Объем: 1,3839=138,39/100</v>
      </c>
    </row>
    <row r="118" spans="1:26" ht="14.25" x14ac:dyDescent="0.2">
      <c r="A118" s="49"/>
      <c r="B118" s="50"/>
      <c r="C118" s="50" t="s">
        <v>1783</v>
      </c>
      <c r="D118" s="33"/>
      <c r="E118" s="11"/>
      <c r="F118" s="34">
        <f>Source!AO38</f>
        <v>178</v>
      </c>
      <c r="G118" s="35" t="str">
        <f>Source!DG38</f>
        <v/>
      </c>
      <c r="H118" s="34">
        <f>ROUND(Source!AF38*Source!I38, 2)</f>
        <v>246.33</v>
      </c>
      <c r="I118" s="35"/>
      <c r="J118" s="35">
        <f>IF(Source!BA38&lt;&gt; 0, Source!BA38, 1)</f>
        <v>7.13</v>
      </c>
      <c r="K118" s="34">
        <f>Source!S38</f>
        <v>1756.36</v>
      </c>
      <c r="L118" s="36"/>
      <c r="R118">
        <f>H118</f>
        <v>246.33</v>
      </c>
    </row>
    <row r="119" spans="1:26" ht="14.25" x14ac:dyDescent="0.2">
      <c r="A119" s="49"/>
      <c r="B119" s="50"/>
      <c r="C119" s="50" t="s">
        <v>1785</v>
      </c>
      <c r="D119" s="33" t="s">
        <v>1786</v>
      </c>
      <c r="E119" s="11">
        <f>Source!BZ38</f>
        <v>110</v>
      </c>
      <c r="F119" s="81" t="str">
        <f>CONCATENATE(" )", Source!DL38, Source!FT38, "=", Source!FX38)</f>
        <v xml:space="preserve"> )*0,9=99</v>
      </c>
      <c r="G119" s="88"/>
      <c r="H119" s="34">
        <f>SUM(S116:S121)</f>
        <v>243.87</v>
      </c>
      <c r="I119" s="38"/>
      <c r="J119" s="31">
        <f>Source!AT38</f>
        <v>99</v>
      </c>
      <c r="K119" s="34">
        <f>SUM(T116:T121)</f>
        <v>1738.8</v>
      </c>
      <c r="L119" s="36"/>
    </row>
    <row r="120" spans="1:26" ht="14.25" x14ac:dyDescent="0.2">
      <c r="A120" s="49"/>
      <c r="B120" s="50"/>
      <c r="C120" s="50" t="s">
        <v>1787</v>
      </c>
      <c r="D120" s="33" t="s">
        <v>1786</v>
      </c>
      <c r="E120" s="11">
        <f>Source!CA38</f>
        <v>70</v>
      </c>
      <c r="F120" s="81" t="str">
        <f>CONCATENATE(" )", Source!DM38, Source!FU38, "=", Source!FY38)</f>
        <v xml:space="preserve"> )*0,85=59,5</v>
      </c>
      <c r="G120" s="88"/>
      <c r="H120" s="34">
        <f>SUM(U116:U121)</f>
        <v>146.57</v>
      </c>
      <c r="I120" s="38"/>
      <c r="J120" s="31">
        <f>Source!AU38</f>
        <v>60</v>
      </c>
      <c r="K120" s="34">
        <f>SUM(V116:V121)</f>
        <v>1053.82</v>
      </c>
      <c r="L120" s="36"/>
    </row>
    <row r="121" spans="1:26" ht="14.25" x14ac:dyDescent="0.2">
      <c r="A121" s="51"/>
      <c r="B121" s="52"/>
      <c r="C121" s="52" t="s">
        <v>1788</v>
      </c>
      <c r="D121" s="39" t="s">
        <v>1789</v>
      </c>
      <c r="E121" s="40">
        <f>Source!AQ38</f>
        <v>22.82</v>
      </c>
      <c r="F121" s="41"/>
      <c r="G121" s="42" t="str">
        <f>Source!DI38</f>
        <v/>
      </c>
      <c r="H121" s="41"/>
      <c r="I121" s="42"/>
      <c r="J121" s="42"/>
      <c r="K121" s="41"/>
      <c r="L121" s="43">
        <f>Source!U38</f>
        <v>31.580597999999998</v>
      </c>
    </row>
    <row r="122" spans="1:26" ht="15" x14ac:dyDescent="0.25">
      <c r="G122" s="87">
        <f>H118+H119+H120</f>
        <v>636.77</v>
      </c>
      <c r="H122" s="87"/>
      <c r="J122" s="87">
        <f>K118+K119+K120</f>
        <v>4548.9799999999996</v>
      </c>
      <c r="K122" s="87"/>
      <c r="L122" s="44">
        <f>Source!U38</f>
        <v>31.580597999999998</v>
      </c>
      <c r="O122" s="27">
        <f>G122</f>
        <v>636.77</v>
      </c>
      <c r="P122" s="27">
        <f>J122</f>
        <v>4548.9799999999996</v>
      </c>
      <c r="Q122" s="27">
        <f>L122</f>
        <v>31.580597999999998</v>
      </c>
      <c r="W122">
        <f>IF(Source!BI38&lt;=1,H118+H119+H120, 0)</f>
        <v>636.77</v>
      </c>
      <c r="X122">
        <f>IF(Source!BI38=2,H118+H119+H120, 0)</f>
        <v>0</v>
      </c>
      <c r="Y122">
        <f>IF(Source!BI38=3,H118+H119+H120, 0)</f>
        <v>0</v>
      </c>
      <c r="Z122">
        <f>IF(Source!BI38=4,H118+H119+H120, 0)</f>
        <v>0</v>
      </c>
    </row>
    <row r="123" spans="1:26" ht="57" x14ac:dyDescent="0.2">
      <c r="A123" s="49" t="str">
        <f>Source!E39</f>
        <v>12</v>
      </c>
      <c r="B123" s="50" t="str">
        <f>Source!F39</f>
        <v>10-01-047-02</v>
      </c>
      <c r="C123" s="50" t="str">
        <f>Source!G39</f>
        <v>Установка блоков из ПВХ в наружных и внутренних дверных проемах в каменных стенах площадью проема более 3 м2</v>
      </c>
      <c r="D123" s="33" t="str">
        <f>Source!H39</f>
        <v>100 м2</v>
      </c>
      <c r="E123" s="11">
        <f>Source!I39</f>
        <v>6.5000000000000002E-2</v>
      </c>
      <c r="F123" s="34">
        <f>Source!AL39+Source!AM39+Source!AO39</f>
        <v>9348.0299999999988</v>
      </c>
      <c r="G123" s="35"/>
      <c r="H123" s="34"/>
      <c r="I123" s="35" t="str">
        <f>Source!BO39</f>
        <v/>
      </c>
      <c r="J123" s="35"/>
      <c r="K123" s="34"/>
      <c r="L123" s="36"/>
      <c r="S123">
        <f>ROUND((Source!FX39/100)*((ROUND(Source!AF39*Source!I39, 2)+ROUND(Source!AE39*Source!I39, 2))), 2)</f>
        <v>90.85</v>
      </c>
      <c r="T123">
        <f>Source!X39</f>
        <v>646.5</v>
      </c>
      <c r="U123">
        <f>ROUND((Source!FY39/100)*((ROUND(Source!AF39*Source!I39, 2)+ROUND(Source!AE39*Source!I39, 2))), 2)</f>
        <v>45.81</v>
      </c>
      <c r="V123">
        <f>Source!Y39</f>
        <v>329.35</v>
      </c>
    </row>
    <row r="124" spans="1:26" x14ac:dyDescent="0.2">
      <c r="C124" s="26" t="str">
        <f>"Объем: "&amp;Source!I39&amp;"=6,5/"&amp;"100"</f>
        <v>Объем: 0,065=6,5/100</v>
      </c>
    </row>
    <row r="125" spans="1:26" ht="14.25" x14ac:dyDescent="0.2">
      <c r="A125" s="49"/>
      <c r="B125" s="50"/>
      <c r="C125" s="50" t="s">
        <v>1783</v>
      </c>
      <c r="D125" s="33"/>
      <c r="E125" s="11"/>
      <c r="F125" s="34">
        <f>Source!AO39</f>
        <v>1091.71</v>
      </c>
      <c r="G125" s="35" t="str">
        <f>Source!DG39</f>
        <v>)*1,15</v>
      </c>
      <c r="H125" s="34">
        <f>ROUND(Source!AF39*Source!I39, 2)</f>
        <v>81.61</v>
      </c>
      <c r="I125" s="35"/>
      <c r="J125" s="35">
        <f>IF(Source!BA39&lt;&gt; 0, Source!BA39, 1)</f>
        <v>7.13</v>
      </c>
      <c r="K125" s="34">
        <f>Source!S39</f>
        <v>581.85</v>
      </c>
      <c r="L125" s="36"/>
      <c r="R125">
        <f>H125</f>
        <v>81.61</v>
      </c>
    </row>
    <row r="126" spans="1:26" ht="14.25" x14ac:dyDescent="0.2">
      <c r="A126" s="49"/>
      <c r="B126" s="50"/>
      <c r="C126" s="50" t="s">
        <v>449</v>
      </c>
      <c r="D126" s="33"/>
      <c r="E126" s="11"/>
      <c r="F126" s="34">
        <f>Source!AM39</f>
        <v>250.84</v>
      </c>
      <c r="G126" s="35" t="str">
        <f>Source!DE39</f>
        <v>)*1,25</v>
      </c>
      <c r="H126" s="34">
        <f>ROUND(Source!AD39*Source!I39, 2)</f>
        <v>20.38</v>
      </c>
      <c r="I126" s="35"/>
      <c r="J126" s="35">
        <f>IF(Source!BB39&lt;&gt; 0, Source!BB39, 1)</f>
        <v>7.13</v>
      </c>
      <c r="K126" s="34">
        <f>Source!Q39</f>
        <v>145.31</v>
      </c>
      <c r="L126" s="36"/>
    </row>
    <row r="127" spans="1:26" ht="14.25" x14ac:dyDescent="0.2">
      <c r="A127" s="49"/>
      <c r="B127" s="50"/>
      <c r="C127" s="50" t="s">
        <v>1784</v>
      </c>
      <c r="D127" s="33"/>
      <c r="E127" s="11"/>
      <c r="F127" s="34">
        <f>Source!AN39</f>
        <v>48.43</v>
      </c>
      <c r="G127" s="35" t="str">
        <f>Source!DF39</f>
        <v>)*1,25</v>
      </c>
      <c r="H127" s="37">
        <f>ROUND(Source!AE39*Source!I39, 2)</f>
        <v>3.94</v>
      </c>
      <c r="I127" s="35"/>
      <c r="J127" s="35">
        <f>IF(Source!BS39&lt;&gt; 0, Source!BS39, 1)</f>
        <v>7.13</v>
      </c>
      <c r="K127" s="37">
        <f>Source!R39</f>
        <v>28.06</v>
      </c>
      <c r="L127" s="36"/>
      <c r="R127">
        <f>H127</f>
        <v>3.94</v>
      </c>
    </row>
    <row r="128" spans="1:26" ht="14.25" x14ac:dyDescent="0.2">
      <c r="A128" s="49"/>
      <c r="B128" s="50"/>
      <c r="C128" s="50" t="s">
        <v>1790</v>
      </c>
      <c r="D128" s="33"/>
      <c r="E128" s="11"/>
      <c r="F128" s="34">
        <f>Source!AL39</f>
        <v>8005.48</v>
      </c>
      <c r="G128" s="35" t="str">
        <f>Source!DD39</f>
        <v/>
      </c>
      <c r="H128" s="34">
        <f>ROUND(Source!AC39*Source!I39, 2)</f>
        <v>520.36</v>
      </c>
      <c r="I128" s="35"/>
      <c r="J128" s="35">
        <f>IF(Source!BC39&lt;&gt; 0, Source!BC39, 1)</f>
        <v>7.13</v>
      </c>
      <c r="K128" s="34">
        <f>Source!P39</f>
        <v>3710.14</v>
      </c>
      <c r="L128" s="36"/>
    </row>
    <row r="129" spans="1:26" ht="14.25" x14ac:dyDescent="0.2">
      <c r="A129" s="49"/>
      <c r="B129" s="50"/>
      <c r="C129" s="50" t="s">
        <v>1785</v>
      </c>
      <c r="D129" s="33" t="s">
        <v>1786</v>
      </c>
      <c r="E129" s="11">
        <f>Source!BZ39</f>
        <v>118</v>
      </c>
      <c r="F129" s="81" t="str">
        <f>CONCATENATE(" )", Source!DL39, Source!FT39, "=", Source!FX39)</f>
        <v xml:space="preserve"> )*0,9=106,2</v>
      </c>
      <c r="G129" s="88"/>
      <c r="H129" s="34">
        <f>SUM(S123:S132)</f>
        <v>90.85</v>
      </c>
      <c r="I129" s="38"/>
      <c r="J129" s="31">
        <f>Source!AT39</f>
        <v>106</v>
      </c>
      <c r="K129" s="34">
        <f>SUM(T123:T132)</f>
        <v>646.5</v>
      </c>
      <c r="L129" s="36"/>
    </row>
    <row r="130" spans="1:26" ht="14.25" x14ac:dyDescent="0.2">
      <c r="A130" s="49"/>
      <c r="B130" s="50"/>
      <c r="C130" s="50" t="s">
        <v>1787</v>
      </c>
      <c r="D130" s="33" t="s">
        <v>1786</v>
      </c>
      <c r="E130" s="11">
        <f>Source!CA39</f>
        <v>63</v>
      </c>
      <c r="F130" s="81" t="str">
        <f>CONCATENATE(" )", Source!DM39, Source!FU39, "=", Source!FY39)</f>
        <v xml:space="preserve"> )*0,85=53,55</v>
      </c>
      <c r="G130" s="88"/>
      <c r="H130" s="34">
        <f>SUM(U123:U132)</f>
        <v>45.81</v>
      </c>
      <c r="I130" s="38"/>
      <c r="J130" s="31">
        <f>Source!AU39</f>
        <v>54</v>
      </c>
      <c r="K130" s="34">
        <f>SUM(V123:V132)</f>
        <v>329.35</v>
      </c>
      <c r="L130" s="36"/>
    </row>
    <row r="131" spans="1:26" ht="14.25" x14ac:dyDescent="0.2">
      <c r="A131" s="49"/>
      <c r="B131" s="50"/>
      <c r="C131" s="50" t="s">
        <v>1788</v>
      </c>
      <c r="D131" s="33" t="s">
        <v>1789</v>
      </c>
      <c r="E131" s="11">
        <f>Source!AQ39</f>
        <v>124.91</v>
      </c>
      <c r="F131" s="34"/>
      <c r="G131" s="35" t="str">
        <f>Source!DI39</f>
        <v>)*1,15</v>
      </c>
      <c r="H131" s="34"/>
      <c r="I131" s="35"/>
      <c r="J131" s="35"/>
      <c r="K131" s="34"/>
      <c r="L131" s="45">
        <f>Source!U39</f>
        <v>9.337022499999998</v>
      </c>
    </row>
    <row r="132" spans="1:26" ht="85.5" x14ac:dyDescent="0.2">
      <c r="A132" s="51" t="str">
        <f>Source!E40</f>
        <v>12,1</v>
      </c>
      <c r="B132" s="52" t="str">
        <f>Source!F40</f>
        <v>11.3.01.05-0003</v>
      </c>
      <c r="C132" s="52" t="str">
        <f>Source!G40</f>
        <v>Блоки дверные внутренние светлые (со светопрозрачным заполнением верхней части и глухим заполнением нижней части полотна) (ГОСТ 30970-2002), распашные , размером 2600х2500 мм в комплекте</v>
      </c>
      <c r="D132" s="39" t="str">
        <f>Source!H40</f>
        <v>м2</v>
      </c>
      <c r="E132" s="40">
        <f>Source!I40</f>
        <v>6.5</v>
      </c>
      <c r="F132" s="41">
        <f>Source!AL40+Source!AM40+Source!AO40</f>
        <v>1428.35</v>
      </c>
      <c r="G132" s="46" t="s">
        <v>6</v>
      </c>
      <c r="H132" s="41">
        <f>ROUND(Source!AC40*Source!I40, 2)+ROUND(Source!AD40*Source!I40, 2)+ROUND(Source!AF40*Source!I40, 2)</f>
        <v>9284.2800000000007</v>
      </c>
      <c r="I132" s="42"/>
      <c r="J132" s="42">
        <f>IF(Source!BC40&lt;&gt; 0, Source!BC40, 1)</f>
        <v>7.13</v>
      </c>
      <c r="K132" s="41">
        <f>Source!O40</f>
        <v>66196.88</v>
      </c>
      <c r="L132" s="47"/>
      <c r="S132">
        <f>ROUND((Source!FX40/100)*((ROUND(Source!AF40*Source!I40, 2)+ROUND(Source!AE40*Source!I40, 2))), 2)</f>
        <v>0</v>
      </c>
      <c r="T132">
        <f>Source!X40</f>
        <v>0</v>
      </c>
      <c r="U132">
        <f>ROUND((Source!FY40/100)*((ROUND(Source!AF40*Source!I40, 2)+ROUND(Source!AE40*Source!I40, 2))), 2)</f>
        <v>0</v>
      </c>
      <c r="V132">
        <f>Source!Y40</f>
        <v>0</v>
      </c>
      <c r="W132">
        <f>IF(Source!BI40&lt;=1,H132, 0)</f>
        <v>9284.2800000000007</v>
      </c>
      <c r="X132">
        <f>IF(Source!BI40=2,H132, 0)</f>
        <v>0</v>
      </c>
      <c r="Y132">
        <f>IF(Source!BI40=3,H132, 0)</f>
        <v>0</v>
      </c>
      <c r="Z132">
        <f>IF(Source!BI40=4,H132, 0)</f>
        <v>0</v>
      </c>
    </row>
    <row r="133" spans="1:26" ht="15" x14ac:dyDescent="0.25">
      <c r="G133" s="87">
        <f>H125+H126+H128+H129+H130+SUM(H132:H132)</f>
        <v>10043.290000000001</v>
      </c>
      <c r="H133" s="87"/>
      <c r="J133" s="87">
        <f>K125+K126+K128+K129+K130+SUM(K132:K132)</f>
        <v>71610.03</v>
      </c>
      <c r="K133" s="87"/>
      <c r="L133" s="44">
        <f>Source!U39</f>
        <v>9.337022499999998</v>
      </c>
      <c r="O133" s="27">
        <f>G133</f>
        <v>10043.290000000001</v>
      </c>
      <c r="P133" s="27">
        <f>J133</f>
        <v>71610.03</v>
      </c>
      <c r="Q133" s="27">
        <f>L133</f>
        <v>9.337022499999998</v>
      </c>
      <c r="W133">
        <f>IF(Source!BI39&lt;=1,H125+H126+H128+H129+H130, 0)</f>
        <v>759.01</v>
      </c>
      <c r="X133">
        <f>IF(Source!BI39=2,H125+H126+H128+H129+H130, 0)</f>
        <v>0</v>
      </c>
      <c r="Y133">
        <f>IF(Source!BI39=3,H125+H126+H128+H129+H130, 0)</f>
        <v>0</v>
      </c>
      <c r="Z133">
        <f>IF(Source!BI39=4,H125+H126+H128+H129+H130, 0)</f>
        <v>0</v>
      </c>
    </row>
    <row r="134" spans="1:26" ht="57" x14ac:dyDescent="0.2">
      <c r="A134" s="49" t="str">
        <f>Source!E41</f>
        <v>13</v>
      </c>
      <c r="B134" s="50" t="str">
        <f>Source!F41</f>
        <v>62-23-4</v>
      </c>
      <c r="C134" s="50" t="str">
        <f>Source!G41</f>
        <v>Окраска силикатными красками за 1 раз ранее окрашенных фасадов  и потолка лоджии по кирпичу с земли и лесов</v>
      </c>
      <c r="D134" s="33" t="str">
        <f>Source!H41</f>
        <v>100 м2</v>
      </c>
      <c r="E134" s="11">
        <f>Source!I41</f>
        <v>0.16320000000000001</v>
      </c>
      <c r="F134" s="34">
        <f>Source!AL41+Source!AM41+Source!AO41</f>
        <v>192.67</v>
      </c>
      <c r="G134" s="35"/>
      <c r="H134" s="34"/>
      <c r="I134" s="35" t="str">
        <f>Source!BO41</f>
        <v/>
      </c>
      <c r="J134" s="35"/>
      <c r="K134" s="34"/>
      <c r="L134" s="36"/>
      <c r="S134">
        <f>ROUND((Source!FX41/100)*((ROUND(Source!AF41*Source!I41, 2)+ROUND(Source!AE41*Source!I41, 2))), 2)</f>
        <v>19.649999999999999</v>
      </c>
      <c r="T134">
        <f>Source!X41</f>
        <v>140.05000000000001</v>
      </c>
      <c r="U134">
        <f>ROUND((Source!FY41/100)*((ROUND(Source!AF41*Source!I41, 2)+ROUND(Source!AE41*Source!I41, 2))), 2)</f>
        <v>12.28</v>
      </c>
      <c r="V134">
        <f>Source!Y41</f>
        <v>87.53</v>
      </c>
    </row>
    <row r="135" spans="1:26" x14ac:dyDescent="0.2">
      <c r="C135" s="26" t="str">
        <f>"Объем: "&amp;Source!I41&amp;"=16,32/"&amp;"100"</f>
        <v>Объем: 0,1632=16,32/100</v>
      </c>
    </row>
    <row r="136" spans="1:26" ht="14.25" x14ac:dyDescent="0.2">
      <c r="A136" s="49"/>
      <c r="B136" s="50"/>
      <c r="C136" s="50" t="s">
        <v>1783</v>
      </c>
      <c r="D136" s="33"/>
      <c r="E136" s="11"/>
      <c r="F136" s="34">
        <f>Source!AO41</f>
        <v>149.97999999999999</v>
      </c>
      <c r="G136" s="35" t="str">
        <f>Source!DG41</f>
        <v/>
      </c>
      <c r="H136" s="34">
        <f>ROUND(Source!AF41*Source!I41, 2)</f>
        <v>24.48</v>
      </c>
      <c r="I136" s="35"/>
      <c r="J136" s="35">
        <f>IF(Source!BA41&lt;&gt; 0, Source!BA41, 1)</f>
        <v>7.13</v>
      </c>
      <c r="K136" s="34">
        <f>Source!S41</f>
        <v>174.52</v>
      </c>
      <c r="L136" s="36"/>
      <c r="R136">
        <f>H136</f>
        <v>24.48</v>
      </c>
    </row>
    <row r="137" spans="1:26" ht="14.25" x14ac:dyDescent="0.2">
      <c r="A137" s="49"/>
      <c r="B137" s="50"/>
      <c r="C137" s="50" t="s">
        <v>449</v>
      </c>
      <c r="D137" s="33"/>
      <c r="E137" s="11"/>
      <c r="F137" s="34">
        <f>Source!AM41</f>
        <v>2.8</v>
      </c>
      <c r="G137" s="35" t="str">
        <f>Source!DE41</f>
        <v/>
      </c>
      <c r="H137" s="34">
        <f>ROUND(Source!AD41*Source!I41, 2)</f>
        <v>0.46</v>
      </c>
      <c r="I137" s="35"/>
      <c r="J137" s="35">
        <f>IF(Source!BB41&lt;&gt; 0, Source!BB41, 1)</f>
        <v>7.13</v>
      </c>
      <c r="K137" s="34">
        <f>Source!Q41</f>
        <v>3.26</v>
      </c>
      <c r="L137" s="36"/>
    </row>
    <row r="138" spans="1:26" ht="14.25" x14ac:dyDescent="0.2">
      <c r="A138" s="49"/>
      <c r="B138" s="50"/>
      <c r="C138" s="50" t="s">
        <v>1784</v>
      </c>
      <c r="D138" s="33"/>
      <c r="E138" s="11"/>
      <c r="F138" s="34">
        <f>Source!AN41</f>
        <v>0.46</v>
      </c>
      <c r="G138" s="35" t="str">
        <f>Source!DF41</f>
        <v/>
      </c>
      <c r="H138" s="37">
        <f>ROUND(Source!AE41*Source!I41, 2)</f>
        <v>0.08</v>
      </c>
      <c r="I138" s="35"/>
      <c r="J138" s="35">
        <f>IF(Source!BS41&lt;&gt; 0, Source!BS41, 1)</f>
        <v>7.13</v>
      </c>
      <c r="K138" s="37">
        <f>Source!R41</f>
        <v>0.54</v>
      </c>
      <c r="L138" s="36"/>
      <c r="R138">
        <f>H138</f>
        <v>0.08</v>
      </c>
    </row>
    <row r="139" spans="1:26" ht="14.25" x14ac:dyDescent="0.2">
      <c r="A139" s="49"/>
      <c r="B139" s="50"/>
      <c r="C139" s="50" t="s">
        <v>1790</v>
      </c>
      <c r="D139" s="33"/>
      <c r="E139" s="11"/>
      <c r="F139" s="34">
        <f>Source!AL41</f>
        <v>39.89</v>
      </c>
      <c r="G139" s="35" t="str">
        <f>Source!DD41</f>
        <v/>
      </c>
      <c r="H139" s="34">
        <f>ROUND(Source!AC41*Source!I41, 2)</f>
        <v>6.51</v>
      </c>
      <c r="I139" s="35"/>
      <c r="J139" s="35">
        <f>IF(Source!BC41&lt;&gt; 0, Source!BC41, 1)</f>
        <v>7.13</v>
      </c>
      <c r="K139" s="34">
        <f>Source!P41</f>
        <v>46.42</v>
      </c>
      <c r="L139" s="36"/>
    </row>
    <row r="140" spans="1:26" ht="14.25" x14ac:dyDescent="0.2">
      <c r="A140" s="49"/>
      <c r="B140" s="50"/>
      <c r="C140" s="50" t="s">
        <v>1785</v>
      </c>
      <c r="D140" s="33" t="s">
        <v>1786</v>
      </c>
      <c r="E140" s="11">
        <f>Source!BZ41</f>
        <v>80</v>
      </c>
      <c r="F140" s="53"/>
      <c r="G140" s="35"/>
      <c r="H140" s="34">
        <f>SUM(S134:S144)</f>
        <v>19.649999999999999</v>
      </c>
      <c r="I140" s="38"/>
      <c r="J140" s="31">
        <f>Source!AT41</f>
        <v>80</v>
      </c>
      <c r="K140" s="34">
        <f>SUM(T134:T144)</f>
        <v>140.05000000000001</v>
      </c>
      <c r="L140" s="36"/>
    </row>
    <row r="141" spans="1:26" ht="14.25" x14ac:dyDescent="0.2">
      <c r="A141" s="49"/>
      <c r="B141" s="50"/>
      <c r="C141" s="50" t="s">
        <v>1787</v>
      </c>
      <c r="D141" s="33" t="s">
        <v>1786</v>
      </c>
      <c r="E141" s="11">
        <f>Source!CA41</f>
        <v>50</v>
      </c>
      <c r="F141" s="53"/>
      <c r="G141" s="35"/>
      <c r="H141" s="34">
        <f>SUM(U134:U144)</f>
        <v>12.28</v>
      </c>
      <c r="I141" s="38"/>
      <c r="J141" s="31">
        <f>Source!AU41</f>
        <v>50</v>
      </c>
      <c r="K141" s="34">
        <f>SUM(V134:V144)</f>
        <v>87.53</v>
      </c>
      <c r="L141" s="36"/>
    </row>
    <row r="142" spans="1:26" ht="14.25" x14ac:dyDescent="0.2">
      <c r="A142" s="49"/>
      <c r="B142" s="50"/>
      <c r="C142" s="50" t="s">
        <v>1788</v>
      </c>
      <c r="D142" s="33" t="s">
        <v>1789</v>
      </c>
      <c r="E142" s="11">
        <f>Source!AQ41</f>
        <v>17.16</v>
      </c>
      <c r="F142" s="34"/>
      <c r="G142" s="35" t="str">
        <f>Source!DI41</f>
        <v/>
      </c>
      <c r="H142" s="34"/>
      <c r="I142" s="35"/>
      <c r="J142" s="35"/>
      <c r="K142" s="34"/>
      <c r="L142" s="45">
        <f>Source!U41</f>
        <v>2.8005120000000003</v>
      </c>
    </row>
    <row r="143" spans="1:26" ht="14.25" x14ac:dyDescent="0.2">
      <c r="A143" s="49" t="str">
        <f>Source!E42</f>
        <v>13,1</v>
      </c>
      <c r="B143" s="50" t="str">
        <f>Source!F42</f>
        <v>14.3.02.05</v>
      </c>
      <c r="C143" s="50" t="str">
        <f>Source!G42</f>
        <v>Краски силикатные</v>
      </c>
      <c r="D143" s="33" t="str">
        <f>Source!H42</f>
        <v>т</v>
      </c>
      <c r="E143" s="11">
        <f>Source!I42</f>
        <v>2.2850000000000001E-3</v>
      </c>
      <c r="F143" s="34">
        <f>Source!AL42+Source!AM42+Source!AO42</f>
        <v>0</v>
      </c>
      <c r="G143" s="48" t="s">
        <v>6</v>
      </c>
      <c r="H143" s="34">
        <f>ROUND(Source!AC42*Source!I42, 2)+ROUND(Source!AD42*Source!I42, 2)+ROUND(Source!AF42*Source!I42, 2)</f>
        <v>0</v>
      </c>
      <c r="I143" s="35"/>
      <c r="J143" s="35">
        <f>IF(Source!BC42&lt;&gt; 0, Source!BC42, 1)</f>
        <v>7.13</v>
      </c>
      <c r="K143" s="34">
        <f>Source!O42</f>
        <v>0</v>
      </c>
      <c r="L143" s="36"/>
      <c r="S143">
        <f>ROUND((Source!FX42/100)*((ROUND(Source!AF42*Source!I42, 2)+ROUND(Source!AE42*Source!I42, 2))), 2)</f>
        <v>0</v>
      </c>
      <c r="T143">
        <f>Source!X42</f>
        <v>0</v>
      </c>
      <c r="U143">
        <f>ROUND((Source!FY42/100)*((ROUND(Source!AF42*Source!I42, 2)+ROUND(Source!AE42*Source!I42, 2))), 2)</f>
        <v>0</v>
      </c>
      <c r="V143">
        <f>Source!Y42</f>
        <v>0</v>
      </c>
      <c r="W143">
        <f>IF(Source!BI42&lt;=1,H143, 0)</f>
        <v>0</v>
      </c>
      <c r="X143">
        <f>IF(Source!BI42=2,H143, 0)</f>
        <v>0</v>
      </c>
      <c r="Y143">
        <f>IF(Source!BI42=3,H143, 0)</f>
        <v>0</v>
      </c>
      <c r="Z143">
        <f>IF(Source!BI42=4,H143, 0)</f>
        <v>0</v>
      </c>
    </row>
    <row r="144" spans="1:26" ht="28.5" x14ac:dyDescent="0.2">
      <c r="A144" s="51" t="str">
        <f>Source!E43</f>
        <v>13,2</v>
      </c>
      <c r="B144" s="52" t="str">
        <f>Source!F43</f>
        <v>14.3.02.05-0102</v>
      </c>
      <c r="C144" s="52" t="str">
        <f>Source!G43</f>
        <v>Краска силикатная фасадная GERESIT CT 54</v>
      </c>
      <c r="D144" s="39" t="str">
        <f>Source!H43</f>
        <v>кг</v>
      </c>
      <c r="E144" s="40">
        <f>Source!I43</f>
        <v>2.2848000000000002</v>
      </c>
      <c r="F144" s="41">
        <f>Source!AL43+Source!AM43+Source!AO43</f>
        <v>78.239999999999995</v>
      </c>
      <c r="G144" s="46" t="s">
        <v>6</v>
      </c>
      <c r="H144" s="41">
        <f>ROUND(Source!AC43*Source!I43, 2)+ROUND(Source!AD43*Source!I43, 2)+ROUND(Source!AF43*Source!I43, 2)</f>
        <v>178.76</v>
      </c>
      <c r="I144" s="42"/>
      <c r="J144" s="42">
        <f>IF(Source!BC43&lt;&gt; 0, Source!BC43, 1)</f>
        <v>7.13</v>
      </c>
      <c r="K144" s="41">
        <f>Source!O43</f>
        <v>1274.58</v>
      </c>
      <c r="L144" s="47"/>
      <c r="S144">
        <f>ROUND((Source!FX43/100)*((ROUND(Source!AF43*Source!I43, 2)+ROUND(Source!AE43*Source!I43, 2))), 2)</f>
        <v>0</v>
      </c>
      <c r="T144">
        <f>Source!X43</f>
        <v>0</v>
      </c>
      <c r="U144">
        <f>ROUND((Source!FY43/100)*((ROUND(Source!AF43*Source!I43, 2)+ROUND(Source!AE43*Source!I43, 2))), 2)</f>
        <v>0</v>
      </c>
      <c r="V144">
        <f>Source!Y43</f>
        <v>0</v>
      </c>
      <c r="W144">
        <f>IF(Source!BI43&lt;=1,H144, 0)</f>
        <v>178.76</v>
      </c>
      <c r="X144">
        <f>IF(Source!BI43=2,H144, 0)</f>
        <v>0</v>
      </c>
      <c r="Y144">
        <f>IF(Source!BI43=3,H144, 0)</f>
        <v>0</v>
      </c>
      <c r="Z144">
        <f>IF(Source!BI43=4,H144, 0)</f>
        <v>0</v>
      </c>
    </row>
    <row r="145" spans="1:26" ht="15" x14ac:dyDescent="0.25">
      <c r="G145" s="87">
        <f>H136+H137+H139+H140+H141+SUM(H143:H144)</f>
        <v>242.14</v>
      </c>
      <c r="H145" s="87"/>
      <c r="J145" s="87">
        <f>K136+K137+K139+K140+K141+SUM(K143:K144)</f>
        <v>1726.36</v>
      </c>
      <c r="K145" s="87"/>
      <c r="L145" s="44">
        <f>Source!U41</f>
        <v>2.8005120000000003</v>
      </c>
      <c r="O145" s="27">
        <f>G145</f>
        <v>242.14</v>
      </c>
      <c r="P145" s="27">
        <f>J145</f>
        <v>1726.36</v>
      </c>
      <c r="Q145" s="27">
        <f>L145</f>
        <v>2.8005120000000003</v>
      </c>
      <c r="W145">
        <f>IF(Source!BI41&lt;=1,H136+H137+H139+H140+H141, 0)</f>
        <v>63.38</v>
      </c>
      <c r="X145">
        <f>IF(Source!BI41=2,H136+H137+H139+H140+H141, 0)</f>
        <v>0</v>
      </c>
      <c r="Y145">
        <f>IF(Source!BI41=3,H136+H137+H139+H140+H141, 0)</f>
        <v>0</v>
      </c>
      <c r="Z145">
        <f>IF(Source!BI41=4,H136+H137+H139+H140+H141, 0)</f>
        <v>0</v>
      </c>
    </row>
    <row r="146" spans="1:26" ht="28.5" x14ac:dyDescent="0.2">
      <c r="A146" s="49" t="str">
        <f>Source!E44</f>
        <v>14</v>
      </c>
      <c r="B146" s="50" t="str">
        <f>Source!F44</f>
        <v>09-03-050-01</v>
      </c>
      <c r="C146" s="50" t="str">
        <f>Source!G44</f>
        <v>Обрамление металлическим уголком ограждения балкона</v>
      </c>
      <c r="D146" s="33" t="str">
        <f>Source!H44</f>
        <v>100 м</v>
      </c>
      <c r="E146" s="11">
        <f>Source!I44</f>
        <v>0.08</v>
      </c>
      <c r="F146" s="34">
        <f>Source!AL44+Source!AM44+Source!AO44</f>
        <v>122.2</v>
      </c>
      <c r="G146" s="35"/>
      <c r="H146" s="34"/>
      <c r="I146" s="35" t="str">
        <f>Source!BO44</f>
        <v/>
      </c>
      <c r="J146" s="35"/>
      <c r="K146" s="34"/>
      <c r="L146" s="36"/>
      <c r="S146">
        <f>ROUND((Source!FX44/100)*((ROUND(Source!AF44*Source!I44, 2)+ROUND(Source!AE44*Source!I44, 2))), 2)</f>
        <v>8.91</v>
      </c>
      <c r="T146">
        <f>Source!X44</f>
        <v>63.52</v>
      </c>
      <c r="U146">
        <f>ROUND((Source!FY44/100)*((ROUND(Source!AF44*Source!I44, 2)+ROUND(Source!AE44*Source!I44, 2))), 2)</f>
        <v>7.95</v>
      </c>
      <c r="V146">
        <f>Source!Y44</f>
        <v>56.46</v>
      </c>
    </row>
    <row r="147" spans="1:26" x14ac:dyDescent="0.2">
      <c r="C147" s="26" t="str">
        <f>"Объем: "&amp;Source!I44&amp;"=8/"&amp;"100"</f>
        <v>Объем: 0,08=8/100</v>
      </c>
    </row>
    <row r="148" spans="1:26" ht="14.25" x14ac:dyDescent="0.2">
      <c r="A148" s="49"/>
      <c r="B148" s="50"/>
      <c r="C148" s="50" t="s">
        <v>1783</v>
      </c>
      <c r="D148" s="33"/>
      <c r="E148" s="11"/>
      <c r="F148" s="34">
        <f>Source!AO44</f>
        <v>118.91</v>
      </c>
      <c r="G148" s="35" t="str">
        <f>Source!DG44</f>
        <v>)*1,15</v>
      </c>
      <c r="H148" s="34">
        <f>ROUND(Source!AF44*Source!I44, 2)</f>
        <v>10.94</v>
      </c>
      <c r="I148" s="35"/>
      <c r="J148" s="35">
        <f>IF(Source!BA44&lt;&gt; 0, Source!BA44, 1)</f>
        <v>7.13</v>
      </c>
      <c r="K148" s="34">
        <f>Source!S44</f>
        <v>78</v>
      </c>
      <c r="L148" s="36"/>
      <c r="R148">
        <f>H148</f>
        <v>10.94</v>
      </c>
    </row>
    <row r="149" spans="1:26" ht="14.25" x14ac:dyDescent="0.2">
      <c r="A149" s="49"/>
      <c r="B149" s="50"/>
      <c r="C149" s="50" t="s">
        <v>449</v>
      </c>
      <c r="D149" s="33"/>
      <c r="E149" s="11"/>
      <c r="F149" s="34">
        <f>Source!AM44</f>
        <v>3.29</v>
      </c>
      <c r="G149" s="35" t="str">
        <f>Source!DE44</f>
        <v>)*1,25</v>
      </c>
      <c r="H149" s="34">
        <f>ROUND(Source!AD44*Source!I44, 2)</f>
        <v>0.33</v>
      </c>
      <c r="I149" s="35"/>
      <c r="J149" s="35">
        <f>IF(Source!BB44&lt;&gt; 0, Source!BB44, 1)</f>
        <v>7.13</v>
      </c>
      <c r="K149" s="34">
        <f>Source!Q44</f>
        <v>2.35</v>
      </c>
      <c r="L149" s="36"/>
    </row>
    <row r="150" spans="1:26" ht="14.25" x14ac:dyDescent="0.2">
      <c r="A150" s="49"/>
      <c r="B150" s="50"/>
      <c r="C150" s="50" t="s">
        <v>1784</v>
      </c>
      <c r="D150" s="33"/>
      <c r="E150" s="11"/>
      <c r="F150" s="34">
        <f>Source!AN44</f>
        <v>0.57999999999999996</v>
      </c>
      <c r="G150" s="35" t="str">
        <f>Source!DF44</f>
        <v>)*1,25</v>
      </c>
      <c r="H150" s="37">
        <f>ROUND(Source!AE44*Source!I44, 2)</f>
        <v>0.06</v>
      </c>
      <c r="I150" s="35"/>
      <c r="J150" s="35">
        <f>IF(Source!BS44&lt;&gt; 0, Source!BS44, 1)</f>
        <v>7.13</v>
      </c>
      <c r="K150" s="37">
        <f>Source!R44</f>
        <v>0.42</v>
      </c>
      <c r="L150" s="36"/>
      <c r="R150">
        <f>H150</f>
        <v>0.06</v>
      </c>
    </row>
    <row r="151" spans="1:26" ht="14.25" x14ac:dyDescent="0.2">
      <c r="A151" s="49"/>
      <c r="B151" s="50"/>
      <c r="C151" s="50" t="s">
        <v>1785</v>
      </c>
      <c r="D151" s="33" t="s">
        <v>1786</v>
      </c>
      <c r="E151" s="11">
        <f>Source!BZ44</f>
        <v>90</v>
      </c>
      <c r="F151" s="81" t="str">
        <f>CONCATENATE(" )", Source!DL44, Source!FT44, "=", Source!FX44)</f>
        <v xml:space="preserve"> )*0,9=81</v>
      </c>
      <c r="G151" s="88"/>
      <c r="H151" s="34">
        <f>SUM(S146:S154)</f>
        <v>8.91</v>
      </c>
      <c r="I151" s="38"/>
      <c r="J151" s="31">
        <f>Source!AT44</f>
        <v>81</v>
      </c>
      <c r="K151" s="34">
        <f>SUM(T146:T154)</f>
        <v>63.52</v>
      </c>
      <c r="L151" s="36"/>
    </row>
    <row r="152" spans="1:26" ht="14.25" x14ac:dyDescent="0.2">
      <c r="A152" s="49"/>
      <c r="B152" s="50"/>
      <c r="C152" s="50" t="s">
        <v>1787</v>
      </c>
      <c r="D152" s="33" t="s">
        <v>1786</v>
      </c>
      <c r="E152" s="11">
        <f>Source!CA44</f>
        <v>85</v>
      </c>
      <c r="F152" s="81" t="str">
        <f>CONCATENATE(" )", Source!DM44, Source!FU44, "=", Source!FY44)</f>
        <v xml:space="preserve"> )*0,85=72,25</v>
      </c>
      <c r="G152" s="88"/>
      <c r="H152" s="34">
        <f>SUM(U146:U154)</f>
        <v>7.95</v>
      </c>
      <c r="I152" s="38"/>
      <c r="J152" s="31">
        <f>Source!AU44</f>
        <v>72</v>
      </c>
      <c r="K152" s="34">
        <f>SUM(V146:V154)</f>
        <v>56.46</v>
      </c>
      <c r="L152" s="36"/>
    </row>
    <row r="153" spans="1:26" ht="14.25" x14ac:dyDescent="0.2">
      <c r="A153" s="49"/>
      <c r="B153" s="50"/>
      <c r="C153" s="50" t="s">
        <v>1788</v>
      </c>
      <c r="D153" s="33" t="s">
        <v>1789</v>
      </c>
      <c r="E153" s="11">
        <f>Source!AQ44</f>
        <v>12.8</v>
      </c>
      <c r="F153" s="34"/>
      <c r="G153" s="35" t="str">
        <f>Source!DI44</f>
        <v>)*1,15</v>
      </c>
      <c r="H153" s="34"/>
      <c r="I153" s="35"/>
      <c r="J153" s="35"/>
      <c r="K153" s="34"/>
      <c r="L153" s="45">
        <f>Source!U44</f>
        <v>1.1776</v>
      </c>
    </row>
    <row r="154" spans="1:26" ht="42.75" x14ac:dyDescent="0.2">
      <c r="A154" s="51" t="str">
        <f>Source!E45</f>
        <v>14,1</v>
      </c>
      <c r="B154" s="52" t="str">
        <f>Source!F45</f>
        <v>01.5.02.01-0151</v>
      </c>
      <c r="C154" s="52" t="str">
        <f>Source!G45</f>
        <v>Уголки металлические оцинкованные прижимные (ТУ 5262-002- 73088633-09) размером 40х40х4мм</v>
      </c>
      <c r="D154" s="39" t="str">
        <f>Source!H45</f>
        <v>т</v>
      </c>
      <c r="E154" s="40">
        <f>Source!I45</f>
        <v>3.2000000000000003E-4</v>
      </c>
      <c r="F154" s="41">
        <f>Source!AL45+Source!AM45+Source!AO45</f>
        <v>5106.21</v>
      </c>
      <c r="G154" s="46" t="s">
        <v>6</v>
      </c>
      <c r="H154" s="41">
        <f>ROUND(Source!AC45*Source!I45, 2)+ROUND(Source!AD45*Source!I45, 2)+ROUND(Source!AF45*Source!I45, 2)</f>
        <v>1.63</v>
      </c>
      <c r="I154" s="42"/>
      <c r="J154" s="42">
        <f>IF(Source!BC45&lt;&gt; 0, Source!BC45, 1)</f>
        <v>7.13</v>
      </c>
      <c r="K154" s="41">
        <f>Source!O45</f>
        <v>11.65</v>
      </c>
      <c r="L154" s="47"/>
      <c r="S154">
        <f>ROUND((Source!FX45/100)*((ROUND(Source!AF45*Source!I45, 2)+ROUND(Source!AE45*Source!I45, 2))), 2)</f>
        <v>0</v>
      </c>
      <c r="T154">
        <f>Source!X45</f>
        <v>0</v>
      </c>
      <c r="U154">
        <f>ROUND((Source!FY45/100)*((ROUND(Source!AF45*Source!I45, 2)+ROUND(Source!AE45*Source!I45, 2))), 2)</f>
        <v>0</v>
      </c>
      <c r="V154">
        <f>Source!Y45</f>
        <v>0</v>
      </c>
      <c r="W154">
        <f>IF(Source!BI45&lt;=1,H154, 0)</f>
        <v>1.63</v>
      </c>
      <c r="X154">
        <f>IF(Source!BI45=2,H154, 0)</f>
        <v>0</v>
      </c>
      <c r="Y154">
        <f>IF(Source!BI45=3,H154, 0)</f>
        <v>0</v>
      </c>
      <c r="Z154">
        <f>IF(Source!BI45=4,H154, 0)</f>
        <v>0</v>
      </c>
    </row>
    <row r="155" spans="1:26" ht="15" x14ac:dyDescent="0.25">
      <c r="G155" s="87">
        <f>H148+H149+H151+H152+SUM(H154:H154)</f>
        <v>29.759999999999998</v>
      </c>
      <c r="H155" s="87"/>
      <c r="J155" s="87">
        <f>K148+K149+K151+K152+SUM(K154:K154)</f>
        <v>211.98000000000002</v>
      </c>
      <c r="K155" s="87"/>
      <c r="L155" s="44">
        <f>Source!U44</f>
        <v>1.1776</v>
      </c>
      <c r="O155" s="27">
        <f>G155</f>
        <v>29.759999999999998</v>
      </c>
      <c r="P155" s="27">
        <f>J155</f>
        <v>211.98000000000002</v>
      </c>
      <c r="Q155" s="27">
        <f>L155</f>
        <v>1.1776</v>
      </c>
      <c r="W155">
        <f>IF(Source!BI44&lt;=1,H148+H149+H151+H152, 0)</f>
        <v>28.13</v>
      </c>
      <c r="X155">
        <f>IF(Source!BI44=2,H148+H149+H151+H152, 0)</f>
        <v>0</v>
      </c>
      <c r="Y155">
        <f>IF(Source!BI44=3,H148+H149+H151+H152, 0)</f>
        <v>0</v>
      </c>
      <c r="Z155">
        <f>IF(Source!BI44=4,H148+H149+H151+H152, 0)</f>
        <v>0</v>
      </c>
    </row>
    <row r="156" spans="1:26" ht="57" x14ac:dyDescent="0.2">
      <c r="A156" s="49" t="str">
        <f>Source!E46</f>
        <v>15</v>
      </c>
      <c r="B156" s="50" t="str">
        <f>Source!F46</f>
        <v>15-04-030-04</v>
      </c>
      <c r="C156" s="50" t="str">
        <f>Source!G46</f>
        <v>Масляная окраска металлических поверхностей решеток, переплетов, труб диаметром менее 50 мм и т.п., количество окрасок 2</v>
      </c>
      <c r="D156" s="33" t="str">
        <f>Source!H46</f>
        <v>100 м2</v>
      </c>
      <c r="E156" s="11">
        <f>Source!I46</f>
        <v>0.08</v>
      </c>
      <c r="F156" s="34">
        <f>Source!AL46+Source!AM46+Source!AO46</f>
        <v>720.44</v>
      </c>
      <c r="G156" s="35"/>
      <c r="H156" s="34"/>
      <c r="I156" s="35" t="str">
        <f>Source!BO46</f>
        <v/>
      </c>
      <c r="J156" s="35"/>
      <c r="K156" s="34"/>
      <c r="L156" s="36"/>
      <c r="S156">
        <f>ROUND((Source!FX46/100)*((ROUND(Source!AF46*Source!I46, 2)+ROUND(Source!AE46*Source!I46, 2))), 2)</f>
        <v>54.78</v>
      </c>
      <c r="T156">
        <f>Source!X46</f>
        <v>392.67</v>
      </c>
      <c r="U156">
        <f>ROUND((Source!FY46/100)*((ROUND(Source!AF46*Source!I46, 2)+ROUND(Source!AE46*Source!I46, 2))), 2)</f>
        <v>27.1</v>
      </c>
      <c r="V156">
        <f>Source!Y46</f>
        <v>194.27</v>
      </c>
    </row>
    <row r="157" spans="1:26" x14ac:dyDescent="0.2">
      <c r="C157" s="26" t="str">
        <f>"Объем: "&amp;Source!I46&amp;"=8/"&amp;"100"</f>
        <v>Объем: 0,08=8/100</v>
      </c>
    </row>
    <row r="158" spans="1:26" ht="14.25" x14ac:dyDescent="0.2">
      <c r="A158" s="49"/>
      <c r="B158" s="50"/>
      <c r="C158" s="50" t="s">
        <v>1783</v>
      </c>
      <c r="D158" s="33"/>
      <c r="E158" s="11"/>
      <c r="F158" s="34">
        <f>Source!AO46</f>
        <v>629.59</v>
      </c>
      <c r="G158" s="35" t="str">
        <f>Source!DG46</f>
        <v>)*1,15</v>
      </c>
      <c r="H158" s="34">
        <f>ROUND(Source!AF46*Source!I46, 2)</f>
        <v>57.92</v>
      </c>
      <c r="I158" s="35"/>
      <c r="J158" s="35">
        <f>IF(Source!BA46&lt;&gt; 0, Source!BA46, 1)</f>
        <v>7.13</v>
      </c>
      <c r="K158" s="34">
        <f>Source!S46</f>
        <v>412.99</v>
      </c>
      <c r="L158" s="36"/>
      <c r="R158">
        <f>H158</f>
        <v>57.92</v>
      </c>
    </row>
    <row r="159" spans="1:26" ht="14.25" x14ac:dyDescent="0.2">
      <c r="A159" s="49"/>
      <c r="B159" s="50"/>
      <c r="C159" s="50" t="s">
        <v>449</v>
      </c>
      <c r="D159" s="33"/>
      <c r="E159" s="11"/>
      <c r="F159" s="34">
        <f>Source!AM46</f>
        <v>2.2799999999999998</v>
      </c>
      <c r="G159" s="35" t="str">
        <f>Source!DE46</f>
        <v>)*1,25</v>
      </c>
      <c r="H159" s="34">
        <f>ROUND(Source!AD46*Source!I46, 2)</f>
        <v>0.23</v>
      </c>
      <c r="I159" s="35"/>
      <c r="J159" s="35">
        <f>IF(Source!BB46&lt;&gt; 0, Source!BB46, 1)</f>
        <v>7.13</v>
      </c>
      <c r="K159" s="34">
        <f>Source!Q46</f>
        <v>1.63</v>
      </c>
      <c r="L159" s="36"/>
    </row>
    <row r="160" spans="1:26" ht="14.25" x14ac:dyDescent="0.2">
      <c r="A160" s="49"/>
      <c r="B160" s="50"/>
      <c r="C160" s="50" t="s">
        <v>1784</v>
      </c>
      <c r="D160" s="33"/>
      <c r="E160" s="11"/>
      <c r="F160" s="34">
        <f>Source!AN46</f>
        <v>0.49</v>
      </c>
      <c r="G160" s="35" t="str">
        <f>Source!DF46</f>
        <v>)*1,25</v>
      </c>
      <c r="H160" s="37">
        <f>ROUND(Source!AE46*Source!I46, 2)</f>
        <v>0.05</v>
      </c>
      <c r="I160" s="35"/>
      <c r="J160" s="35">
        <f>IF(Source!BS46&lt;&gt; 0, Source!BS46, 1)</f>
        <v>7.13</v>
      </c>
      <c r="K160" s="37">
        <f>Source!R46</f>
        <v>0.35</v>
      </c>
      <c r="L160" s="36"/>
      <c r="R160">
        <f>H160</f>
        <v>0.05</v>
      </c>
    </row>
    <row r="161" spans="1:26" ht="14.25" x14ac:dyDescent="0.2">
      <c r="A161" s="49"/>
      <c r="B161" s="50"/>
      <c r="C161" s="50" t="s">
        <v>1790</v>
      </c>
      <c r="D161" s="33"/>
      <c r="E161" s="11"/>
      <c r="F161" s="34">
        <f>Source!AL46</f>
        <v>88.57</v>
      </c>
      <c r="G161" s="35" t="str">
        <f>Source!DD46</f>
        <v/>
      </c>
      <c r="H161" s="34">
        <f>ROUND(Source!AC46*Source!I46, 2)</f>
        <v>7.09</v>
      </c>
      <c r="I161" s="35"/>
      <c r="J161" s="35">
        <f>IF(Source!BC46&lt;&gt; 0, Source!BC46, 1)</f>
        <v>7.13</v>
      </c>
      <c r="K161" s="34">
        <f>Source!P46</f>
        <v>50.52</v>
      </c>
      <c r="L161" s="36"/>
    </row>
    <row r="162" spans="1:26" ht="14.25" x14ac:dyDescent="0.2">
      <c r="A162" s="49"/>
      <c r="B162" s="50"/>
      <c r="C162" s="50" t="s">
        <v>1785</v>
      </c>
      <c r="D162" s="33" t="s">
        <v>1786</v>
      </c>
      <c r="E162" s="11">
        <f>Source!BZ46</f>
        <v>105</v>
      </c>
      <c r="F162" s="81" t="str">
        <f>CONCATENATE(" )", Source!DL46, Source!FT46, "=", Source!FX46)</f>
        <v xml:space="preserve"> )*0,9=94,5</v>
      </c>
      <c r="G162" s="88"/>
      <c r="H162" s="34">
        <f>SUM(S156:S165)</f>
        <v>54.78</v>
      </c>
      <c r="I162" s="38"/>
      <c r="J162" s="31">
        <f>Source!AT46</f>
        <v>95</v>
      </c>
      <c r="K162" s="34">
        <f>SUM(T156:T165)</f>
        <v>392.67</v>
      </c>
      <c r="L162" s="36"/>
    </row>
    <row r="163" spans="1:26" ht="14.25" x14ac:dyDescent="0.2">
      <c r="A163" s="49"/>
      <c r="B163" s="50"/>
      <c r="C163" s="50" t="s">
        <v>1787</v>
      </c>
      <c r="D163" s="33" t="s">
        <v>1786</v>
      </c>
      <c r="E163" s="11">
        <f>Source!CA46</f>
        <v>55</v>
      </c>
      <c r="F163" s="81" t="str">
        <f>CONCATENATE(" )", Source!DM46, Source!FU46, "=", Source!FY46)</f>
        <v xml:space="preserve"> )*0,85=46,75</v>
      </c>
      <c r="G163" s="88"/>
      <c r="H163" s="34">
        <f>SUM(U156:U165)</f>
        <v>27.1</v>
      </c>
      <c r="I163" s="38"/>
      <c r="J163" s="31">
        <f>Source!AU46</f>
        <v>47</v>
      </c>
      <c r="K163" s="34">
        <f>SUM(V156:V165)</f>
        <v>194.27</v>
      </c>
      <c r="L163" s="36"/>
    </row>
    <row r="164" spans="1:26" ht="14.25" x14ac:dyDescent="0.2">
      <c r="A164" s="49"/>
      <c r="B164" s="50"/>
      <c r="C164" s="50" t="s">
        <v>1788</v>
      </c>
      <c r="D164" s="33" t="s">
        <v>1789</v>
      </c>
      <c r="E164" s="11">
        <f>Source!AQ46</f>
        <v>71.06</v>
      </c>
      <c r="F164" s="34"/>
      <c r="G164" s="35" t="str">
        <f>Source!DI46</f>
        <v>)*1,15</v>
      </c>
      <c r="H164" s="34"/>
      <c r="I164" s="35"/>
      <c r="J164" s="35"/>
      <c r="K164" s="34"/>
      <c r="L164" s="45">
        <f>Source!U46</f>
        <v>6.5375199999999998</v>
      </c>
    </row>
    <row r="165" spans="1:26" ht="28.5" x14ac:dyDescent="0.2">
      <c r="A165" s="51" t="str">
        <f>Source!E47</f>
        <v>15,1</v>
      </c>
      <c r="B165" s="52" t="str">
        <f>Source!F47</f>
        <v>14.4.04.08-0004</v>
      </c>
      <c r="C165" s="52" t="str">
        <f>Source!G47</f>
        <v>Эмаль ПФ-115</v>
      </c>
      <c r="D165" s="39" t="str">
        <f>Source!H47</f>
        <v>кг</v>
      </c>
      <c r="E165" s="40">
        <f>Source!I47</f>
        <v>1.96875</v>
      </c>
      <c r="F165" s="41">
        <f>Source!AL47+Source!AM47+Source!AO47</f>
        <v>16.66</v>
      </c>
      <c r="G165" s="46" t="s">
        <v>6</v>
      </c>
      <c r="H165" s="41">
        <f>ROUND(Source!AC47*Source!I47, 2)+ROUND(Source!AD47*Source!I47, 2)+ROUND(Source!AF47*Source!I47, 2)</f>
        <v>32.799999999999997</v>
      </c>
      <c r="I165" s="42"/>
      <c r="J165" s="42">
        <f>IF(Source!BC47&lt;&gt; 0, Source!BC47, 1)</f>
        <v>7.13</v>
      </c>
      <c r="K165" s="41">
        <f>Source!O47</f>
        <v>233.86</v>
      </c>
      <c r="L165" s="47"/>
      <c r="S165">
        <f>ROUND((Source!FX47/100)*((ROUND(Source!AF47*Source!I47, 2)+ROUND(Source!AE47*Source!I47, 2))), 2)</f>
        <v>0</v>
      </c>
      <c r="T165">
        <f>Source!X47</f>
        <v>0</v>
      </c>
      <c r="U165">
        <f>ROUND((Source!FY47/100)*((ROUND(Source!AF47*Source!I47, 2)+ROUND(Source!AE47*Source!I47, 2))), 2)</f>
        <v>0</v>
      </c>
      <c r="V165">
        <f>Source!Y47</f>
        <v>0</v>
      </c>
      <c r="W165">
        <f>IF(Source!BI47&lt;=1,H165, 0)</f>
        <v>32.799999999999997</v>
      </c>
      <c r="X165">
        <f>IF(Source!BI47=2,H165, 0)</f>
        <v>0</v>
      </c>
      <c r="Y165">
        <f>IF(Source!BI47=3,H165, 0)</f>
        <v>0</v>
      </c>
      <c r="Z165">
        <f>IF(Source!BI47=4,H165, 0)</f>
        <v>0</v>
      </c>
    </row>
    <row r="166" spans="1:26" ht="15" x14ac:dyDescent="0.25">
      <c r="G166" s="87">
        <f>H158+H159+H161+H162+H163+SUM(H165:H165)</f>
        <v>179.92000000000002</v>
      </c>
      <c r="H166" s="87"/>
      <c r="J166" s="87">
        <f>K158+K159+K161+K162+K163+SUM(K165:K165)</f>
        <v>1285.94</v>
      </c>
      <c r="K166" s="87"/>
      <c r="L166" s="44">
        <f>Source!U46</f>
        <v>6.5375199999999998</v>
      </c>
      <c r="O166" s="27">
        <f>G166</f>
        <v>179.92000000000002</v>
      </c>
      <c r="P166" s="27">
        <f>J166</f>
        <v>1285.94</v>
      </c>
      <c r="Q166" s="27">
        <f>L166</f>
        <v>6.5375199999999998</v>
      </c>
      <c r="W166">
        <f>IF(Source!BI46&lt;=1,H158+H159+H161+H162+H163, 0)</f>
        <v>147.12</v>
      </c>
      <c r="X166">
        <f>IF(Source!BI46=2,H158+H159+H161+H162+H163, 0)</f>
        <v>0</v>
      </c>
      <c r="Y166">
        <f>IF(Source!BI46=3,H158+H159+H161+H162+H163, 0)</f>
        <v>0</v>
      </c>
      <c r="Z166">
        <f>IF(Source!BI46=4,H158+H159+H161+H162+H163, 0)</f>
        <v>0</v>
      </c>
    </row>
    <row r="167" spans="1:26" ht="28.5" x14ac:dyDescent="0.2">
      <c r="A167" s="49" t="str">
        <f>Source!E48</f>
        <v>16</v>
      </c>
      <c r="B167" s="50" t="str">
        <f>Source!F48</f>
        <v>09-04-012-02</v>
      </c>
      <c r="C167" s="50" t="str">
        <f>Source!G48</f>
        <v>Установка дверного доводчика к металлическим дверям</v>
      </c>
      <c r="D167" s="33" t="str">
        <f>Source!H48</f>
        <v>ШТ</v>
      </c>
      <c r="E167" s="11">
        <f>Source!I48</f>
        <v>2</v>
      </c>
      <c r="F167" s="34">
        <f>Source!AL48+Source!AM48+Source!AO48</f>
        <v>13.84</v>
      </c>
      <c r="G167" s="35"/>
      <c r="H167" s="34"/>
      <c r="I167" s="35" t="str">
        <f>Source!BO48</f>
        <v/>
      </c>
      <c r="J167" s="35"/>
      <c r="K167" s="34"/>
      <c r="L167" s="36"/>
      <c r="S167">
        <f>ROUND((Source!FX48/100)*((ROUND(Source!AF48*Source!I48, 2)+ROUND(Source!AE48*Source!I48, 2))), 2)</f>
        <v>20.51</v>
      </c>
      <c r="T167">
        <f>Source!X48</f>
        <v>146.22999999999999</v>
      </c>
      <c r="U167">
        <f>ROUND((Source!FY48/100)*((ROUND(Source!AF48*Source!I48, 2)+ROUND(Source!AE48*Source!I48, 2))), 2)</f>
        <v>18.29</v>
      </c>
      <c r="V167">
        <f>Source!Y48</f>
        <v>129.97999999999999</v>
      </c>
    </row>
    <row r="168" spans="1:26" ht="14.25" x14ac:dyDescent="0.2">
      <c r="A168" s="49"/>
      <c r="B168" s="50"/>
      <c r="C168" s="50" t="s">
        <v>1783</v>
      </c>
      <c r="D168" s="33"/>
      <c r="E168" s="11"/>
      <c r="F168" s="34">
        <f>Source!AO48</f>
        <v>11.01</v>
      </c>
      <c r="G168" s="35" t="str">
        <f>Source!DG48</f>
        <v>)*1,15</v>
      </c>
      <c r="H168" s="34">
        <f>ROUND(Source!AF48*Source!I48, 2)</f>
        <v>25.32</v>
      </c>
      <c r="I168" s="35"/>
      <c r="J168" s="35">
        <f>IF(Source!BA48&lt;&gt; 0, Source!BA48, 1)</f>
        <v>7.13</v>
      </c>
      <c r="K168" s="34">
        <f>Source!S48</f>
        <v>180.53</v>
      </c>
      <c r="L168" s="36"/>
      <c r="R168">
        <f>H168</f>
        <v>25.32</v>
      </c>
    </row>
    <row r="169" spans="1:26" ht="14.25" x14ac:dyDescent="0.2">
      <c r="A169" s="49"/>
      <c r="B169" s="50"/>
      <c r="C169" s="50" t="s">
        <v>449</v>
      </c>
      <c r="D169" s="33"/>
      <c r="E169" s="11"/>
      <c r="F169" s="34">
        <f>Source!AM48</f>
        <v>2.11</v>
      </c>
      <c r="G169" s="35" t="str">
        <f>Source!DE48</f>
        <v>)*1,25</v>
      </c>
      <c r="H169" s="34">
        <f>ROUND(Source!AD48*Source!I48, 2)</f>
        <v>5.28</v>
      </c>
      <c r="I169" s="35"/>
      <c r="J169" s="35">
        <f>IF(Source!BB48&lt;&gt; 0, Source!BB48, 1)</f>
        <v>7.13</v>
      </c>
      <c r="K169" s="34">
        <f>Source!Q48</f>
        <v>37.65</v>
      </c>
      <c r="L169" s="36"/>
    </row>
    <row r="170" spans="1:26" ht="14.25" x14ac:dyDescent="0.2">
      <c r="A170" s="49"/>
      <c r="B170" s="50"/>
      <c r="C170" s="50" t="s">
        <v>1790</v>
      </c>
      <c r="D170" s="33"/>
      <c r="E170" s="11"/>
      <c r="F170" s="34">
        <f>Source!AL48</f>
        <v>0.72</v>
      </c>
      <c r="G170" s="35" t="str">
        <f>Source!DD48</f>
        <v/>
      </c>
      <c r="H170" s="34">
        <f>ROUND(Source!AC48*Source!I48, 2)</f>
        <v>1.44</v>
      </c>
      <c r="I170" s="35"/>
      <c r="J170" s="35">
        <f>IF(Source!BC48&lt;&gt; 0, Source!BC48, 1)</f>
        <v>7.13</v>
      </c>
      <c r="K170" s="34">
        <f>Source!P48</f>
        <v>10.27</v>
      </c>
      <c r="L170" s="36"/>
    </row>
    <row r="171" spans="1:26" ht="14.25" x14ac:dyDescent="0.2">
      <c r="A171" s="49"/>
      <c r="B171" s="50"/>
      <c r="C171" s="50" t="s">
        <v>1785</v>
      </c>
      <c r="D171" s="33" t="s">
        <v>1786</v>
      </c>
      <c r="E171" s="11">
        <f>Source!BZ48</f>
        <v>90</v>
      </c>
      <c r="F171" s="81" t="str">
        <f>CONCATENATE(" )", Source!DL48, Source!FT48, "=", Source!FX48)</f>
        <v xml:space="preserve"> )*0,9=81</v>
      </c>
      <c r="G171" s="88"/>
      <c r="H171" s="34">
        <f>SUM(S167:S174)</f>
        <v>20.51</v>
      </c>
      <c r="I171" s="38"/>
      <c r="J171" s="31">
        <f>Source!AT48</f>
        <v>81</v>
      </c>
      <c r="K171" s="34">
        <f>SUM(T167:T174)</f>
        <v>146.22999999999999</v>
      </c>
      <c r="L171" s="36"/>
    </row>
    <row r="172" spans="1:26" ht="14.25" x14ac:dyDescent="0.2">
      <c r="A172" s="49"/>
      <c r="B172" s="50"/>
      <c r="C172" s="50" t="s">
        <v>1787</v>
      </c>
      <c r="D172" s="33" t="s">
        <v>1786</v>
      </c>
      <c r="E172" s="11">
        <f>Source!CA48</f>
        <v>85</v>
      </c>
      <c r="F172" s="81" t="str">
        <f>CONCATENATE(" )", Source!DM48, Source!FU48, "=", Source!FY48)</f>
        <v xml:space="preserve"> )*0,85=72,25</v>
      </c>
      <c r="G172" s="88"/>
      <c r="H172" s="34">
        <f>SUM(U167:U174)</f>
        <v>18.29</v>
      </c>
      <c r="I172" s="38"/>
      <c r="J172" s="31">
        <f>Source!AU48</f>
        <v>72</v>
      </c>
      <c r="K172" s="34">
        <f>SUM(V167:V174)</f>
        <v>129.97999999999999</v>
      </c>
      <c r="L172" s="36"/>
    </row>
    <row r="173" spans="1:26" ht="14.25" x14ac:dyDescent="0.2">
      <c r="A173" s="49"/>
      <c r="B173" s="50"/>
      <c r="C173" s="50" t="s">
        <v>1788</v>
      </c>
      <c r="D173" s="33" t="s">
        <v>1789</v>
      </c>
      <c r="E173" s="11">
        <f>Source!AQ48</f>
        <v>1.1100000000000001</v>
      </c>
      <c r="F173" s="34"/>
      <c r="G173" s="35" t="str">
        <f>Source!DI48</f>
        <v>)*1,15</v>
      </c>
      <c r="H173" s="34"/>
      <c r="I173" s="35"/>
      <c r="J173" s="35"/>
      <c r="K173" s="34"/>
      <c r="L173" s="45">
        <f>Source!U48</f>
        <v>2.5529999999999999</v>
      </c>
    </row>
    <row r="174" spans="1:26" ht="28.5" x14ac:dyDescent="0.2">
      <c r="A174" s="51" t="str">
        <f>Source!E49</f>
        <v>16,1</v>
      </c>
      <c r="B174" s="52" t="str">
        <f>Source!F49</f>
        <v>01.7.04.01-0001</v>
      </c>
      <c r="C174" s="52" t="str">
        <f>Source!G49</f>
        <v>Доводчик дверной DS 73 BC "Серия Premium", усилие закрывания EN2-5</v>
      </c>
      <c r="D174" s="39" t="str">
        <f>Source!H49</f>
        <v>шт.</v>
      </c>
      <c r="E174" s="40">
        <f>Source!I49</f>
        <v>2</v>
      </c>
      <c r="F174" s="41">
        <f>Source!AL49+Source!AM49+Source!AO49</f>
        <v>371.2</v>
      </c>
      <c r="G174" s="46" t="s">
        <v>6</v>
      </c>
      <c r="H174" s="41">
        <f>ROUND(Source!AC49*Source!I49, 2)+ROUND(Source!AD49*Source!I49, 2)+ROUND(Source!AF49*Source!I49, 2)</f>
        <v>742.4</v>
      </c>
      <c r="I174" s="42"/>
      <c r="J174" s="42">
        <f>IF(Source!BC49&lt;&gt; 0, Source!BC49, 1)</f>
        <v>7.13</v>
      </c>
      <c r="K174" s="41">
        <f>Source!O49</f>
        <v>5293.31</v>
      </c>
      <c r="L174" s="47"/>
      <c r="S174">
        <f>ROUND((Source!FX49/100)*((ROUND(Source!AF49*Source!I49, 2)+ROUND(Source!AE49*Source!I49, 2))), 2)</f>
        <v>0</v>
      </c>
      <c r="T174">
        <f>Source!X49</f>
        <v>0</v>
      </c>
      <c r="U174">
        <f>ROUND((Source!FY49/100)*((ROUND(Source!AF49*Source!I49, 2)+ROUND(Source!AE49*Source!I49, 2))), 2)</f>
        <v>0</v>
      </c>
      <c r="V174">
        <f>Source!Y49</f>
        <v>0</v>
      </c>
      <c r="W174">
        <f>IF(Source!BI49&lt;=1,H174, 0)</f>
        <v>742.4</v>
      </c>
      <c r="X174">
        <f>IF(Source!BI49=2,H174, 0)</f>
        <v>0</v>
      </c>
      <c r="Y174">
        <f>IF(Source!BI49=3,H174, 0)</f>
        <v>0</v>
      </c>
      <c r="Z174">
        <f>IF(Source!BI49=4,H174, 0)</f>
        <v>0</v>
      </c>
    </row>
    <row r="175" spans="1:26" ht="15" x14ac:dyDescent="0.25">
      <c r="G175" s="87">
        <f>H168+H169+H170+H171+H172+SUM(H174:H174)</f>
        <v>813.24</v>
      </c>
      <c r="H175" s="87"/>
      <c r="J175" s="87">
        <f>K168+K169+K170+K171+K172+SUM(K174:K174)</f>
        <v>5797.97</v>
      </c>
      <c r="K175" s="87"/>
      <c r="L175" s="44">
        <f>Source!U48</f>
        <v>2.5529999999999999</v>
      </c>
      <c r="O175" s="27">
        <f>G175</f>
        <v>813.24</v>
      </c>
      <c r="P175" s="27">
        <f>J175</f>
        <v>5797.97</v>
      </c>
      <c r="Q175" s="27">
        <f>L175</f>
        <v>2.5529999999999999</v>
      </c>
      <c r="W175">
        <f>IF(Source!BI48&lt;=1,H168+H169+H170+H171+H172, 0)</f>
        <v>70.84</v>
      </c>
      <c r="X175">
        <f>IF(Source!BI48=2,H168+H169+H170+H171+H172, 0)</f>
        <v>0</v>
      </c>
      <c r="Y175">
        <f>IF(Source!BI48=3,H168+H169+H170+H171+H172, 0)</f>
        <v>0</v>
      </c>
      <c r="Z175">
        <f>IF(Source!BI48=4,H168+H169+H170+H171+H172, 0)</f>
        <v>0</v>
      </c>
    </row>
    <row r="176" spans="1:26" ht="42.75" x14ac:dyDescent="0.2">
      <c r="A176" s="49" t="str">
        <f>Source!E50</f>
        <v>17</v>
      </c>
      <c r="B176" s="50" t="str">
        <f>Source!F50</f>
        <v>15-04-005-03</v>
      </c>
      <c r="C176" s="50" t="str">
        <f>Source!G50</f>
        <v>Окраска поливинилацетатными водоэмульсионными составами улучшенная по штукатурке откосов</v>
      </c>
      <c r="D176" s="33" t="str">
        <f>Source!H50</f>
        <v>100 м2</v>
      </c>
      <c r="E176" s="11">
        <f>Source!I50</f>
        <v>0.188</v>
      </c>
      <c r="F176" s="34">
        <f>Source!AL50+Source!AM50+Source!AO50</f>
        <v>675.6</v>
      </c>
      <c r="G176" s="35"/>
      <c r="H176" s="34"/>
      <c r="I176" s="35" t="str">
        <f>Source!BO50</f>
        <v/>
      </c>
      <c r="J176" s="35"/>
      <c r="K176" s="34"/>
      <c r="L176" s="36"/>
      <c r="S176">
        <f>ROUND((Source!FX50/100)*((ROUND(Source!AF50*Source!I50, 2)+ROUND(Source!AE50*Source!I50, 2))), 2)</f>
        <v>79.069999999999993</v>
      </c>
      <c r="T176">
        <f>Source!X50</f>
        <v>566.71</v>
      </c>
      <c r="U176">
        <f>ROUND((Source!FY50/100)*((ROUND(Source!AF50*Source!I50, 2)+ROUND(Source!AE50*Source!I50, 2))), 2)</f>
        <v>39.119999999999997</v>
      </c>
      <c r="V176">
        <f>Source!Y50</f>
        <v>280.37</v>
      </c>
    </row>
    <row r="177" spans="1:26" x14ac:dyDescent="0.2">
      <c r="C177" s="26" t="str">
        <f>"Объем: "&amp;Source!I50&amp;"=18,8/"&amp;"100"</f>
        <v>Объем: 0,188=18,8/100</v>
      </c>
    </row>
    <row r="178" spans="1:26" ht="14.25" x14ac:dyDescent="0.2">
      <c r="A178" s="49"/>
      <c r="B178" s="50"/>
      <c r="C178" s="50" t="s">
        <v>1783</v>
      </c>
      <c r="D178" s="33"/>
      <c r="E178" s="11"/>
      <c r="F178" s="34">
        <f>Source!AO50</f>
        <v>384.81</v>
      </c>
      <c r="G178" s="35" t="str">
        <f>Source!DG50</f>
        <v>)*1,15</v>
      </c>
      <c r="H178" s="34">
        <f>ROUND(Source!AF50*Source!I50, 2)</f>
        <v>83.2</v>
      </c>
      <c r="I178" s="35"/>
      <c r="J178" s="35">
        <f>IF(Source!BA50&lt;&gt; 0, Source!BA50, 1)</f>
        <v>7.13</v>
      </c>
      <c r="K178" s="34">
        <f>Source!S50</f>
        <v>593.17999999999995</v>
      </c>
      <c r="L178" s="36"/>
      <c r="R178">
        <f>H178</f>
        <v>83.2</v>
      </c>
    </row>
    <row r="179" spans="1:26" ht="14.25" x14ac:dyDescent="0.2">
      <c r="A179" s="49"/>
      <c r="B179" s="50"/>
      <c r="C179" s="50" t="s">
        <v>449</v>
      </c>
      <c r="D179" s="33"/>
      <c r="E179" s="11"/>
      <c r="F179" s="34">
        <f>Source!AM50</f>
        <v>10.49</v>
      </c>
      <c r="G179" s="35" t="str">
        <f>Source!DE50</f>
        <v>)*1,25</v>
      </c>
      <c r="H179" s="34">
        <f>ROUND(Source!AD50*Source!I50, 2)</f>
        <v>2.46</v>
      </c>
      <c r="I179" s="35"/>
      <c r="J179" s="35">
        <f>IF(Source!BB50&lt;&gt; 0, Source!BB50, 1)</f>
        <v>7.13</v>
      </c>
      <c r="K179" s="34">
        <f>Source!Q50</f>
        <v>17.57</v>
      </c>
      <c r="L179" s="36"/>
    </row>
    <row r="180" spans="1:26" ht="14.25" x14ac:dyDescent="0.2">
      <c r="A180" s="49"/>
      <c r="B180" s="50"/>
      <c r="C180" s="50" t="s">
        <v>1784</v>
      </c>
      <c r="D180" s="33"/>
      <c r="E180" s="11"/>
      <c r="F180" s="34">
        <f>Source!AN50</f>
        <v>2.0099999999999998</v>
      </c>
      <c r="G180" s="35" t="str">
        <f>Source!DF50</f>
        <v>)*1,25</v>
      </c>
      <c r="H180" s="37">
        <f>ROUND(Source!AE50*Source!I50, 2)</f>
        <v>0.47</v>
      </c>
      <c r="I180" s="35"/>
      <c r="J180" s="35">
        <f>IF(Source!BS50&lt;&gt; 0, Source!BS50, 1)</f>
        <v>7.13</v>
      </c>
      <c r="K180" s="37">
        <f>Source!R50</f>
        <v>3.36</v>
      </c>
      <c r="L180" s="36"/>
      <c r="R180">
        <f>H180</f>
        <v>0.47</v>
      </c>
    </row>
    <row r="181" spans="1:26" ht="14.25" x14ac:dyDescent="0.2">
      <c r="A181" s="49"/>
      <c r="B181" s="50"/>
      <c r="C181" s="50" t="s">
        <v>1790</v>
      </c>
      <c r="D181" s="33"/>
      <c r="E181" s="11"/>
      <c r="F181" s="34">
        <f>Source!AL50</f>
        <v>280.3</v>
      </c>
      <c r="G181" s="35" t="str">
        <f>Source!DD50</f>
        <v/>
      </c>
      <c r="H181" s="34">
        <f>ROUND(Source!AC50*Source!I50, 2)</f>
        <v>52.7</v>
      </c>
      <c r="I181" s="35"/>
      <c r="J181" s="35">
        <f>IF(Source!BC50&lt;&gt; 0, Source!BC50, 1)</f>
        <v>7.13</v>
      </c>
      <c r="K181" s="34">
        <f>Source!P50</f>
        <v>375.73</v>
      </c>
      <c r="L181" s="36"/>
    </row>
    <row r="182" spans="1:26" ht="14.25" x14ac:dyDescent="0.2">
      <c r="A182" s="49"/>
      <c r="B182" s="50"/>
      <c r="C182" s="50" t="s">
        <v>1785</v>
      </c>
      <c r="D182" s="33" t="s">
        <v>1786</v>
      </c>
      <c r="E182" s="11">
        <f>Source!BZ50</f>
        <v>105</v>
      </c>
      <c r="F182" s="81" t="str">
        <f>CONCATENATE(" )", Source!DL50, Source!FT50, "=", Source!FX50)</f>
        <v xml:space="preserve"> )*0,9=94,5</v>
      </c>
      <c r="G182" s="88"/>
      <c r="H182" s="34">
        <f>SUM(S176:S185)</f>
        <v>79.069999999999993</v>
      </c>
      <c r="I182" s="38"/>
      <c r="J182" s="31">
        <f>Source!AT50</f>
        <v>95</v>
      </c>
      <c r="K182" s="34">
        <f>SUM(T176:T185)</f>
        <v>566.71</v>
      </c>
      <c r="L182" s="36"/>
    </row>
    <row r="183" spans="1:26" ht="14.25" x14ac:dyDescent="0.2">
      <c r="A183" s="49"/>
      <c r="B183" s="50"/>
      <c r="C183" s="50" t="s">
        <v>1787</v>
      </c>
      <c r="D183" s="33" t="s">
        <v>1786</v>
      </c>
      <c r="E183" s="11">
        <f>Source!CA50</f>
        <v>55</v>
      </c>
      <c r="F183" s="81" t="str">
        <f>CONCATENATE(" )", Source!DM50, Source!FU50, "=", Source!FY50)</f>
        <v xml:space="preserve"> )*0,85=46,75</v>
      </c>
      <c r="G183" s="88"/>
      <c r="H183" s="34">
        <f>SUM(U176:U185)</f>
        <v>39.119999999999997</v>
      </c>
      <c r="I183" s="38"/>
      <c r="J183" s="31">
        <f>Source!AU50</f>
        <v>47</v>
      </c>
      <c r="K183" s="34">
        <f>SUM(V176:V185)</f>
        <v>280.37</v>
      </c>
      <c r="L183" s="36"/>
    </row>
    <row r="184" spans="1:26" ht="14.25" x14ac:dyDescent="0.2">
      <c r="A184" s="49"/>
      <c r="B184" s="50"/>
      <c r="C184" s="50" t="s">
        <v>1788</v>
      </c>
      <c r="D184" s="33" t="s">
        <v>1789</v>
      </c>
      <c r="E184" s="11">
        <f>Source!AQ50</f>
        <v>42.9</v>
      </c>
      <c r="F184" s="34"/>
      <c r="G184" s="35" t="str">
        <f>Source!DI50</f>
        <v>)*1,15</v>
      </c>
      <c r="H184" s="34"/>
      <c r="I184" s="35"/>
      <c r="J184" s="35"/>
      <c r="K184" s="34"/>
      <c r="L184" s="45">
        <f>Source!U50</f>
        <v>9.2749799999999993</v>
      </c>
    </row>
    <row r="185" spans="1:26" ht="28.5" x14ac:dyDescent="0.2">
      <c r="A185" s="51" t="str">
        <f>Source!E51</f>
        <v>17,1</v>
      </c>
      <c r="B185" s="52" t="str">
        <f>Source!F51</f>
        <v>14.3.02.01-0219</v>
      </c>
      <c r="C185" s="52" t="str">
        <f>Source!G51</f>
        <v>Краска водоэмульсионная (согласно тех.заданию)</v>
      </c>
      <c r="D185" s="39" t="str">
        <f>Source!H51</f>
        <v>т</v>
      </c>
      <c r="E185" s="40">
        <f>Source!I51</f>
        <v>1.1844E-2</v>
      </c>
      <c r="F185" s="41">
        <f>Source!AL51+Source!AM51+Source!AO51</f>
        <v>15481</v>
      </c>
      <c r="G185" s="46" t="s">
        <v>6</v>
      </c>
      <c r="H185" s="41">
        <f>ROUND(Source!AC51*Source!I51, 2)+ROUND(Source!AD51*Source!I51, 2)+ROUND(Source!AF51*Source!I51, 2)</f>
        <v>183.36</v>
      </c>
      <c r="I185" s="42"/>
      <c r="J185" s="42">
        <f>IF(Source!BC51&lt;&gt; 0, Source!BC51, 1)</f>
        <v>7.13</v>
      </c>
      <c r="K185" s="41">
        <f>Source!O51</f>
        <v>1307.3399999999999</v>
      </c>
      <c r="L185" s="47"/>
      <c r="S185">
        <f>ROUND((Source!FX51/100)*((ROUND(Source!AF51*Source!I51, 2)+ROUND(Source!AE51*Source!I51, 2))), 2)</f>
        <v>0</v>
      </c>
      <c r="T185">
        <f>Source!X51</f>
        <v>0</v>
      </c>
      <c r="U185">
        <f>ROUND((Source!FY51/100)*((ROUND(Source!AF51*Source!I51, 2)+ROUND(Source!AE51*Source!I51, 2))), 2)</f>
        <v>0</v>
      </c>
      <c r="V185">
        <f>Source!Y51</f>
        <v>0</v>
      </c>
      <c r="W185">
        <f>IF(Source!BI51&lt;=1,H185, 0)</f>
        <v>183.36</v>
      </c>
      <c r="X185">
        <f>IF(Source!BI51=2,H185, 0)</f>
        <v>0</v>
      </c>
      <c r="Y185">
        <f>IF(Source!BI51=3,H185, 0)</f>
        <v>0</v>
      </c>
      <c r="Z185">
        <f>IF(Source!BI51=4,H185, 0)</f>
        <v>0</v>
      </c>
    </row>
    <row r="186" spans="1:26" ht="15" x14ac:dyDescent="0.25">
      <c r="G186" s="87">
        <f>H178+H179+H181+H182+H183+SUM(H185:H185)</f>
        <v>439.91</v>
      </c>
      <c r="H186" s="87"/>
      <c r="J186" s="87">
        <f>K178+K179+K181+K182+K183+SUM(K185:K185)</f>
        <v>3140.8999999999996</v>
      </c>
      <c r="K186" s="87"/>
      <c r="L186" s="44">
        <f>Source!U50</f>
        <v>9.2749799999999993</v>
      </c>
      <c r="O186" s="27">
        <f>G186</f>
        <v>439.91</v>
      </c>
      <c r="P186" s="27">
        <f>J186</f>
        <v>3140.8999999999996</v>
      </c>
      <c r="Q186" s="27">
        <f>L186</f>
        <v>9.2749799999999993</v>
      </c>
      <c r="W186">
        <f>IF(Source!BI50&lt;=1,H178+H179+H181+H182+H183, 0)</f>
        <v>256.55</v>
      </c>
      <c r="X186">
        <f>IF(Source!BI50=2,H178+H179+H181+H182+H183, 0)</f>
        <v>0</v>
      </c>
      <c r="Y186">
        <f>IF(Source!BI50=3,H178+H179+H181+H182+H183, 0)</f>
        <v>0</v>
      </c>
      <c r="Z186">
        <f>IF(Source!BI50=4,H178+H179+H181+H182+H183, 0)</f>
        <v>0</v>
      </c>
    </row>
    <row r="187" spans="1:26" ht="28.5" x14ac:dyDescent="0.2">
      <c r="A187" s="49" t="str">
        <f>Source!E52</f>
        <v>18</v>
      </c>
      <c r="B187" s="50" t="str">
        <f>Source!F52</f>
        <v>11-01-049-01</v>
      </c>
      <c r="C187" s="50" t="str">
        <f>Source!G52</f>
        <v>Укладка металлического накладного профиля (порога)</v>
      </c>
      <c r="D187" s="33" t="str">
        <f>Source!H52</f>
        <v>100 м</v>
      </c>
      <c r="E187" s="11">
        <f>Source!I52</f>
        <v>0.14000000000000001</v>
      </c>
      <c r="F187" s="34">
        <f>Source!AL52+Source!AM52+Source!AO52</f>
        <v>225.83</v>
      </c>
      <c r="G187" s="35"/>
      <c r="H187" s="34"/>
      <c r="I187" s="35" t="str">
        <f>Source!BO52</f>
        <v/>
      </c>
      <c r="J187" s="35"/>
      <c r="K187" s="34"/>
      <c r="L187" s="36"/>
      <c r="S187">
        <f>ROUND((Source!FX52/100)*((ROUND(Source!AF52*Source!I52, 2)+ROUND(Source!AE52*Source!I52, 2))), 2)</f>
        <v>25.91</v>
      </c>
      <c r="T187">
        <f>Source!X52</f>
        <v>185.3</v>
      </c>
      <c r="U187">
        <f>ROUND((Source!FY52/100)*((ROUND(Source!AF52*Source!I52, 2)+ROUND(Source!AE52*Source!I52, 2))), 2)</f>
        <v>14.92</v>
      </c>
      <c r="V187">
        <f>Source!Y52</f>
        <v>106.84</v>
      </c>
    </row>
    <row r="188" spans="1:26" x14ac:dyDescent="0.2">
      <c r="C188" s="26" t="str">
        <f>"Объем: "&amp;Source!I52&amp;"=14/"&amp;"100"</f>
        <v>Объем: 0,14=14/100</v>
      </c>
    </row>
    <row r="189" spans="1:26" ht="14.25" x14ac:dyDescent="0.2">
      <c r="A189" s="49"/>
      <c r="B189" s="50"/>
      <c r="C189" s="50" t="s">
        <v>1783</v>
      </c>
      <c r="D189" s="33"/>
      <c r="E189" s="11"/>
      <c r="F189" s="34">
        <f>Source!AO52</f>
        <v>145.43</v>
      </c>
      <c r="G189" s="35" t="str">
        <f>Source!DG52</f>
        <v>)*1,15</v>
      </c>
      <c r="H189" s="34">
        <f>ROUND(Source!AF52*Source!I52, 2)</f>
        <v>23.41</v>
      </c>
      <c r="I189" s="35"/>
      <c r="J189" s="35">
        <f>IF(Source!BA52&lt;&gt; 0, Source!BA52, 1)</f>
        <v>7.13</v>
      </c>
      <c r="K189" s="34">
        <f>Source!S52</f>
        <v>166.94</v>
      </c>
      <c r="L189" s="36"/>
      <c r="R189">
        <f>H189</f>
        <v>23.41</v>
      </c>
    </row>
    <row r="190" spans="1:26" ht="14.25" x14ac:dyDescent="0.2">
      <c r="A190" s="49"/>
      <c r="B190" s="50"/>
      <c r="C190" s="50" t="s">
        <v>1790</v>
      </c>
      <c r="D190" s="33"/>
      <c r="E190" s="11"/>
      <c r="F190" s="34">
        <f>Source!AL52</f>
        <v>80.400000000000006</v>
      </c>
      <c r="G190" s="35" t="str">
        <f>Source!DD52</f>
        <v/>
      </c>
      <c r="H190" s="34">
        <f>ROUND(Source!AC52*Source!I52, 2)</f>
        <v>11.26</v>
      </c>
      <c r="I190" s="35"/>
      <c r="J190" s="35">
        <f>IF(Source!BC52&lt;&gt; 0, Source!BC52, 1)</f>
        <v>7.13</v>
      </c>
      <c r="K190" s="34">
        <f>Source!P52</f>
        <v>80.260000000000005</v>
      </c>
      <c r="L190" s="36"/>
    </row>
    <row r="191" spans="1:26" ht="14.25" x14ac:dyDescent="0.2">
      <c r="A191" s="49"/>
      <c r="B191" s="50"/>
      <c r="C191" s="50" t="s">
        <v>1785</v>
      </c>
      <c r="D191" s="33" t="s">
        <v>1786</v>
      </c>
      <c r="E191" s="11">
        <f>Source!BZ52</f>
        <v>123</v>
      </c>
      <c r="F191" s="81" t="str">
        <f>CONCATENATE(" )", Source!DL52, Source!FT52, "=", Source!FX52)</f>
        <v xml:space="preserve"> )*0,9=110,7</v>
      </c>
      <c r="G191" s="88"/>
      <c r="H191" s="34">
        <f>SUM(S187:S195)</f>
        <v>25.91</v>
      </c>
      <c r="I191" s="38"/>
      <c r="J191" s="31">
        <f>Source!AT52</f>
        <v>111</v>
      </c>
      <c r="K191" s="34">
        <f>SUM(T187:T195)</f>
        <v>185.3</v>
      </c>
      <c r="L191" s="36"/>
    </row>
    <row r="192" spans="1:26" ht="14.25" x14ac:dyDescent="0.2">
      <c r="A192" s="49"/>
      <c r="B192" s="50"/>
      <c r="C192" s="50" t="s">
        <v>1787</v>
      </c>
      <c r="D192" s="33" t="s">
        <v>1786</v>
      </c>
      <c r="E192" s="11">
        <f>Source!CA52</f>
        <v>75</v>
      </c>
      <c r="F192" s="81" t="str">
        <f>CONCATENATE(" )", Source!DM52, Source!FU52, "=", Source!FY52)</f>
        <v xml:space="preserve"> )*0,85=63,75</v>
      </c>
      <c r="G192" s="88"/>
      <c r="H192" s="34">
        <f>SUM(U187:U195)</f>
        <v>14.92</v>
      </c>
      <c r="I192" s="38"/>
      <c r="J192" s="31">
        <f>Source!AU52</f>
        <v>64</v>
      </c>
      <c r="K192" s="34">
        <f>SUM(V187:V195)</f>
        <v>106.84</v>
      </c>
      <c r="L192" s="36"/>
    </row>
    <row r="193" spans="1:26" ht="14.25" x14ac:dyDescent="0.2">
      <c r="A193" s="49"/>
      <c r="B193" s="50"/>
      <c r="C193" s="50" t="s">
        <v>1788</v>
      </c>
      <c r="D193" s="33" t="s">
        <v>1789</v>
      </c>
      <c r="E193" s="11">
        <f>Source!AQ52</f>
        <v>16.64</v>
      </c>
      <c r="F193" s="34"/>
      <c r="G193" s="35" t="str">
        <f>Source!DI52</f>
        <v>)*1,15</v>
      </c>
      <c r="H193" s="34"/>
      <c r="I193" s="35"/>
      <c r="J193" s="35"/>
      <c r="K193" s="34"/>
      <c r="L193" s="45">
        <f>Source!U52</f>
        <v>2.6790400000000001</v>
      </c>
    </row>
    <row r="194" spans="1:26" ht="42.75" x14ac:dyDescent="0.2">
      <c r="A194" s="49" t="str">
        <f>Source!E53</f>
        <v>18,1</v>
      </c>
      <c r="B194" s="50" t="str">
        <f>Source!F53</f>
        <v>09.2.03.02</v>
      </c>
      <c r="C194" s="50" t="str">
        <f>Source!G53</f>
        <v>Профили стыкоперекрывающие из алюминиевых сплавов (порожки) с покрытием</v>
      </c>
      <c r="D194" s="33" t="str">
        <f>Source!H53</f>
        <v>м</v>
      </c>
      <c r="E194" s="11">
        <f>Source!I53</f>
        <v>14.7</v>
      </c>
      <c r="F194" s="34">
        <f>Source!AL53+Source!AM53+Source!AO53</f>
        <v>0</v>
      </c>
      <c r="G194" s="48" t="s">
        <v>6</v>
      </c>
      <c r="H194" s="34">
        <f>ROUND(Source!AC53*Source!I53, 2)+ROUND(Source!AD53*Source!I53, 2)+ROUND(Source!AF53*Source!I53, 2)</f>
        <v>0</v>
      </c>
      <c r="I194" s="35"/>
      <c r="J194" s="35">
        <f>IF(Source!BC53&lt;&gt; 0, Source!BC53, 1)</f>
        <v>7.13</v>
      </c>
      <c r="K194" s="34">
        <f>Source!O53</f>
        <v>0</v>
      </c>
      <c r="L194" s="36"/>
      <c r="S194">
        <f>ROUND((Source!FX53/100)*((ROUND(Source!AF53*Source!I53, 2)+ROUND(Source!AE53*Source!I53, 2))), 2)</f>
        <v>0</v>
      </c>
      <c r="T194">
        <f>Source!X53</f>
        <v>0</v>
      </c>
      <c r="U194">
        <f>ROUND((Source!FY53/100)*((ROUND(Source!AF53*Source!I53, 2)+ROUND(Source!AE53*Source!I53, 2))), 2)</f>
        <v>0</v>
      </c>
      <c r="V194">
        <f>Source!Y53</f>
        <v>0</v>
      </c>
      <c r="W194">
        <f>IF(Source!BI53&lt;=1,H194, 0)</f>
        <v>0</v>
      </c>
      <c r="X194">
        <f>IF(Source!BI53=2,H194, 0)</f>
        <v>0</v>
      </c>
      <c r="Y194">
        <f>IF(Source!BI53=3,H194, 0)</f>
        <v>0</v>
      </c>
      <c r="Z194">
        <f>IF(Source!BI53=4,H194, 0)</f>
        <v>0</v>
      </c>
    </row>
    <row r="195" spans="1:26" ht="42.75" x14ac:dyDescent="0.2">
      <c r="A195" s="51" t="str">
        <f>Source!E54</f>
        <v>18,2</v>
      </c>
      <c r="B195" s="52" t="str">
        <f>Source!F54</f>
        <v>09.2.03.02-0022</v>
      </c>
      <c r="C195" s="52" t="str">
        <f>Source!G54</f>
        <v>Профили стыкоперекрывающие из алюминиевых сплавов (порожки) с покрытием, шириной 60 мм</v>
      </c>
      <c r="D195" s="39" t="str">
        <f>Source!H54</f>
        <v>м</v>
      </c>
      <c r="E195" s="40">
        <f>Source!I54</f>
        <v>14.7</v>
      </c>
      <c r="F195" s="41">
        <f>Source!AL54+Source!AM54+Source!AO54</f>
        <v>22.58</v>
      </c>
      <c r="G195" s="46" t="s">
        <v>6</v>
      </c>
      <c r="H195" s="41">
        <f>ROUND(Source!AC54*Source!I54, 2)+ROUND(Source!AD54*Source!I54, 2)+ROUND(Source!AF54*Source!I54, 2)</f>
        <v>331.93</v>
      </c>
      <c r="I195" s="42"/>
      <c r="J195" s="42">
        <f>IF(Source!BC54&lt;&gt; 0, Source!BC54, 1)</f>
        <v>7.13</v>
      </c>
      <c r="K195" s="41">
        <f>Source!O54</f>
        <v>2366.63</v>
      </c>
      <c r="L195" s="47"/>
      <c r="S195">
        <f>ROUND((Source!FX54/100)*((ROUND(Source!AF54*Source!I54, 2)+ROUND(Source!AE54*Source!I54, 2))), 2)</f>
        <v>0</v>
      </c>
      <c r="T195">
        <f>Source!X54</f>
        <v>0</v>
      </c>
      <c r="U195">
        <f>ROUND((Source!FY54/100)*((ROUND(Source!AF54*Source!I54, 2)+ROUND(Source!AE54*Source!I54, 2))), 2)</f>
        <v>0</v>
      </c>
      <c r="V195">
        <f>Source!Y54</f>
        <v>0</v>
      </c>
      <c r="W195">
        <f>IF(Source!BI54&lt;=1,H195, 0)</f>
        <v>331.93</v>
      </c>
      <c r="X195">
        <f>IF(Source!BI54=2,H195, 0)</f>
        <v>0</v>
      </c>
      <c r="Y195">
        <f>IF(Source!BI54=3,H195, 0)</f>
        <v>0</v>
      </c>
      <c r="Z195">
        <f>IF(Source!BI54=4,H195, 0)</f>
        <v>0</v>
      </c>
    </row>
    <row r="196" spans="1:26" ht="15" x14ac:dyDescent="0.25">
      <c r="G196" s="87">
        <f>H189+H190+H191+H192+SUM(H194:H195)</f>
        <v>407.43</v>
      </c>
      <c r="H196" s="87"/>
      <c r="J196" s="87">
        <f>K189+K190+K191+K192+SUM(K194:K195)</f>
        <v>2905.9700000000003</v>
      </c>
      <c r="K196" s="87"/>
      <c r="L196" s="44">
        <f>Source!U52</f>
        <v>2.6790400000000001</v>
      </c>
      <c r="O196" s="27">
        <f>G196</f>
        <v>407.43</v>
      </c>
      <c r="P196" s="27">
        <f>J196</f>
        <v>2905.9700000000003</v>
      </c>
      <c r="Q196" s="27">
        <f>L196</f>
        <v>2.6790400000000001</v>
      </c>
      <c r="W196">
        <f>IF(Source!BI52&lt;=1,H189+H190+H191+H192, 0)</f>
        <v>75.5</v>
      </c>
      <c r="X196">
        <f>IF(Source!BI52=2,H189+H190+H191+H192, 0)</f>
        <v>0</v>
      </c>
      <c r="Y196">
        <f>IF(Source!BI52=3,H189+H190+H191+H192, 0)</f>
        <v>0</v>
      </c>
      <c r="Z196">
        <f>IF(Source!BI52=4,H189+H190+H191+H192, 0)</f>
        <v>0</v>
      </c>
    </row>
    <row r="197" spans="1:26" ht="28.5" x14ac:dyDescent="0.2">
      <c r="A197" s="49" t="str">
        <f>Source!E55</f>
        <v>19</v>
      </c>
      <c r="B197" s="50" t="str">
        <f>Source!F55</f>
        <v>10-01-060-01</v>
      </c>
      <c r="C197" s="50" t="str">
        <f>Source!G55</f>
        <v>Установка и крепление наличников</v>
      </c>
      <c r="D197" s="33" t="str">
        <f>Source!H55</f>
        <v>100 м</v>
      </c>
      <c r="E197" s="11">
        <f>Source!I55</f>
        <v>2.218</v>
      </c>
      <c r="F197" s="34">
        <f>Source!AL55+Source!AM55+Source!AO55</f>
        <v>75.02</v>
      </c>
      <c r="G197" s="35"/>
      <c r="H197" s="34"/>
      <c r="I197" s="35" t="str">
        <f>Source!BO55</f>
        <v/>
      </c>
      <c r="J197" s="35"/>
      <c r="K197" s="34"/>
      <c r="L197" s="36"/>
      <c r="S197">
        <f>ROUND((Source!FX55/100)*((ROUND(Source!AF55*Source!I55, 2)+ROUND(Source!AE55*Source!I55, 2))), 2)</f>
        <v>174.43</v>
      </c>
      <c r="T197">
        <f>Source!X55</f>
        <v>1241.31</v>
      </c>
      <c r="U197">
        <f>ROUND((Source!FY55/100)*((ROUND(Source!AF55*Source!I55, 2)+ROUND(Source!AE55*Source!I55, 2))), 2)</f>
        <v>87.96</v>
      </c>
      <c r="V197">
        <f>Source!Y55</f>
        <v>632.37</v>
      </c>
    </row>
    <row r="198" spans="1:26" x14ac:dyDescent="0.2">
      <c r="C198" s="26" t="str">
        <f>"Объем: "&amp;Source!I55&amp;"=221,8/"&amp;"100"</f>
        <v>Объем: 2,218=221,8/100</v>
      </c>
    </row>
    <row r="199" spans="1:26" ht="14.25" x14ac:dyDescent="0.2">
      <c r="A199" s="49"/>
      <c r="B199" s="50"/>
      <c r="C199" s="50" t="s">
        <v>1783</v>
      </c>
      <c r="D199" s="33"/>
      <c r="E199" s="11"/>
      <c r="F199" s="34">
        <f>Source!AO55</f>
        <v>63.89</v>
      </c>
      <c r="G199" s="35" t="str">
        <f>Source!DG55</f>
        <v>)*1,15</v>
      </c>
      <c r="H199" s="34">
        <f>ROUND(Source!AF55*Source!I55, 2)</f>
        <v>162.96</v>
      </c>
      <c r="I199" s="35"/>
      <c r="J199" s="35">
        <f>IF(Source!BA55&lt;&gt; 0, Source!BA55, 1)</f>
        <v>7.13</v>
      </c>
      <c r="K199" s="34">
        <f>Source!S55</f>
        <v>1161.8800000000001</v>
      </c>
      <c r="L199" s="36"/>
      <c r="R199">
        <f>H199</f>
        <v>162.96</v>
      </c>
    </row>
    <row r="200" spans="1:26" ht="14.25" x14ac:dyDescent="0.2">
      <c r="A200" s="49"/>
      <c r="B200" s="50"/>
      <c r="C200" s="50" t="s">
        <v>449</v>
      </c>
      <c r="D200" s="33"/>
      <c r="E200" s="11"/>
      <c r="F200" s="34">
        <f>Source!AM55</f>
        <v>2.63</v>
      </c>
      <c r="G200" s="35" t="str">
        <f>Source!DE55</f>
        <v>)*1,25</v>
      </c>
      <c r="H200" s="34">
        <f>ROUND(Source!AD55*Source!I55, 2)</f>
        <v>7.3</v>
      </c>
      <c r="I200" s="35"/>
      <c r="J200" s="35">
        <f>IF(Source!BB55&lt;&gt; 0, Source!BB55, 1)</f>
        <v>7.13</v>
      </c>
      <c r="K200" s="34">
        <f>Source!Q55</f>
        <v>52.03</v>
      </c>
      <c r="L200" s="36"/>
    </row>
    <row r="201" spans="1:26" ht="14.25" x14ac:dyDescent="0.2">
      <c r="A201" s="49"/>
      <c r="B201" s="50"/>
      <c r="C201" s="50" t="s">
        <v>1784</v>
      </c>
      <c r="D201" s="33"/>
      <c r="E201" s="11"/>
      <c r="F201" s="34">
        <f>Source!AN55</f>
        <v>0.46</v>
      </c>
      <c r="G201" s="35" t="str">
        <f>Source!DF55</f>
        <v>)*1,25</v>
      </c>
      <c r="H201" s="37">
        <f>ROUND(Source!AE55*Source!I55, 2)</f>
        <v>1.29</v>
      </c>
      <c r="I201" s="35"/>
      <c r="J201" s="35">
        <f>IF(Source!BS55&lt;&gt; 0, Source!BS55, 1)</f>
        <v>7.13</v>
      </c>
      <c r="K201" s="37">
        <f>Source!R55</f>
        <v>9.17</v>
      </c>
      <c r="L201" s="36"/>
      <c r="R201">
        <f>H201</f>
        <v>1.29</v>
      </c>
    </row>
    <row r="202" spans="1:26" ht="14.25" x14ac:dyDescent="0.2">
      <c r="A202" s="49"/>
      <c r="B202" s="50"/>
      <c r="C202" s="50" t="s">
        <v>1790</v>
      </c>
      <c r="D202" s="33"/>
      <c r="E202" s="11"/>
      <c r="F202" s="34">
        <f>Source!AL55</f>
        <v>8.5</v>
      </c>
      <c r="G202" s="35" t="str">
        <f>Source!DD55</f>
        <v/>
      </c>
      <c r="H202" s="34">
        <f>ROUND(Source!AC55*Source!I55, 2)</f>
        <v>18.850000000000001</v>
      </c>
      <c r="I202" s="35"/>
      <c r="J202" s="35">
        <f>IF(Source!BC55&lt;&gt; 0, Source!BC55, 1)</f>
        <v>7.13</v>
      </c>
      <c r="K202" s="34">
        <f>Source!P55</f>
        <v>134.41999999999999</v>
      </c>
      <c r="L202" s="36"/>
    </row>
    <row r="203" spans="1:26" ht="14.25" x14ac:dyDescent="0.2">
      <c r="A203" s="49"/>
      <c r="B203" s="50"/>
      <c r="C203" s="50" t="s">
        <v>1785</v>
      </c>
      <c r="D203" s="33" t="s">
        <v>1786</v>
      </c>
      <c r="E203" s="11">
        <f>Source!BZ55</f>
        <v>118</v>
      </c>
      <c r="F203" s="81" t="str">
        <f>CONCATENATE(" )", Source!DL55, Source!FT55, "=", Source!FX55)</f>
        <v xml:space="preserve"> )*0,9=106,2</v>
      </c>
      <c r="G203" s="88"/>
      <c r="H203" s="34">
        <f>SUM(S197:S208)</f>
        <v>174.43</v>
      </c>
      <c r="I203" s="38"/>
      <c r="J203" s="31">
        <f>Source!AT55</f>
        <v>106</v>
      </c>
      <c r="K203" s="34">
        <f>SUM(T197:T208)</f>
        <v>1241.31</v>
      </c>
      <c r="L203" s="36"/>
    </row>
    <row r="204" spans="1:26" ht="14.25" x14ac:dyDescent="0.2">
      <c r="A204" s="49"/>
      <c r="B204" s="50"/>
      <c r="C204" s="50" t="s">
        <v>1787</v>
      </c>
      <c r="D204" s="33" t="s">
        <v>1786</v>
      </c>
      <c r="E204" s="11">
        <f>Source!CA55</f>
        <v>63</v>
      </c>
      <c r="F204" s="81" t="str">
        <f>CONCATENATE(" )", Source!DM55, Source!FU55, "=", Source!FY55)</f>
        <v xml:space="preserve"> )*0,85=53,55</v>
      </c>
      <c r="G204" s="88"/>
      <c r="H204" s="34">
        <f>SUM(U197:U208)</f>
        <v>87.96</v>
      </c>
      <c r="I204" s="38"/>
      <c r="J204" s="31">
        <f>Source!AU55</f>
        <v>54</v>
      </c>
      <c r="K204" s="34">
        <f>SUM(V197:V208)</f>
        <v>632.37</v>
      </c>
      <c r="L204" s="36"/>
    </row>
    <row r="205" spans="1:26" ht="14.25" x14ac:dyDescent="0.2">
      <c r="A205" s="49"/>
      <c r="B205" s="50"/>
      <c r="C205" s="50" t="s">
        <v>1788</v>
      </c>
      <c r="D205" s="33" t="s">
        <v>1789</v>
      </c>
      <c r="E205" s="11">
        <f>Source!AQ55</f>
        <v>7.82</v>
      </c>
      <c r="F205" s="34"/>
      <c r="G205" s="35" t="str">
        <f>Source!DI55</f>
        <v>)*1,15</v>
      </c>
      <c r="H205" s="34"/>
      <c r="I205" s="35"/>
      <c r="J205" s="35"/>
      <c r="K205" s="34"/>
      <c r="L205" s="45">
        <f>Source!U55</f>
        <v>19.946474000000002</v>
      </c>
    </row>
    <row r="206" spans="1:26" ht="14.25" x14ac:dyDescent="0.2">
      <c r="A206" s="49" t="str">
        <f>Source!E56</f>
        <v>19,1</v>
      </c>
      <c r="B206" s="50" t="str">
        <f>Source!F56</f>
        <v>11.1.01.10</v>
      </c>
      <c r="C206" s="50" t="str">
        <f>Source!G56</f>
        <v>Наличники</v>
      </c>
      <c r="D206" s="33" t="str">
        <f>Source!H56</f>
        <v>м</v>
      </c>
      <c r="E206" s="11">
        <f>Source!I56</f>
        <v>248.416</v>
      </c>
      <c r="F206" s="34">
        <f>Source!AL56+Source!AM56+Source!AO56</f>
        <v>0</v>
      </c>
      <c r="G206" s="48" t="s">
        <v>6</v>
      </c>
      <c r="H206" s="34">
        <f>ROUND(Source!AC56*Source!I56, 2)+ROUND(Source!AD56*Source!I56, 2)+ROUND(Source!AF56*Source!I56, 2)</f>
        <v>0</v>
      </c>
      <c r="I206" s="35"/>
      <c r="J206" s="35">
        <f>IF(Source!BC56&lt;&gt; 0, Source!BC56, 1)</f>
        <v>7.13</v>
      </c>
      <c r="K206" s="34">
        <f>Source!O56</f>
        <v>0</v>
      </c>
      <c r="L206" s="36"/>
      <c r="S206">
        <f>ROUND((Source!FX56/100)*((ROUND(Source!AF56*Source!I56, 2)+ROUND(Source!AE56*Source!I56, 2))), 2)</f>
        <v>0</v>
      </c>
      <c r="T206">
        <f>Source!X56</f>
        <v>0</v>
      </c>
      <c r="U206">
        <f>ROUND((Source!FY56/100)*((ROUND(Source!AF56*Source!I56, 2)+ROUND(Source!AE56*Source!I56, 2))), 2)</f>
        <v>0</v>
      </c>
      <c r="V206">
        <f>Source!Y56</f>
        <v>0</v>
      </c>
      <c r="W206">
        <f>IF(Source!BI56&lt;=1,H206, 0)</f>
        <v>0</v>
      </c>
      <c r="X206">
        <f>IF(Source!BI56=2,H206, 0)</f>
        <v>0</v>
      </c>
      <c r="Y206">
        <f>IF(Source!BI56=3,H206, 0)</f>
        <v>0</v>
      </c>
      <c r="Z206">
        <f>IF(Source!BI56=4,H206, 0)</f>
        <v>0</v>
      </c>
    </row>
    <row r="207" spans="1:26" ht="28.5" x14ac:dyDescent="0.2">
      <c r="A207" s="49" t="str">
        <f>Source!E57</f>
        <v>19,2</v>
      </c>
      <c r="B207" s="50" t="str">
        <f>Source!F57</f>
        <v>11.1.01.10-0003</v>
      </c>
      <c r="C207" s="50" t="str">
        <f>Source!G57</f>
        <v>Наличники из древесины</v>
      </c>
      <c r="D207" s="33" t="str">
        <f>Source!H57</f>
        <v>м</v>
      </c>
      <c r="E207" s="11">
        <f>Source!I57</f>
        <v>102</v>
      </c>
      <c r="F207" s="34">
        <f>Source!AL57+Source!AM57+Source!AO57</f>
        <v>3.93</v>
      </c>
      <c r="G207" s="48" t="s">
        <v>6</v>
      </c>
      <c r="H207" s="34">
        <f>ROUND(Source!AC57*Source!I57, 2)+ROUND(Source!AD57*Source!I57, 2)+ROUND(Source!AF57*Source!I57, 2)</f>
        <v>400.86</v>
      </c>
      <c r="I207" s="35"/>
      <c r="J207" s="35">
        <f>IF(Source!BC57&lt;&gt; 0, Source!BC57, 1)</f>
        <v>7.13</v>
      </c>
      <c r="K207" s="34">
        <f>Source!O57</f>
        <v>2858.13</v>
      </c>
      <c r="L207" s="36"/>
      <c r="S207">
        <f>ROUND((Source!FX57/100)*((ROUND(Source!AF57*Source!I57, 2)+ROUND(Source!AE57*Source!I57, 2))), 2)</f>
        <v>0</v>
      </c>
      <c r="T207">
        <f>Source!X57</f>
        <v>0</v>
      </c>
      <c r="U207">
        <f>ROUND((Source!FY57/100)*((ROUND(Source!AF57*Source!I57, 2)+ROUND(Source!AE57*Source!I57, 2))), 2)</f>
        <v>0</v>
      </c>
      <c r="V207">
        <f>Source!Y57</f>
        <v>0</v>
      </c>
      <c r="W207">
        <f>IF(Source!BI57&lt;=1,H207, 0)</f>
        <v>400.86</v>
      </c>
      <c r="X207">
        <f>IF(Source!BI57=2,H207, 0)</f>
        <v>0</v>
      </c>
      <c r="Y207">
        <f>IF(Source!BI57=3,H207, 0)</f>
        <v>0</v>
      </c>
      <c r="Z207">
        <f>IF(Source!BI57=4,H207, 0)</f>
        <v>0</v>
      </c>
    </row>
    <row r="208" spans="1:26" ht="28.5" x14ac:dyDescent="0.2">
      <c r="A208" s="51" t="str">
        <f>Source!E58</f>
        <v>19,3</v>
      </c>
      <c r="B208" s="52" t="str">
        <f>Source!F58</f>
        <v>11.3.03.02-0001</v>
      </c>
      <c r="C208" s="52" t="str">
        <f>Source!G58</f>
        <v>Наличники из ПВХ</v>
      </c>
      <c r="D208" s="39" t="str">
        <f>Source!H58</f>
        <v>м</v>
      </c>
      <c r="E208" s="40">
        <f>Source!I58</f>
        <v>119.8</v>
      </c>
      <c r="F208" s="41">
        <f>Source!AL58+Source!AM58+Source!AO58</f>
        <v>19.37</v>
      </c>
      <c r="G208" s="46" t="s">
        <v>6</v>
      </c>
      <c r="H208" s="41">
        <f>ROUND(Source!AC58*Source!I58, 2)+ROUND(Source!AD58*Source!I58, 2)+ROUND(Source!AF58*Source!I58, 2)</f>
        <v>2320.5300000000002</v>
      </c>
      <c r="I208" s="42"/>
      <c r="J208" s="42">
        <f>IF(Source!BC58&lt;&gt; 0, Source!BC58, 1)</f>
        <v>7.13</v>
      </c>
      <c r="K208" s="41">
        <f>Source!O58</f>
        <v>16545.349999999999</v>
      </c>
      <c r="L208" s="47"/>
      <c r="S208">
        <f>ROUND((Source!FX58/100)*((ROUND(Source!AF58*Source!I58, 2)+ROUND(Source!AE58*Source!I58, 2))), 2)</f>
        <v>0</v>
      </c>
      <c r="T208">
        <f>Source!X58</f>
        <v>0</v>
      </c>
      <c r="U208">
        <f>ROUND((Source!FY58/100)*((ROUND(Source!AF58*Source!I58, 2)+ROUND(Source!AE58*Source!I58, 2))), 2)</f>
        <v>0</v>
      </c>
      <c r="V208">
        <f>Source!Y58</f>
        <v>0</v>
      </c>
      <c r="W208">
        <f>IF(Source!BI58&lt;=1,H208, 0)</f>
        <v>2320.5300000000002</v>
      </c>
      <c r="X208">
        <f>IF(Source!BI58=2,H208, 0)</f>
        <v>0</v>
      </c>
      <c r="Y208">
        <f>IF(Source!BI58=3,H208, 0)</f>
        <v>0</v>
      </c>
      <c r="Z208">
        <f>IF(Source!BI58=4,H208, 0)</f>
        <v>0</v>
      </c>
    </row>
    <row r="209" spans="1:26" ht="15" x14ac:dyDescent="0.25">
      <c r="G209" s="87">
        <f>H199+H200+H202+H203+H204+SUM(H206:H208)</f>
        <v>3172.8900000000003</v>
      </c>
      <c r="H209" s="87"/>
      <c r="J209" s="87">
        <f>K199+K200+K202+K203+K204+SUM(K206:K208)</f>
        <v>22625.489999999998</v>
      </c>
      <c r="K209" s="87"/>
      <c r="L209" s="44">
        <f>Source!U55</f>
        <v>19.946474000000002</v>
      </c>
      <c r="O209" s="27">
        <f>G209</f>
        <v>3172.8900000000003</v>
      </c>
      <c r="P209" s="27">
        <f>J209</f>
        <v>22625.489999999998</v>
      </c>
      <c r="Q209" s="27">
        <f>L209</f>
        <v>19.946474000000002</v>
      </c>
      <c r="W209">
        <f>IF(Source!BI55&lt;=1,H199+H200+H202+H203+H204, 0)</f>
        <v>451.5</v>
      </c>
      <c r="X209">
        <f>IF(Source!BI55=2,H199+H200+H202+H203+H204, 0)</f>
        <v>0</v>
      </c>
      <c r="Y209">
        <f>IF(Source!BI55=3,H199+H200+H202+H203+H204, 0)</f>
        <v>0</v>
      </c>
      <c r="Z209">
        <f>IF(Source!BI55=4,H199+H200+H202+H203+H204, 0)</f>
        <v>0</v>
      </c>
    </row>
    <row r="210" spans="1:26" ht="57" x14ac:dyDescent="0.2">
      <c r="A210" s="49" t="str">
        <f>Source!E59</f>
        <v>20</v>
      </c>
      <c r="B210" s="50" t="str">
        <f>Source!F59</f>
        <v>10-01-039-01</v>
      </c>
      <c r="C210" s="50" t="str">
        <f>Source!G59</f>
        <v>Установка блоков в наружных и внутренних дверных проемах в каменных стенах, площадь проема до 3 м2</v>
      </c>
      <c r="D210" s="33" t="str">
        <f>Source!H59</f>
        <v>100 м2</v>
      </c>
      <c r="E210" s="11">
        <f>Source!I59</f>
        <v>0.34860000000000002</v>
      </c>
      <c r="F210" s="34">
        <f>Source!AL59+Source!AM59+Source!AO59</f>
        <v>3493.69</v>
      </c>
      <c r="G210" s="35"/>
      <c r="H210" s="34"/>
      <c r="I210" s="35" t="str">
        <f>Source!BO59</f>
        <v/>
      </c>
      <c r="J210" s="35"/>
      <c r="K210" s="34"/>
      <c r="L210" s="36"/>
      <c r="S210">
        <f>ROUND((Source!FX59/100)*((ROUND(Source!AF59*Source!I59, 2)+ROUND(Source!AE59*Source!I59, 2))), 2)</f>
        <v>421.14</v>
      </c>
      <c r="T210">
        <f>Source!X59</f>
        <v>2997.04</v>
      </c>
      <c r="U210">
        <f>ROUND((Source!FY59/100)*((ROUND(Source!AF59*Source!I59, 2)+ROUND(Source!AE59*Source!I59, 2))), 2)</f>
        <v>212.35</v>
      </c>
      <c r="V210">
        <f>Source!Y59</f>
        <v>1526.8</v>
      </c>
    </row>
    <row r="211" spans="1:26" x14ac:dyDescent="0.2">
      <c r="C211" s="26" t="str">
        <f>"Объем: "&amp;Source!I59&amp;"=34,86/"&amp;"100"</f>
        <v>Объем: 0,3486=34,86/100</v>
      </c>
    </row>
    <row r="212" spans="1:26" ht="14.25" x14ac:dyDescent="0.2">
      <c r="A212" s="49"/>
      <c r="B212" s="50"/>
      <c r="C212" s="50" t="s">
        <v>1783</v>
      </c>
      <c r="D212" s="33"/>
      <c r="E212" s="11"/>
      <c r="F212" s="34">
        <f>Source!AO59</f>
        <v>821.89</v>
      </c>
      <c r="G212" s="35" t="str">
        <f>Source!DG59</f>
        <v>)*1,15</v>
      </c>
      <c r="H212" s="34">
        <f>ROUND(Source!AF59*Source!I59, 2)</f>
        <v>329.49</v>
      </c>
      <c r="I212" s="35"/>
      <c r="J212" s="35">
        <f>IF(Source!BA59&lt;&gt; 0, Source!BA59, 1)</f>
        <v>7.13</v>
      </c>
      <c r="K212" s="34">
        <f>Source!S59</f>
        <v>2349.2399999999998</v>
      </c>
      <c r="L212" s="36"/>
      <c r="R212">
        <f>H212</f>
        <v>329.49</v>
      </c>
    </row>
    <row r="213" spans="1:26" ht="14.25" x14ac:dyDescent="0.2">
      <c r="A213" s="49"/>
      <c r="B213" s="50"/>
      <c r="C213" s="50" t="s">
        <v>449</v>
      </c>
      <c r="D213" s="33"/>
      <c r="E213" s="11"/>
      <c r="F213" s="34">
        <f>Source!AM59</f>
        <v>967.98</v>
      </c>
      <c r="G213" s="35" t="str">
        <f>Source!DE59</f>
        <v>)*1,25</v>
      </c>
      <c r="H213" s="34">
        <f>ROUND(Source!AD59*Source!I59, 2)</f>
        <v>421.8</v>
      </c>
      <c r="I213" s="35"/>
      <c r="J213" s="35">
        <f>IF(Source!BB59&lt;&gt; 0, Source!BB59, 1)</f>
        <v>7.13</v>
      </c>
      <c r="K213" s="34">
        <f>Source!Q59</f>
        <v>3007.43</v>
      </c>
      <c r="L213" s="36"/>
    </row>
    <row r="214" spans="1:26" ht="14.25" x14ac:dyDescent="0.2">
      <c r="A214" s="49"/>
      <c r="B214" s="50"/>
      <c r="C214" s="50" t="s">
        <v>1784</v>
      </c>
      <c r="D214" s="33"/>
      <c r="E214" s="11"/>
      <c r="F214" s="34">
        <f>Source!AN59</f>
        <v>153.9</v>
      </c>
      <c r="G214" s="35" t="str">
        <f>Source!DF59</f>
        <v>)*1,25</v>
      </c>
      <c r="H214" s="37">
        <f>ROUND(Source!AE59*Source!I59, 2)</f>
        <v>67.06</v>
      </c>
      <c r="I214" s="35"/>
      <c r="J214" s="35">
        <f>IF(Source!BS59&lt;&gt; 0, Source!BS59, 1)</f>
        <v>7.13</v>
      </c>
      <c r="K214" s="37">
        <f>Source!R59</f>
        <v>478.16</v>
      </c>
      <c r="L214" s="36"/>
      <c r="R214">
        <f>H214</f>
        <v>67.06</v>
      </c>
    </row>
    <row r="215" spans="1:26" ht="14.25" x14ac:dyDescent="0.2">
      <c r="A215" s="49"/>
      <c r="B215" s="50"/>
      <c r="C215" s="50" t="s">
        <v>1790</v>
      </c>
      <c r="D215" s="33"/>
      <c r="E215" s="11"/>
      <c r="F215" s="34">
        <f>Source!AL59</f>
        <v>1703.82</v>
      </c>
      <c r="G215" s="35" t="str">
        <f>Source!DD59</f>
        <v/>
      </c>
      <c r="H215" s="34">
        <f>ROUND(Source!AC59*Source!I59, 2)</f>
        <v>593.95000000000005</v>
      </c>
      <c r="I215" s="35"/>
      <c r="J215" s="35">
        <f>IF(Source!BC59&lt;&gt; 0, Source!BC59, 1)</f>
        <v>7.13</v>
      </c>
      <c r="K215" s="34">
        <f>Source!P59</f>
        <v>4234.88</v>
      </c>
      <c r="L215" s="36"/>
    </row>
    <row r="216" spans="1:26" ht="14.25" x14ac:dyDescent="0.2">
      <c r="A216" s="49"/>
      <c r="B216" s="50"/>
      <c r="C216" s="50" t="s">
        <v>1785</v>
      </c>
      <c r="D216" s="33" t="s">
        <v>1786</v>
      </c>
      <c r="E216" s="11">
        <f>Source!BZ59</f>
        <v>118</v>
      </c>
      <c r="F216" s="81" t="str">
        <f>CONCATENATE(" )", Source!DL59, Source!FT59, "=", Source!FX59)</f>
        <v xml:space="preserve"> )*0,9=106,2</v>
      </c>
      <c r="G216" s="88"/>
      <c r="H216" s="34">
        <f>SUM(S210:S221)</f>
        <v>421.14</v>
      </c>
      <c r="I216" s="38"/>
      <c r="J216" s="31">
        <f>Source!AT59</f>
        <v>106</v>
      </c>
      <c r="K216" s="34">
        <f>SUM(T210:T221)</f>
        <v>2997.04</v>
      </c>
      <c r="L216" s="36"/>
    </row>
    <row r="217" spans="1:26" ht="14.25" x14ac:dyDescent="0.2">
      <c r="A217" s="49"/>
      <c r="B217" s="50"/>
      <c r="C217" s="50" t="s">
        <v>1787</v>
      </c>
      <c r="D217" s="33" t="s">
        <v>1786</v>
      </c>
      <c r="E217" s="11">
        <f>Source!CA59</f>
        <v>63</v>
      </c>
      <c r="F217" s="81" t="str">
        <f>CONCATENATE(" )", Source!DM59, Source!FU59, "=", Source!FY59)</f>
        <v xml:space="preserve"> )*0,85=53,55</v>
      </c>
      <c r="G217" s="88"/>
      <c r="H217" s="34">
        <f>SUM(U210:U221)</f>
        <v>212.35</v>
      </c>
      <c r="I217" s="38"/>
      <c r="J217" s="31">
        <f>Source!AU59</f>
        <v>54</v>
      </c>
      <c r="K217" s="34">
        <f>SUM(V210:V221)</f>
        <v>1526.8</v>
      </c>
      <c r="L217" s="36"/>
    </row>
    <row r="218" spans="1:26" ht="14.25" x14ac:dyDescent="0.2">
      <c r="A218" s="49"/>
      <c r="B218" s="50"/>
      <c r="C218" s="50" t="s">
        <v>1788</v>
      </c>
      <c r="D218" s="33" t="s">
        <v>1789</v>
      </c>
      <c r="E218" s="11">
        <f>Source!AQ59</f>
        <v>89.53</v>
      </c>
      <c r="F218" s="34"/>
      <c r="G218" s="35" t="str">
        <f>Source!DI59</f>
        <v>)*1,15</v>
      </c>
      <c r="H218" s="34"/>
      <c r="I218" s="35"/>
      <c r="J218" s="35"/>
      <c r="K218" s="34"/>
      <c r="L218" s="45">
        <f>Source!U59</f>
        <v>35.891681699999999</v>
      </c>
    </row>
    <row r="219" spans="1:26" ht="28.5" x14ac:dyDescent="0.2">
      <c r="A219" s="49" t="str">
        <f>Source!E60</f>
        <v>20,1</v>
      </c>
      <c r="B219" s="50" t="str">
        <f>Source!F60</f>
        <v>01.7.04.07-0011</v>
      </c>
      <c r="C219" s="50" t="str">
        <f>Source!G60</f>
        <v>Скобяные изделия для блоков входных однопольных</v>
      </c>
      <c r="D219" s="33" t="str">
        <f>Source!H60</f>
        <v>компл.</v>
      </c>
      <c r="E219" s="11">
        <f>Source!I60</f>
        <v>22</v>
      </c>
      <c r="F219" s="34">
        <f>Source!AL60+Source!AM60+Source!AO60</f>
        <v>94.68</v>
      </c>
      <c r="G219" s="48" t="s">
        <v>6</v>
      </c>
      <c r="H219" s="34">
        <f>ROUND(Source!AC60*Source!I60, 2)+ROUND(Source!AD60*Source!I60, 2)+ROUND(Source!AF60*Source!I60, 2)</f>
        <v>2082.96</v>
      </c>
      <c r="I219" s="35"/>
      <c r="J219" s="35">
        <f>IF(Source!BC60&lt;&gt; 0, Source!BC60, 1)</f>
        <v>7.13</v>
      </c>
      <c r="K219" s="34">
        <f>Source!O60</f>
        <v>14851.5</v>
      </c>
      <c r="L219" s="36"/>
      <c r="S219">
        <f>ROUND((Source!FX60/100)*((ROUND(Source!AF60*Source!I60, 2)+ROUND(Source!AE60*Source!I60, 2))), 2)</f>
        <v>0</v>
      </c>
      <c r="T219">
        <f>Source!X60</f>
        <v>0</v>
      </c>
      <c r="U219">
        <f>ROUND((Source!FY60/100)*((ROUND(Source!AF60*Source!I60, 2)+ROUND(Source!AE60*Source!I60, 2))), 2)</f>
        <v>0</v>
      </c>
      <c r="V219">
        <f>Source!Y60</f>
        <v>0</v>
      </c>
      <c r="W219">
        <f>IF(Source!BI60&lt;=1,H219, 0)</f>
        <v>2082.96</v>
      </c>
      <c r="X219">
        <f>IF(Source!BI60=2,H219, 0)</f>
        <v>0</v>
      </c>
      <c r="Y219">
        <f>IF(Source!BI60=3,H219, 0)</f>
        <v>0</v>
      </c>
      <c r="Z219">
        <f>IF(Source!BI60=4,H219, 0)</f>
        <v>0</v>
      </c>
    </row>
    <row r="220" spans="1:26" ht="71.25" x14ac:dyDescent="0.2">
      <c r="A220" s="49" t="str">
        <f>Source!E61</f>
        <v>20,2</v>
      </c>
      <c r="B220" s="50" t="str">
        <f>Source!F61</f>
        <v>11.3.01.05-0021</v>
      </c>
      <c r="C220" s="50" t="str">
        <f>Source!G61</f>
        <v>Двери композитные "КАПЕЛЬ" (полотно, коробка, 2 петли, магнитный механизм замка)  с вентиляционной решеткой (7 шт), с ограничителем открывания (10 шт)</v>
      </c>
      <c r="D220" s="33" t="str">
        <f>Source!H61</f>
        <v>компл.</v>
      </c>
      <c r="E220" s="11">
        <f>Source!I61</f>
        <v>10</v>
      </c>
      <c r="F220" s="34">
        <f>Source!AL61+Source!AM61+Source!AO61</f>
        <v>764.1</v>
      </c>
      <c r="G220" s="48" t="s">
        <v>6</v>
      </c>
      <c r="H220" s="34">
        <f>ROUND(Source!AC61*Source!I61, 2)+ROUND(Source!AD61*Source!I61, 2)+ROUND(Source!AF61*Source!I61, 2)</f>
        <v>7641</v>
      </c>
      <c r="I220" s="35"/>
      <c r="J220" s="35">
        <f>IF(Source!BC61&lt;&gt; 0, Source!BC61, 1)</f>
        <v>7.13</v>
      </c>
      <c r="K220" s="34">
        <f>Source!O61</f>
        <v>54480.33</v>
      </c>
      <c r="L220" s="36"/>
      <c r="S220">
        <f>ROUND((Source!FX61/100)*((ROUND(Source!AF61*Source!I61, 2)+ROUND(Source!AE61*Source!I61, 2))), 2)</f>
        <v>0</v>
      </c>
      <c r="T220">
        <f>Source!X61</f>
        <v>0</v>
      </c>
      <c r="U220">
        <f>ROUND((Source!FY61/100)*((ROUND(Source!AF61*Source!I61, 2)+ROUND(Source!AE61*Source!I61, 2))), 2)</f>
        <v>0</v>
      </c>
      <c r="V220">
        <f>Source!Y61</f>
        <v>0</v>
      </c>
      <c r="W220">
        <f>IF(Source!BI61&lt;=1,H220, 0)</f>
        <v>7641</v>
      </c>
      <c r="X220">
        <f>IF(Source!BI61=2,H220, 0)</f>
        <v>0</v>
      </c>
      <c r="Y220">
        <f>IF(Source!BI61=3,H220, 0)</f>
        <v>0</v>
      </c>
      <c r="Z220">
        <f>IF(Source!BI61=4,H220, 0)</f>
        <v>0</v>
      </c>
    </row>
    <row r="221" spans="1:26" ht="57" x14ac:dyDescent="0.2">
      <c r="A221" s="51" t="str">
        <f>Source!E62</f>
        <v>20,3</v>
      </c>
      <c r="B221" s="52" t="str">
        <f>Source!F62</f>
        <v>11.2.02.01-0072</v>
      </c>
      <c r="C221" s="52" t="str">
        <f>Source!G62</f>
        <v>Блоки дверные однопольные с полотном глухим ДГ 21-9, площадь 1,80 м2; ДГ 21-10, площадь 2,01 м2 с ограничителем открывания (10 шт)</v>
      </c>
      <c r="D221" s="39" t="str">
        <f>Source!H62</f>
        <v>м2</v>
      </c>
      <c r="E221" s="40">
        <f>Source!I62</f>
        <v>18.899999999999999</v>
      </c>
      <c r="F221" s="41">
        <f>Source!AL62+Source!AM62+Source!AO62</f>
        <v>214.7</v>
      </c>
      <c r="G221" s="46" t="s">
        <v>6</v>
      </c>
      <c r="H221" s="41">
        <f>ROUND(Source!AC62*Source!I62, 2)+ROUND(Source!AD62*Source!I62, 2)+ROUND(Source!AF62*Source!I62, 2)</f>
        <v>4057.83</v>
      </c>
      <c r="I221" s="42"/>
      <c r="J221" s="42">
        <f>IF(Source!BC62&lt;&gt; 0, Source!BC62, 1)</f>
        <v>7.13</v>
      </c>
      <c r="K221" s="41">
        <f>Source!O62</f>
        <v>28932.33</v>
      </c>
      <c r="L221" s="47"/>
      <c r="S221">
        <f>ROUND((Source!FX62/100)*((ROUND(Source!AF62*Source!I62, 2)+ROUND(Source!AE62*Source!I62, 2))), 2)</f>
        <v>0</v>
      </c>
      <c r="T221">
        <f>Source!X62</f>
        <v>0</v>
      </c>
      <c r="U221">
        <f>ROUND((Source!FY62/100)*((ROUND(Source!AF62*Source!I62, 2)+ROUND(Source!AE62*Source!I62, 2))), 2)</f>
        <v>0</v>
      </c>
      <c r="V221">
        <f>Source!Y62</f>
        <v>0</v>
      </c>
      <c r="W221">
        <f>IF(Source!BI62&lt;=1,H221, 0)</f>
        <v>4057.83</v>
      </c>
      <c r="X221">
        <f>IF(Source!BI62=2,H221, 0)</f>
        <v>0</v>
      </c>
      <c r="Y221">
        <f>IF(Source!BI62=3,H221, 0)</f>
        <v>0</v>
      </c>
      <c r="Z221">
        <f>IF(Source!BI62=4,H221, 0)</f>
        <v>0</v>
      </c>
    </row>
    <row r="222" spans="1:26" ht="15" x14ac:dyDescent="0.25">
      <c r="G222" s="87">
        <f>H212+H213+H215+H216+H217+SUM(H219:H221)</f>
        <v>15760.519999999999</v>
      </c>
      <c r="H222" s="87"/>
      <c r="J222" s="87">
        <f>K212+K213+K215+K216+K217+SUM(K219:K221)</f>
        <v>112379.55</v>
      </c>
      <c r="K222" s="87"/>
      <c r="L222" s="44">
        <f>Source!U59</f>
        <v>35.891681699999999</v>
      </c>
      <c r="O222" s="27">
        <f>G222</f>
        <v>15760.519999999999</v>
      </c>
      <c r="P222" s="27">
        <f>J222</f>
        <v>112379.55</v>
      </c>
      <c r="Q222" s="27">
        <f>L222</f>
        <v>35.891681699999999</v>
      </c>
      <c r="W222">
        <f>IF(Source!BI59&lt;=1,H212+H213+H215+H216+H217, 0)</f>
        <v>1978.73</v>
      </c>
      <c r="X222">
        <f>IF(Source!BI59=2,H212+H213+H215+H216+H217, 0)</f>
        <v>0</v>
      </c>
      <c r="Y222">
        <f>IF(Source!BI59=3,H212+H213+H215+H216+H217, 0)</f>
        <v>0</v>
      </c>
      <c r="Z222">
        <f>IF(Source!BI59=4,H212+H213+H215+H216+H217, 0)</f>
        <v>0</v>
      </c>
    </row>
    <row r="223" spans="1:26" ht="28.5" x14ac:dyDescent="0.2">
      <c r="A223" s="49" t="str">
        <f>Source!E63</f>
        <v>21</v>
      </c>
      <c r="B223" s="50" t="str">
        <f>Source!F63</f>
        <v>09-04-012-01</v>
      </c>
      <c r="C223" s="50" t="str">
        <f>Source!G63</f>
        <v>Установка металлических дверных блоков в готовые проемы</v>
      </c>
      <c r="D223" s="33" t="str">
        <f>Source!H63</f>
        <v>м2</v>
      </c>
      <c r="E223" s="11">
        <f>Source!I63</f>
        <v>3.78</v>
      </c>
      <c r="F223" s="34">
        <f>Source!AL63+Source!AM63+Source!AO63</f>
        <v>63.94</v>
      </c>
      <c r="G223" s="35"/>
      <c r="H223" s="34"/>
      <c r="I223" s="35" t="str">
        <f>Source!BO63</f>
        <v/>
      </c>
      <c r="J223" s="35"/>
      <c r="K223" s="34"/>
      <c r="L223" s="36"/>
      <c r="S223">
        <f>ROUND((Source!FX63/100)*((ROUND(Source!AF63*Source!I63, 2)+ROUND(Source!AE63*Source!I63, 2))), 2)</f>
        <v>91.37</v>
      </c>
      <c r="T223">
        <f>Source!X63</f>
        <v>651.42999999999995</v>
      </c>
      <c r="U223">
        <f>ROUND((Source!FY63/100)*((ROUND(Source!AF63*Source!I63, 2)+ROUND(Source!AE63*Source!I63, 2))), 2)</f>
        <v>81.5</v>
      </c>
      <c r="V223">
        <f>Source!Y63</f>
        <v>579.04999999999995</v>
      </c>
    </row>
    <row r="224" spans="1:26" ht="14.25" x14ac:dyDescent="0.2">
      <c r="A224" s="49"/>
      <c r="B224" s="50"/>
      <c r="C224" s="50" t="s">
        <v>1783</v>
      </c>
      <c r="D224" s="33"/>
      <c r="E224" s="11"/>
      <c r="F224" s="34">
        <f>Source!AO63</f>
        <v>23.81</v>
      </c>
      <c r="G224" s="35" t="str">
        <f>Source!DG63</f>
        <v>)*1,15</v>
      </c>
      <c r="H224" s="34">
        <f>ROUND(Source!AF63*Source!I63, 2)</f>
        <v>103.5</v>
      </c>
      <c r="I224" s="35"/>
      <c r="J224" s="35">
        <f>IF(Source!BA63&lt;&gt; 0, Source!BA63, 1)</f>
        <v>7.13</v>
      </c>
      <c r="K224" s="34">
        <f>Source!S63</f>
        <v>737.93</v>
      </c>
      <c r="L224" s="36"/>
      <c r="R224">
        <f>H224</f>
        <v>103.5</v>
      </c>
    </row>
    <row r="225" spans="1:26" ht="14.25" x14ac:dyDescent="0.2">
      <c r="A225" s="49"/>
      <c r="B225" s="50"/>
      <c r="C225" s="50" t="s">
        <v>449</v>
      </c>
      <c r="D225" s="33"/>
      <c r="E225" s="11"/>
      <c r="F225" s="34">
        <f>Source!AM63</f>
        <v>14.41</v>
      </c>
      <c r="G225" s="35" t="str">
        <f>Source!DE63</f>
        <v>)*1,25</v>
      </c>
      <c r="H225" s="34">
        <f>ROUND(Source!AD63*Source!I63, 2)</f>
        <v>68.08</v>
      </c>
      <c r="I225" s="35"/>
      <c r="J225" s="35">
        <f>IF(Source!BB63&lt;&gt; 0, Source!BB63, 1)</f>
        <v>7.13</v>
      </c>
      <c r="K225" s="34">
        <f>Source!Q63</f>
        <v>485.39</v>
      </c>
      <c r="L225" s="36"/>
    </row>
    <row r="226" spans="1:26" ht="14.25" x14ac:dyDescent="0.2">
      <c r="A226" s="49"/>
      <c r="B226" s="50"/>
      <c r="C226" s="50" t="s">
        <v>1784</v>
      </c>
      <c r="D226" s="33"/>
      <c r="E226" s="11"/>
      <c r="F226" s="34">
        <f>Source!AN63</f>
        <v>1.97</v>
      </c>
      <c r="G226" s="35" t="str">
        <f>Source!DF63</f>
        <v>)*1,25</v>
      </c>
      <c r="H226" s="37">
        <f>ROUND(Source!AE63*Source!I63, 2)</f>
        <v>9.3000000000000007</v>
      </c>
      <c r="I226" s="35"/>
      <c r="J226" s="35">
        <f>IF(Source!BS63&lt;&gt; 0, Source!BS63, 1)</f>
        <v>7.13</v>
      </c>
      <c r="K226" s="37">
        <f>Source!R63</f>
        <v>66.3</v>
      </c>
      <c r="L226" s="36"/>
      <c r="R226">
        <f>H226</f>
        <v>9.3000000000000007</v>
      </c>
    </row>
    <row r="227" spans="1:26" ht="14.25" x14ac:dyDescent="0.2">
      <c r="A227" s="49"/>
      <c r="B227" s="50"/>
      <c r="C227" s="50" t="s">
        <v>1790</v>
      </c>
      <c r="D227" s="33"/>
      <c r="E227" s="11"/>
      <c r="F227" s="34">
        <f>Source!AL63</f>
        <v>25.72</v>
      </c>
      <c r="G227" s="35" t="str">
        <f>Source!DD63</f>
        <v/>
      </c>
      <c r="H227" s="34">
        <f>ROUND(Source!AC63*Source!I63, 2)</f>
        <v>97.22</v>
      </c>
      <c r="I227" s="35"/>
      <c r="J227" s="35">
        <f>IF(Source!BC63&lt;&gt; 0, Source!BC63, 1)</f>
        <v>7.13</v>
      </c>
      <c r="K227" s="34">
        <f>Source!P63</f>
        <v>693.19</v>
      </c>
      <c r="L227" s="36"/>
    </row>
    <row r="228" spans="1:26" ht="14.25" x14ac:dyDescent="0.2">
      <c r="A228" s="49"/>
      <c r="B228" s="50"/>
      <c r="C228" s="50" t="s">
        <v>1785</v>
      </c>
      <c r="D228" s="33" t="s">
        <v>1786</v>
      </c>
      <c r="E228" s="11">
        <f>Source!BZ63</f>
        <v>90</v>
      </c>
      <c r="F228" s="81" t="str">
        <f>CONCATENATE(" )", Source!DL63, Source!FT63, "=", Source!FX63)</f>
        <v xml:space="preserve"> )*0,9=81</v>
      </c>
      <c r="G228" s="88"/>
      <c r="H228" s="34">
        <f>SUM(S223:S231)</f>
        <v>91.37</v>
      </c>
      <c r="I228" s="38"/>
      <c r="J228" s="31">
        <f>Source!AT63</f>
        <v>81</v>
      </c>
      <c r="K228" s="34">
        <f>SUM(T223:T231)</f>
        <v>651.42999999999995</v>
      </c>
      <c r="L228" s="36"/>
    </row>
    <row r="229" spans="1:26" ht="14.25" x14ac:dyDescent="0.2">
      <c r="A229" s="49"/>
      <c r="B229" s="50"/>
      <c r="C229" s="50" t="s">
        <v>1787</v>
      </c>
      <c r="D229" s="33" t="s">
        <v>1786</v>
      </c>
      <c r="E229" s="11">
        <f>Source!CA63</f>
        <v>85</v>
      </c>
      <c r="F229" s="81" t="str">
        <f>CONCATENATE(" )", Source!DM63, Source!FU63, "=", Source!FY63)</f>
        <v xml:space="preserve"> )*0,85=72,25</v>
      </c>
      <c r="G229" s="88"/>
      <c r="H229" s="34">
        <f>SUM(U223:U231)</f>
        <v>81.5</v>
      </c>
      <c r="I229" s="38"/>
      <c r="J229" s="31">
        <f>Source!AU63</f>
        <v>72</v>
      </c>
      <c r="K229" s="34">
        <f>SUM(V223:V231)</f>
        <v>579.04999999999995</v>
      </c>
      <c r="L229" s="36"/>
    </row>
    <row r="230" spans="1:26" ht="14.25" x14ac:dyDescent="0.2">
      <c r="A230" s="49"/>
      <c r="B230" s="50"/>
      <c r="C230" s="50" t="s">
        <v>1788</v>
      </c>
      <c r="D230" s="33" t="s">
        <v>1789</v>
      </c>
      <c r="E230" s="11">
        <f>Source!AQ63</f>
        <v>2.4</v>
      </c>
      <c r="F230" s="34"/>
      <c r="G230" s="35" t="str">
        <f>Source!DI63</f>
        <v>)*1,15</v>
      </c>
      <c r="H230" s="34"/>
      <c r="I230" s="35"/>
      <c r="J230" s="35"/>
      <c r="K230" s="34"/>
      <c r="L230" s="45">
        <f>Source!U63</f>
        <v>10.432799999999999</v>
      </c>
    </row>
    <row r="231" spans="1:26" ht="42.75" x14ac:dyDescent="0.2">
      <c r="A231" s="51" t="str">
        <f>Source!E64</f>
        <v>21,1</v>
      </c>
      <c r="B231" s="52" t="str">
        <f>Source!F64</f>
        <v>07.1.01.03-0001</v>
      </c>
      <c r="C231" s="52" t="str">
        <f>Source!G64</f>
        <v>Блок дверной стальной внутренний однопольный ДСВ, площадь 2,1 м2 (ГОСТ 31173-2003)</v>
      </c>
      <c r="D231" s="39" t="str">
        <f>Source!H64</f>
        <v>м2</v>
      </c>
      <c r="E231" s="40">
        <f>Source!I64</f>
        <v>3.78</v>
      </c>
      <c r="F231" s="41">
        <f>Source!AL64+Source!AM64+Source!AO64</f>
        <v>1799.14</v>
      </c>
      <c r="G231" s="46" t="s">
        <v>6</v>
      </c>
      <c r="H231" s="41">
        <f>ROUND(Source!AC64*Source!I64, 2)+ROUND(Source!AD64*Source!I64, 2)+ROUND(Source!AF64*Source!I64, 2)</f>
        <v>6800.75</v>
      </c>
      <c r="I231" s="42"/>
      <c r="J231" s="42">
        <f>IF(Source!BC64&lt;&gt; 0, Source!BC64, 1)</f>
        <v>7.13</v>
      </c>
      <c r="K231" s="41">
        <f>Source!O64</f>
        <v>48489.34</v>
      </c>
      <c r="L231" s="47"/>
      <c r="S231">
        <f>ROUND((Source!FX64/100)*((ROUND(Source!AF64*Source!I64, 2)+ROUND(Source!AE64*Source!I64, 2))), 2)</f>
        <v>0</v>
      </c>
      <c r="T231">
        <f>Source!X64</f>
        <v>0</v>
      </c>
      <c r="U231">
        <f>ROUND((Source!FY64/100)*((ROUND(Source!AF64*Source!I64, 2)+ROUND(Source!AE64*Source!I64, 2))), 2)</f>
        <v>0</v>
      </c>
      <c r="V231">
        <f>Source!Y64</f>
        <v>0</v>
      </c>
      <c r="W231">
        <f>IF(Source!BI64&lt;=1,H231, 0)</f>
        <v>6800.75</v>
      </c>
      <c r="X231">
        <f>IF(Source!BI64=2,H231, 0)</f>
        <v>0</v>
      </c>
      <c r="Y231">
        <f>IF(Source!BI64=3,H231, 0)</f>
        <v>0</v>
      </c>
      <c r="Z231">
        <f>IF(Source!BI64=4,H231, 0)</f>
        <v>0</v>
      </c>
    </row>
    <row r="232" spans="1:26" ht="15" x14ac:dyDescent="0.25">
      <c r="G232" s="87">
        <f>H224+H225+H227+H228+H229+SUM(H231:H231)</f>
        <v>7242.42</v>
      </c>
      <c r="H232" s="87"/>
      <c r="J232" s="87">
        <f>K224+K225+K227+K228+K229+SUM(K231:K231)</f>
        <v>51636.329999999994</v>
      </c>
      <c r="K232" s="87"/>
      <c r="L232" s="44">
        <f>Source!U63</f>
        <v>10.432799999999999</v>
      </c>
      <c r="O232" s="27">
        <f>G232</f>
        <v>7242.42</v>
      </c>
      <c r="P232" s="27">
        <f>J232</f>
        <v>51636.329999999994</v>
      </c>
      <c r="Q232" s="27">
        <f>L232</f>
        <v>10.432799999999999</v>
      </c>
      <c r="W232">
        <f>IF(Source!BI63&lt;=1,H224+H225+H227+H228+H229, 0)</f>
        <v>441.66999999999996</v>
      </c>
      <c r="X232">
        <f>IF(Source!BI63=2,H224+H225+H227+H228+H229, 0)</f>
        <v>0</v>
      </c>
      <c r="Y232">
        <f>IF(Source!BI63=3,H224+H225+H227+H228+H229, 0)</f>
        <v>0</v>
      </c>
      <c r="Z232">
        <f>IF(Source!BI63=4,H224+H225+H227+H228+H229, 0)</f>
        <v>0</v>
      </c>
    </row>
    <row r="233" spans="1:26" ht="28.5" x14ac:dyDescent="0.2">
      <c r="A233" s="49" t="str">
        <f>Source!E65</f>
        <v>22</v>
      </c>
      <c r="B233" s="50" t="str">
        <f>Source!F65</f>
        <v>57-10-3</v>
      </c>
      <c r="C233" s="50" t="str">
        <f>Source!G65</f>
        <v>Заделка выбоин в полах цементных площадью до 1,0 м2</v>
      </c>
      <c r="D233" s="33" t="str">
        <f>Source!H65</f>
        <v>100 мест</v>
      </c>
      <c r="E233" s="11">
        <f>Source!I65</f>
        <v>0.06</v>
      </c>
      <c r="F233" s="34">
        <f>Source!AL65+Source!AM65+Source!AO65</f>
        <v>1106.8800000000001</v>
      </c>
      <c r="G233" s="35"/>
      <c r="H233" s="34"/>
      <c r="I233" s="35" t="str">
        <f>Source!BO65</f>
        <v/>
      </c>
      <c r="J233" s="35"/>
      <c r="K233" s="34"/>
      <c r="L233" s="36"/>
      <c r="S233">
        <f>ROUND((Source!FX65/100)*((ROUND(Source!AF65*Source!I65, 2)+ROUND(Source!AE65*Source!I65, 2))), 2)</f>
        <v>50.86</v>
      </c>
      <c r="T233">
        <f>Source!X65</f>
        <v>362.66</v>
      </c>
      <c r="U233">
        <f>ROUND((Source!FY65/100)*((ROUND(Source!AF65*Source!I65, 2)+ROUND(Source!AE65*Source!I65, 2))), 2)</f>
        <v>43.23</v>
      </c>
      <c r="V233">
        <f>Source!Y65</f>
        <v>308.26</v>
      </c>
    </row>
    <row r="234" spans="1:26" x14ac:dyDescent="0.2">
      <c r="C234" s="26" t="str">
        <f>"Объем: "&amp;Source!I65&amp;"=6/"&amp;"100"</f>
        <v>Объем: 0,06=6/100</v>
      </c>
    </row>
    <row r="235" spans="1:26" ht="14.25" x14ac:dyDescent="0.2">
      <c r="A235" s="49"/>
      <c r="B235" s="50"/>
      <c r="C235" s="50" t="s">
        <v>1783</v>
      </c>
      <c r="D235" s="33"/>
      <c r="E235" s="11"/>
      <c r="F235" s="34">
        <f>Source!AO65</f>
        <v>1059.68</v>
      </c>
      <c r="G235" s="35" t="str">
        <f>Source!DG65</f>
        <v/>
      </c>
      <c r="H235" s="34">
        <f>ROUND(Source!AF65*Source!I65, 2)</f>
        <v>63.58</v>
      </c>
      <c r="I235" s="35"/>
      <c r="J235" s="35">
        <f>IF(Source!BA65&lt;&gt; 0, Source!BA65, 1)</f>
        <v>7.13</v>
      </c>
      <c r="K235" s="34">
        <f>Source!S65</f>
        <v>453.33</v>
      </c>
      <c r="L235" s="36"/>
      <c r="R235">
        <f>H235</f>
        <v>63.58</v>
      </c>
    </row>
    <row r="236" spans="1:26" ht="14.25" x14ac:dyDescent="0.2">
      <c r="A236" s="49"/>
      <c r="B236" s="50"/>
      <c r="C236" s="50" t="s">
        <v>449</v>
      </c>
      <c r="D236" s="33"/>
      <c r="E236" s="11"/>
      <c r="F236" s="34">
        <f>Source!AM65</f>
        <v>46.96</v>
      </c>
      <c r="G236" s="35" t="str">
        <f>Source!DE65</f>
        <v/>
      </c>
      <c r="H236" s="34">
        <f>ROUND(Source!AD65*Source!I65, 2)</f>
        <v>2.82</v>
      </c>
      <c r="I236" s="35"/>
      <c r="J236" s="35">
        <f>IF(Source!BB65&lt;&gt; 0, Source!BB65, 1)</f>
        <v>7.13</v>
      </c>
      <c r="K236" s="34">
        <f>Source!Q65</f>
        <v>20.09</v>
      </c>
      <c r="L236" s="36"/>
    </row>
    <row r="237" spans="1:26" ht="14.25" x14ac:dyDescent="0.2">
      <c r="A237" s="49"/>
      <c r="B237" s="50"/>
      <c r="C237" s="50" t="s">
        <v>1790</v>
      </c>
      <c r="D237" s="33"/>
      <c r="E237" s="11"/>
      <c r="F237" s="34">
        <f>Source!AL65</f>
        <v>0.24</v>
      </c>
      <c r="G237" s="35" t="str">
        <f>Source!DD65</f>
        <v/>
      </c>
      <c r="H237" s="34">
        <f>ROUND(Source!AC65*Source!I65, 2)</f>
        <v>0.01</v>
      </c>
      <c r="I237" s="35"/>
      <c r="J237" s="35">
        <f>IF(Source!BC65&lt;&gt; 0, Source!BC65, 1)</f>
        <v>7.13</v>
      </c>
      <c r="K237" s="34">
        <f>Source!P65</f>
        <v>0.1</v>
      </c>
      <c r="L237" s="36"/>
    </row>
    <row r="238" spans="1:26" ht="14.25" x14ac:dyDescent="0.2">
      <c r="A238" s="49"/>
      <c r="B238" s="50"/>
      <c r="C238" s="50" t="s">
        <v>1785</v>
      </c>
      <c r="D238" s="33" t="s">
        <v>1786</v>
      </c>
      <c r="E238" s="11">
        <f>Source!BZ65</f>
        <v>80</v>
      </c>
      <c r="F238" s="53"/>
      <c r="G238" s="35"/>
      <c r="H238" s="34">
        <f>SUM(S233:S241)</f>
        <v>50.86</v>
      </c>
      <c r="I238" s="38"/>
      <c r="J238" s="31">
        <f>Source!AT65</f>
        <v>80</v>
      </c>
      <c r="K238" s="34">
        <f>SUM(T233:T241)</f>
        <v>362.66</v>
      </c>
      <c r="L238" s="36"/>
    </row>
    <row r="239" spans="1:26" ht="14.25" x14ac:dyDescent="0.2">
      <c r="A239" s="49"/>
      <c r="B239" s="50"/>
      <c r="C239" s="50" t="s">
        <v>1787</v>
      </c>
      <c r="D239" s="33" t="s">
        <v>1786</v>
      </c>
      <c r="E239" s="11">
        <f>Source!CA65</f>
        <v>68</v>
      </c>
      <c r="F239" s="53"/>
      <c r="G239" s="35"/>
      <c r="H239" s="34">
        <f>SUM(U233:U241)</f>
        <v>43.23</v>
      </c>
      <c r="I239" s="38"/>
      <c r="J239" s="31">
        <f>Source!AU65</f>
        <v>68</v>
      </c>
      <c r="K239" s="34">
        <f>SUM(V233:V241)</f>
        <v>308.26</v>
      </c>
      <c r="L239" s="36"/>
    </row>
    <row r="240" spans="1:26" ht="14.25" x14ac:dyDescent="0.2">
      <c r="A240" s="49"/>
      <c r="B240" s="50"/>
      <c r="C240" s="50" t="s">
        <v>1788</v>
      </c>
      <c r="D240" s="33" t="s">
        <v>1789</v>
      </c>
      <c r="E240" s="11">
        <f>Source!AQ65</f>
        <v>124.23</v>
      </c>
      <c r="F240" s="34"/>
      <c r="G240" s="35" t="str">
        <f>Source!DI65</f>
        <v/>
      </c>
      <c r="H240" s="34"/>
      <c r="I240" s="35"/>
      <c r="J240" s="35"/>
      <c r="K240" s="34"/>
      <c r="L240" s="45">
        <f>Source!U65</f>
        <v>7.4538000000000002</v>
      </c>
    </row>
    <row r="241" spans="1:26" ht="28.5" x14ac:dyDescent="0.2">
      <c r="A241" s="51" t="str">
        <f>Source!E66</f>
        <v>22,1</v>
      </c>
      <c r="B241" s="52" t="str">
        <f>Source!F66</f>
        <v>04.3.01.09-0001</v>
      </c>
      <c r="C241" s="52" t="str">
        <f>Source!G66</f>
        <v>Раствор готовый кладочный тяжелый цементный</v>
      </c>
      <c r="D241" s="39" t="str">
        <f>Source!H66</f>
        <v>м3</v>
      </c>
      <c r="E241" s="40">
        <f>Source!I66</f>
        <v>0.12839999999999999</v>
      </c>
      <c r="F241" s="41">
        <f>Source!AL66+Source!AM66+Source!AO66</f>
        <v>424.88</v>
      </c>
      <c r="G241" s="46" t="s">
        <v>6</v>
      </c>
      <c r="H241" s="41">
        <f>ROUND(Source!AC66*Source!I66, 2)+ROUND(Source!AD66*Source!I66, 2)+ROUND(Source!AF66*Source!I66, 2)</f>
        <v>54.55</v>
      </c>
      <c r="I241" s="42"/>
      <c r="J241" s="42">
        <f>IF(Source!BC66&lt;&gt; 0, Source!BC66, 1)</f>
        <v>7.13</v>
      </c>
      <c r="K241" s="41">
        <f>Source!O66</f>
        <v>388.97</v>
      </c>
      <c r="L241" s="47"/>
      <c r="S241">
        <f>ROUND((Source!FX66/100)*((ROUND(Source!AF66*Source!I66, 2)+ROUND(Source!AE66*Source!I66, 2))), 2)</f>
        <v>0</v>
      </c>
      <c r="T241">
        <f>Source!X66</f>
        <v>0</v>
      </c>
      <c r="U241">
        <f>ROUND((Source!FY66/100)*((ROUND(Source!AF66*Source!I66, 2)+ROUND(Source!AE66*Source!I66, 2))), 2)</f>
        <v>0</v>
      </c>
      <c r="V241">
        <f>Source!Y66</f>
        <v>0</v>
      </c>
      <c r="W241">
        <f>IF(Source!BI66&lt;=1,H241, 0)</f>
        <v>54.55</v>
      </c>
      <c r="X241">
        <f>IF(Source!BI66=2,H241, 0)</f>
        <v>0</v>
      </c>
      <c r="Y241">
        <f>IF(Source!BI66=3,H241, 0)</f>
        <v>0</v>
      </c>
      <c r="Z241">
        <f>IF(Source!BI66=4,H241, 0)</f>
        <v>0</v>
      </c>
    </row>
    <row r="242" spans="1:26" ht="15" x14ac:dyDescent="0.25">
      <c r="G242" s="87">
        <f>H235+H236+H237+H238+H239+SUM(H241:H241)</f>
        <v>215.05</v>
      </c>
      <c r="H242" s="87"/>
      <c r="J242" s="87">
        <f>K235+K236+K237+K238+K239+SUM(K241:K241)</f>
        <v>1533.41</v>
      </c>
      <c r="K242" s="87"/>
      <c r="L242" s="44">
        <f>Source!U65</f>
        <v>7.4538000000000002</v>
      </c>
      <c r="O242" s="27">
        <f>G242</f>
        <v>215.05</v>
      </c>
      <c r="P242" s="27">
        <f>J242</f>
        <v>1533.41</v>
      </c>
      <c r="Q242" s="27">
        <f>L242</f>
        <v>7.4538000000000002</v>
      </c>
      <c r="W242">
        <f>IF(Source!BI65&lt;=1,H235+H236+H237+H238+H239, 0)</f>
        <v>160.5</v>
      </c>
      <c r="X242">
        <f>IF(Source!BI65=2,H235+H236+H237+H238+H239, 0)</f>
        <v>0</v>
      </c>
      <c r="Y242">
        <f>IF(Source!BI65=3,H235+H236+H237+H238+H239, 0)</f>
        <v>0</v>
      </c>
      <c r="Z242">
        <f>IF(Source!BI65=4,H235+H236+H237+H238+H239, 0)</f>
        <v>0</v>
      </c>
    </row>
    <row r="243" spans="1:26" ht="57" x14ac:dyDescent="0.2">
      <c r="A243" s="49" t="str">
        <f>Source!E67</f>
        <v>23</v>
      </c>
      <c r="B243" s="50" t="str">
        <f>Source!F67</f>
        <v>15-07-003-02</v>
      </c>
      <c r="C243" s="50" t="str">
        <f>Source!G67</f>
        <v>Грунтование водно-дисперсионной грунтовкой "Нортекс-Грунт" поверхностей пористых (камень, кирпич, бетон и т д)</v>
      </c>
      <c r="D243" s="33" t="str">
        <f>Source!H67</f>
        <v>100 м2</v>
      </c>
      <c r="E243" s="11">
        <f>Source!I67</f>
        <v>0.33800000000000002</v>
      </c>
      <c r="F243" s="34">
        <f>Source!AL67+Source!AM67+Source!AO67</f>
        <v>268.3</v>
      </c>
      <c r="G243" s="35"/>
      <c r="H243" s="34"/>
      <c r="I243" s="35" t="str">
        <f>Source!BO67</f>
        <v/>
      </c>
      <c r="J243" s="35"/>
      <c r="K243" s="34"/>
      <c r="L243" s="36"/>
      <c r="S243">
        <f>ROUND((Source!FX67/100)*((ROUND(Source!AF67*Source!I67, 2)+ROUND(Source!AE67*Source!I67, 2))), 2)</f>
        <v>12.68</v>
      </c>
      <c r="T243">
        <f>Source!X67</f>
        <v>90.85</v>
      </c>
      <c r="U243">
        <f>ROUND((Source!FY67/100)*((ROUND(Source!AF67*Source!I67, 2)+ROUND(Source!AE67*Source!I67, 2))), 2)</f>
        <v>6.27</v>
      </c>
      <c r="V243">
        <f>Source!Y67</f>
        <v>44.95</v>
      </c>
    </row>
    <row r="244" spans="1:26" x14ac:dyDescent="0.2">
      <c r="C244" s="26" t="str">
        <f>"Объем: "&amp;Source!I67&amp;"=33,8/"&amp;"100"</f>
        <v>Объем: 0,338=33,8/100</v>
      </c>
    </row>
    <row r="245" spans="1:26" ht="14.25" x14ac:dyDescent="0.2">
      <c r="A245" s="49"/>
      <c r="B245" s="50"/>
      <c r="C245" s="50" t="s">
        <v>1783</v>
      </c>
      <c r="D245" s="33"/>
      <c r="E245" s="11"/>
      <c r="F245" s="34">
        <f>Source!AO67</f>
        <v>33.869999999999997</v>
      </c>
      <c r="G245" s="35" t="str">
        <f>Source!DG67</f>
        <v>)*1,15</v>
      </c>
      <c r="H245" s="34">
        <f>ROUND(Source!AF67*Source!I67, 2)</f>
        <v>13.17</v>
      </c>
      <c r="I245" s="35"/>
      <c r="J245" s="35">
        <f>IF(Source!BA67&lt;&gt; 0, Source!BA67, 1)</f>
        <v>7.13</v>
      </c>
      <c r="K245" s="34">
        <f>Source!S67</f>
        <v>93.87</v>
      </c>
      <c r="L245" s="36"/>
      <c r="R245">
        <f>H245</f>
        <v>13.17</v>
      </c>
    </row>
    <row r="246" spans="1:26" ht="14.25" x14ac:dyDescent="0.2">
      <c r="A246" s="49"/>
      <c r="B246" s="50"/>
      <c r="C246" s="50" t="s">
        <v>449</v>
      </c>
      <c r="D246" s="33"/>
      <c r="E246" s="11"/>
      <c r="F246" s="34">
        <f>Source!AM67</f>
        <v>22.14</v>
      </c>
      <c r="G246" s="35" t="str">
        <f>Source!DE67</f>
        <v>)*1,25</v>
      </c>
      <c r="H246" s="34">
        <f>ROUND(Source!AD67*Source!I67, 2)</f>
        <v>9.36</v>
      </c>
      <c r="I246" s="35"/>
      <c r="J246" s="35">
        <f>IF(Source!BB67&lt;&gt; 0, Source!BB67, 1)</f>
        <v>7.13</v>
      </c>
      <c r="K246" s="34">
        <f>Source!Q67</f>
        <v>66.709999999999994</v>
      </c>
      <c r="L246" s="36"/>
    </row>
    <row r="247" spans="1:26" ht="14.25" x14ac:dyDescent="0.2">
      <c r="A247" s="49"/>
      <c r="B247" s="50"/>
      <c r="C247" s="50" t="s">
        <v>1784</v>
      </c>
      <c r="D247" s="33"/>
      <c r="E247" s="11"/>
      <c r="F247" s="34">
        <f>Source!AN67</f>
        <v>0.57999999999999996</v>
      </c>
      <c r="G247" s="35" t="str">
        <f>Source!DF67</f>
        <v>)*1,25</v>
      </c>
      <c r="H247" s="37">
        <f>ROUND(Source!AE67*Source!I67, 2)</f>
        <v>0.25</v>
      </c>
      <c r="I247" s="35"/>
      <c r="J247" s="35">
        <f>IF(Source!BS67&lt;&gt; 0, Source!BS67, 1)</f>
        <v>7.13</v>
      </c>
      <c r="K247" s="37">
        <f>Source!R67</f>
        <v>1.76</v>
      </c>
      <c r="L247" s="36"/>
      <c r="R247">
        <f>H247</f>
        <v>0.25</v>
      </c>
    </row>
    <row r="248" spans="1:26" ht="14.25" x14ac:dyDescent="0.2">
      <c r="A248" s="49"/>
      <c r="B248" s="50"/>
      <c r="C248" s="50" t="s">
        <v>1790</v>
      </c>
      <c r="D248" s="33"/>
      <c r="E248" s="11"/>
      <c r="F248" s="34">
        <f>Source!AL67</f>
        <v>212.29</v>
      </c>
      <c r="G248" s="35" t="str">
        <f>Source!DD67</f>
        <v/>
      </c>
      <c r="H248" s="34">
        <f>ROUND(Source!AC67*Source!I67, 2)</f>
        <v>71.75</v>
      </c>
      <c r="I248" s="35"/>
      <c r="J248" s="35">
        <f>IF(Source!BC67&lt;&gt; 0, Source!BC67, 1)</f>
        <v>7.13</v>
      </c>
      <c r="K248" s="34">
        <f>Source!P67</f>
        <v>511.61</v>
      </c>
      <c r="L248" s="36"/>
    </row>
    <row r="249" spans="1:26" ht="14.25" x14ac:dyDescent="0.2">
      <c r="A249" s="49"/>
      <c r="B249" s="50"/>
      <c r="C249" s="50" t="s">
        <v>1785</v>
      </c>
      <c r="D249" s="33" t="s">
        <v>1786</v>
      </c>
      <c r="E249" s="11">
        <f>Source!BZ67</f>
        <v>105</v>
      </c>
      <c r="F249" s="81" t="str">
        <f>CONCATENATE(" )", Source!DL67, Source!FT67, "=", Source!FX67)</f>
        <v xml:space="preserve"> )*0,9=94,5</v>
      </c>
      <c r="G249" s="88"/>
      <c r="H249" s="34">
        <f>SUM(S243:S251)</f>
        <v>12.68</v>
      </c>
      <c r="I249" s="38"/>
      <c r="J249" s="31">
        <f>Source!AT67</f>
        <v>95</v>
      </c>
      <c r="K249" s="34">
        <f>SUM(T243:T251)</f>
        <v>90.85</v>
      </c>
      <c r="L249" s="36"/>
    </row>
    <row r="250" spans="1:26" ht="14.25" x14ac:dyDescent="0.2">
      <c r="A250" s="49"/>
      <c r="B250" s="50"/>
      <c r="C250" s="50" t="s">
        <v>1787</v>
      </c>
      <c r="D250" s="33" t="s">
        <v>1786</v>
      </c>
      <c r="E250" s="11">
        <f>Source!CA67</f>
        <v>55</v>
      </c>
      <c r="F250" s="81" t="str">
        <f>CONCATENATE(" )", Source!DM67, Source!FU67, "=", Source!FY67)</f>
        <v xml:space="preserve"> )*0,85=46,75</v>
      </c>
      <c r="G250" s="88"/>
      <c r="H250" s="34">
        <f>SUM(U243:U251)</f>
        <v>6.27</v>
      </c>
      <c r="I250" s="38"/>
      <c r="J250" s="31">
        <f>Source!AU67</f>
        <v>47</v>
      </c>
      <c r="K250" s="34">
        <f>SUM(V243:V251)</f>
        <v>44.95</v>
      </c>
      <c r="L250" s="36"/>
    </row>
    <row r="251" spans="1:26" ht="14.25" x14ac:dyDescent="0.2">
      <c r="A251" s="51"/>
      <c r="B251" s="52"/>
      <c r="C251" s="52" t="s">
        <v>1788</v>
      </c>
      <c r="D251" s="39" t="s">
        <v>1789</v>
      </c>
      <c r="E251" s="40">
        <f>Source!AQ67</f>
        <v>3.69</v>
      </c>
      <c r="F251" s="41"/>
      <c r="G251" s="42" t="str">
        <f>Source!DI67</f>
        <v>)*1,15</v>
      </c>
      <c r="H251" s="41"/>
      <c r="I251" s="42"/>
      <c r="J251" s="42"/>
      <c r="K251" s="41"/>
      <c r="L251" s="43">
        <f>Source!U67</f>
        <v>1.4343030000000001</v>
      </c>
    </row>
    <row r="252" spans="1:26" ht="15" x14ac:dyDescent="0.25">
      <c r="G252" s="87">
        <f>H245+H246+H248+H249+H250</f>
        <v>113.23</v>
      </c>
      <c r="H252" s="87"/>
      <c r="J252" s="87">
        <f>K245+K246+K248+K249+K250</f>
        <v>807.99000000000012</v>
      </c>
      <c r="K252" s="87"/>
      <c r="L252" s="44">
        <f>Source!U67</f>
        <v>1.4343030000000001</v>
      </c>
      <c r="O252" s="27">
        <f>G252</f>
        <v>113.23</v>
      </c>
      <c r="P252" s="27">
        <f>J252</f>
        <v>807.99000000000012</v>
      </c>
      <c r="Q252" s="27">
        <f>L252</f>
        <v>1.4343030000000001</v>
      </c>
      <c r="W252">
        <f>IF(Source!BI67&lt;=1,H245+H246+H248+H249+H250, 0)</f>
        <v>113.23</v>
      </c>
      <c r="X252">
        <f>IF(Source!BI67=2,H245+H246+H248+H249+H250, 0)</f>
        <v>0</v>
      </c>
      <c r="Y252">
        <f>IF(Source!BI67=3,H245+H246+H248+H249+H250, 0)</f>
        <v>0</v>
      </c>
      <c r="Z252">
        <f>IF(Source!BI67=4,H245+H246+H248+H249+H250, 0)</f>
        <v>0</v>
      </c>
    </row>
    <row r="253" spans="1:26" ht="28.5" x14ac:dyDescent="0.2">
      <c r="A253" s="49" t="str">
        <f>Source!E68</f>
        <v>24</v>
      </c>
      <c r="B253" s="50" t="str">
        <f>Source!F68</f>
        <v>11-01-011-01</v>
      </c>
      <c r="C253" s="50" t="str">
        <f>Source!G68</f>
        <v>Устройство стяжек цементных толщиной 20 мм</v>
      </c>
      <c r="D253" s="33" t="str">
        <f>Source!H68</f>
        <v>100 м2</v>
      </c>
      <c r="E253" s="11">
        <f>Source!I68</f>
        <v>0.33800000000000002</v>
      </c>
      <c r="F253" s="34">
        <f>Source!AL68+Source!AM68+Source!AO68</f>
        <v>366.49</v>
      </c>
      <c r="G253" s="35"/>
      <c r="H253" s="34"/>
      <c r="I253" s="35" t="str">
        <f>Source!BO68</f>
        <v/>
      </c>
      <c r="J253" s="35"/>
      <c r="K253" s="34"/>
      <c r="L253" s="36"/>
      <c r="S253">
        <f>ROUND((Source!FX68/100)*((ROUND(Source!AF68*Source!I68, 2)+ROUND(Source!AE68*Source!I68, 2))), 2)</f>
        <v>143.01</v>
      </c>
      <c r="T253">
        <f>Source!X68</f>
        <v>1022.42</v>
      </c>
      <c r="U253">
        <f>ROUND((Source!FY68/100)*((ROUND(Source!AF68*Source!I68, 2)+ROUND(Source!AE68*Source!I68, 2))), 2)</f>
        <v>82.36</v>
      </c>
      <c r="V253">
        <f>Source!Y68</f>
        <v>589.5</v>
      </c>
    </row>
    <row r="254" spans="1:26" x14ac:dyDescent="0.2">
      <c r="C254" s="26" t="str">
        <f>"Объем: "&amp;Source!I68&amp;"=33,8/"&amp;"100"</f>
        <v>Объем: 0,338=33,8/100</v>
      </c>
    </row>
    <row r="255" spans="1:26" ht="14.25" x14ac:dyDescent="0.2">
      <c r="A255" s="49"/>
      <c r="B255" s="50"/>
      <c r="C255" s="50" t="s">
        <v>1783</v>
      </c>
      <c r="D255" s="33"/>
      <c r="E255" s="11"/>
      <c r="F255" s="34">
        <f>Source!AO68</f>
        <v>313.70999999999998</v>
      </c>
      <c r="G255" s="35" t="str">
        <f>Source!DG68</f>
        <v>)*1,15</v>
      </c>
      <c r="H255" s="34">
        <f>ROUND(Source!AF68*Source!I68, 2)</f>
        <v>121.94</v>
      </c>
      <c r="I255" s="35"/>
      <c r="J255" s="35">
        <f>IF(Source!BA68&lt;&gt; 0, Source!BA68, 1)</f>
        <v>7.13</v>
      </c>
      <c r="K255" s="34">
        <f>Source!S68</f>
        <v>869.43</v>
      </c>
      <c r="L255" s="36"/>
      <c r="R255">
        <f>H255</f>
        <v>121.94</v>
      </c>
    </row>
    <row r="256" spans="1:26" ht="14.25" x14ac:dyDescent="0.2">
      <c r="A256" s="49"/>
      <c r="B256" s="50"/>
      <c r="C256" s="50" t="s">
        <v>449</v>
      </c>
      <c r="D256" s="33"/>
      <c r="E256" s="11"/>
      <c r="F256" s="34">
        <f>Source!AM68</f>
        <v>44.24</v>
      </c>
      <c r="G256" s="35" t="str">
        <f>Source!DE68</f>
        <v>)*1,25</v>
      </c>
      <c r="H256" s="34">
        <f>ROUND(Source!AD68*Source!I68, 2)</f>
        <v>18.690000000000001</v>
      </c>
      <c r="I256" s="35"/>
      <c r="J256" s="35">
        <f>IF(Source!BB68&lt;&gt; 0, Source!BB68, 1)</f>
        <v>7.13</v>
      </c>
      <c r="K256" s="34">
        <f>Source!Q68</f>
        <v>133.27000000000001</v>
      </c>
      <c r="L256" s="36"/>
    </row>
    <row r="257" spans="1:26" ht="14.25" x14ac:dyDescent="0.2">
      <c r="A257" s="49"/>
      <c r="B257" s="50"/>
      <c r="C257" s="50" t="s">
        <v>1784</v>
      </c>
      <c r="D257" s="33"/>
      <c r="E257" s="11"/>
      <c r="F257" s="34">
        <f>Source!AN68</f>
        <v>17.149999999999999</v>
      </c>
      <c r="G257" s="35" t="str">
        <f>Source!DF68</f>
        <v>)*1,25</v>
      </c>
      <c r="H257" s="37">
        <f>ROUND(Source!AE68*Source!I68, 2)</f>
        <v>7.25</v>
      </c>
      <c r="I257" s="35"/>
      <c r="J257" s="35">
        <f>IF(Source!BS68&lt;&gt; 0, Source!BS68, 1)</f>
        <v>7.13</v>
      </c>
      <c r="K257" s="37">
        <f>Source!R68</f>
        <v>51.67</v>
      </c>
      <c r="L257" s="36"/>
      <c r="R257">
        <f>H257</f>
        <v>7.25</v>
      </c>
    </row>
    <row r="258" spans="1:26" ht="14.25" x14ac:dyDescent="0.2">
      <c r="A258" s="49"/>
      <c r="B258" s="50"/>
      <c r="C258" s="50" t="s">
        <v>1790</v>
      </c>
      <c r="D258" s="33"/>
      <c r="E258" s="11"/>
      <c r="F258" s="34">
        <f>Source!AL68</f>
        <v>8.5399999999999991</v>
      </c>
      <c r="G258" s="35" t="str">
        <f>Source!DD68</f>
        <v/>
      </c>
      <c r="H258" s="34">
        <f>ROUND(Source!AC68*Source!I68, 2)</f>
        <v>2.89</v>
      </c>
      <c r="I258" s="35"/>
      <c r="J258" s="35">
        <f>IF(Source!BC68&lt;&gt; 0, Source!BC68, 1)</f>
        <v>7.13</v>
      </c>
      <c r="K258" s="34">
        <f>Source!P68</f>
        <v>20.58</v>
      </c>
      <c r="L258" s="36"/>
    </row>
    <row r="259" spans="1:26" ht="14.25" x14ac:dyDescent="0.2">
      <c r="A259" s="49"/>
      <c r="B259" s="50"/>
      <c r="C259" s="50" t="s">
        <v>1785</v>
      </c>
      <c r="D259" s="33" t="s">
        <v>1786</v>
      </c>
      <c r="E259" s="11">
        <f>Source!BZ68</f>
        <v>123</v>
      </c>
      <c r="F259" s="81" t="str">
        <f>CONCATENATE(" )", Source!DL68, Source!FT68, "=", Source!FX68)</f>
        <v xml:space="preserve"> )*0,9=110,7</v>
      </c>
      <c r="G259" s="88"/>
      <c r="H259" s="34">
        <f>SUM(S253:S262)</f>
        <v>143.01</v>
      </c>
      <c r="I259" s="38"/>
      <c r="J259" s="31">
        <f>Source!AT68</f>
        <v>111</v>
      </c>
      <c r="K259" s="34">
        <f>SUM(T253:T262)</f>
        <v>1022.42</v>
      </c>
      <c r="L259" s="36"/>
    </row>
    <row r="260" spans="1:26" ht="14.25" x14ac:dyDescent="0.2">
      <c r="A260" s="49"/>
      <c r="B260" s="50"/>
      <c r="C260" s="50" t="s">
        <v>1787</v>
      </c>
      <c r="D260" s="33" t="s">
        <v>1786</v>
      </c>
      <c r="E260" s="11">
        <f>Source!CA68</f>
        <v>75</v>
      </c>
      <c r="F260" s="81" t="str">
        <f>CONCATENATE(" )", Source!DM68, Source!FU68, "=", Source!FY68)</f>
        <v xml:space="preserve"> )*0,85=63,75</v>
      </c>
      <c r="G260" s="88"/>
      <c r="H260" s="34">
        <f>SUM(U253:U262)</f>
        <v>82.36</v>
      </c>
      <c r="I260" s="38"/>
      <c r="J260" s="31">
        <f>Source!AU68</f>
        <v>64</v>
      </c>
      <c r="K260" s="34">
        <f>SUM(V253:V262)</f>
        <v>589.5</v>
      </c>
      <c r="L260" s="36"/>
    </row>
    <row r="261" spans="1:26" ht="14.25" x14ac:dyDescent="0.2">
      <c r="A261" s="49"/>
      <c r="B261" s="50"/>
      <c r="C261" s="50" t="s">
        <v>1788</v>
      </c>
      <c r="D261" s="33" t="s">
        <v>1789</v>
      </c>
      <c r="E261" s="11">
        <f>Source!AQ68</f>
        <v>39.51</v>
      </c>
      <c r="F261" s="34"/>
      <c r="G261" s="35" t="str">
        <f>Source!DI68</f>
        <v>)*1,15</v>
      </c>
      <c r="H261" s="34"/>
      <c r="I261" s="35"/>
      <c r="J261" s="35"/>
      <c r="K261" s="34"/>
      <c r="L261" s="45">
        <f>Source!U68</f>
        <v>15.357536999999999</v>
      </c>
    </row>
    <row r="262" spans="1:26" ht="28.5" x14ac:dyDescent="0.2">
      <c r="A262" s="51" t="str">
        <f>Source!E69</f>
        <v>24,1</v>
      </c>
      <c r="B262" s="52" t="str">
        <f>Source!F69</f>
        <v>04.3.01.09-0014</v>
      </c>
      <c r="C262" s="52" t="str">
        <f>Source!G69</f>
        <v>Раствор готовый кладочный цементный марки 100</v>
      </c>
      <c r="D262" s="39" t="str">
        <f>Source!H69</f>
        <v>м3</v>
      </c>
      <c r="E262" s="40">
        <f>Source!I69</f>
        <v>0.68952000000000002</v>
      </c>
      <c r="F262" s="41">
        <f>Source!AL69+Source!AM69+Source!AO69</f>
        <v>519.79999999999995</v>
      </c>
      <c r="G262" s="46" t="s">
        <v>6</v>
      </c>
      <c r="H262" s="41">
        <f>ROUND(Source!AC69*Source!I69, 2)+ROUND(Source!AD69*Source!I69, 2)+ROUND(Source!AF69*Source!I69, 2)</f>
        <v>358.41</v>
      </c>
      <c r="I262" s="42"/>
      <c r="J262" s="42">
        <f>IF(Source!BC69&lt;&gt; 0, Source!BC69, 1)</f>
        <v>7.13</v>
      </c>
      <c r="K262" s="41">
        <f>Source!O69</f>
        <v>2555.48</v>
      </c>
      <c r="L262" s="47"/>
      <c r="S262">
        <f>ROUND((Source!FX69/100)*((ROUND(Source!AF69*Source!I69, 2)+ROUND(Source!AE69*Source!I69, 2))), 2)</f>
        <v>0</v>
      </c>
      <c r="T262">
        <f>Source!X69</f>
        <v>0</v>
      </c>
      <c r="U262">
        <f>ROUND((Source!FY69/100)*((ROUND(Source!AF69*Source!I69, 2)+ROUND(Source!AE69*Source!I69, 2))), 2)</f>
        <v>0</v>
      </c>
      <c r="V262">
        <f>Source!Y69</f>
        <v>0</v>
      </c>
      <c r="W262">
        <f>IF(Source!BI69&lt;=1,H262, 0)</f>
        <v>358.41</v>
      </c>
      <c r="X262">
        <f>IF(Source!BI69=2,H262, 0)</f>
        <v>0</v>
      </c>
      <c r="Y262">
        <f>IF(Source!BI69=3,H262, 0)</f>
        <v>0</v>
      </c>
      <c r="Z262">
        <f>IF(Source!BI69=4,H262, 0)</f>
        <v>0</v>
      </c>
    </row>
    <row r="263" spans="1:26" ht="15" x14ac:dyDescent="0.25">
      <c r="G263" s="87">
        <f>H255+H256+H258+H259+H260+SUM(H262:H262)</f>
        <v>727.3</v>
      </c>
      <c r="H263" s="87"/>
      <c r="J263" s="87">
        <f>K255+K256+K258+K259+K260+SUM(K262:K262)</f>
        <v>5190.68</v>
      </c>
      <c r="K263" s="87"/>
      <c r="L263" s="44">
        <f>Source!U68</f>
        <v>15.357536999999999</v>
      </c>
      <c r="O263" s="27">
        <f>G263</f>
        <v>727.3</v>
      </c>
      <c r="P263" s="27">
        <f>J263</f>
        <v>5190.68</v>
      </c>
      <c r="Q263" s="27">
        <f>L263</f>
        <v>15.357536999999999</v>
      </c>
      <c r="W263">
        <f>IF(Source!BI68&lt;=1,H255+H256+H258+H259+H260, 0)</f>
        <v>368.89</v>
      </c>
      <c r="X263">
        <f>IF(Source!BI68=2,H255+H256+H258+H259+H260, 0)</f>
        <v>0</v>
      </c>
      <c r="Y263">
        <f>IF(Source!BI68=3,H255+H256+H258+H259+H260, 0)</f>
        <v>0</v>
      </c>
      <c r="Z263">
        <f>IF(Source!BI68=4,H255+H256+H258+H259+H260, 0)</f>
        <v>0</v>
      </c>
    </row>
    <row r="264" spans="1:26" ht="42.75" x14ac:dyDescent="0.2">
      <c r="A264" s="49" t="str">
        <f>Source!E70</f>
        <v>25</v>
      </c>
      <c r="B264" s="50" t="str">
        <f>Source!F70</f>
        <v>11-01-011-02</v>
      </c>
      <c r="C264" s="50" t="str">
        <f>Source!G70</f>
        <v>Устройство стяжек на каждые 5 мм изменения толщины стяжки добавлять или исключать к расценке 11-01-011-01</v>
      </c>
      <c r="D264" s="33" t="str">
        <f>Source!H70</f>
        <v>100 м2</v>
      </c>
      <c r="E264" s="11">
        <f>Source!I70</f>
        <v>0.33800000000000002</v>
      </c>
      <c r="F264" s="34">
        <f>Source!AL70+Source!AM70+Source!AO70</f>
        <v>11.69</v>
      </c>
      <c r="G264" s="35"/>
      <c r="H264" s="34"/>
      <c r="I264" s="35" t="str">
        <f>Source!BO70</f>
        <v/>
      </c>
      <c r="J264" s="35"/>
      <c r="K264" s="34"/>
      <c r="L264" s="36"/>
      <c r="S264">
        <f>ROUND((Source!FX70/100)*((ROUND(Source!AF70*Source!I70, 2)+ROUND(Source!AE70*Source!I70, 2))), 2)</f>
        <v>9.11</v>
      </c>
      <c r="T264">
        <f>Source!X70</f>
        <v>65.150000000000006</v>
      </c>
      <c r="U264">
        <f>ROUND((Source!FY70/100)*((ROUND(Source!AF70*Source!I70, 2)+ROUND(Source!AE70*Source!I70, 2))), 2)</f>
        <v>5.25</v>
      </c>
      <c r="V264">
        <f>Source!Y70</f>
        <v>37.56</v>
      </c>
    </row>
    <row r="265" spans="1:26" x14ac:dyDescent="0.2">
      <c r="C265" s="26" t="str">
        <f>"Объем: "&amp;Source!I70&amp;"=33,8/"&amp;"100"</f>
        <v>Объем: 0,338=33,8/100</v>
      </c>
    </row>
    <row r="266" spans="1:26" ht="14.25" x14ac:dyDescent="0.2">
      <c r="A266" s="49"/>
      <c r="B266" s="50"/>
      <c r="C266" s="50" t="s">
        <v>1783</v>
      </c>
      <c r="D266" s="33"/>
      <c r="E266" s="11"/>
      <c r="F266" s="34">
        <f>Source!AO70</f>
        <v>3.97</v>
      </c>
      <c r="G266" s="35" t="str">
        <f>Source!DG70</f>
        <v>*3)*1,15</v>
      </c>
      <c r="H266" s="34">
        <f>ROUND(Source!AF70*Source!I70, 2)</f>
        <v>4.63</v>
      </c>
      <c r="I266" s="35"/>
      <c r="J266" s="35">
        <f>IF(Source!BA70&lt;&gt; 0, Source!BA70, 1)</f>
        <v>7.13</v>
      </c>
      <c r="K266" s="34">
        <f>Source!S70</f>
        <v>33.020000000000003</v>
      </c>
      <c r="L266" s="36"/>
      <c r="R266">
        <f>H266</f>
        <v>4.63</v>
      </c>
    </row>
    <row r="267" spans="1:26" ht="14.25" x14ac:dyDescent="0.2">
      <c r="A267" s="49"/>
      <c r="B267" s="50"/>
      <c r="C267" s="50" t="s">
        <v>449</v>
      </c>
      <c r="D267" s="33"/>
      <c r="E267" s="11"/>
      <c r="F267" s="34">
        <f>Source!AM70</f>
        <v>7.72</v>
      </c>
      <c r="G267" s="35" t="str">
        <f>Source!DE70</f>
        <v>*3)*1,25</v>
      </c>
      <c r="H267" s="34">
        <f>ROUND(Source!AD70*Source!I70, 2)</f>
        <v>9.7899999999999991</v>
      </c>
      <c r="I267" s="35"/>
      <c r="J267" s="35">
        <f>IF(Source!BB70&lt;&gt; 0, Source!BB70, 1)</f>
        <v>7.13</v>
      </c>
      <c r="K267" s="34">
        <f>Source!Q70</f>
        <v>69.77</v>
      </c>
      <c r="L267" s="36"/>
    </row>
    <row r="268" spans="1:26" ht="14.25" x14ac:dyDescent="0.2">
      <c r="A268" s="49"/>
      <c r="B268" s="50"/>
      <c r="C268" s="50" t="s">
        <v>1784</v>
      </c>
      <c r="D268" s="33"/>
      <c r="E268" s="11"/>
      <c r="F268" s="34">
        <f>Source!AN70</f>
        <v>2.84</v>
      </c>
      <c r="G268" s="35" t="str">
        <f>Source!DF70</f>
        <v>*3)*1,25</v>
      </c>
      <c r="H268" s="37">
        <f>ROUND(Source!AE70*Source!I70, 2)</f>
        <v>3.6</v>
      </c>
      <c r="I268" s="35"/>
      <c r="J268" s="35">
        <f>IF(Source!BS70&lt;&gt; 0, Source!BS70, 1)</f>
        <v>7.13</v>
      </c>
      <c r="K268" s="37">
        <f>Source!R70</f>
        <v>25.67</v>
      </c>
      <c r="L268" s="36"/>
      <c r="R268">
        <f>H268</f>
        <v>3.6</v>
      </c>
    </row>
    <row r="269" spans="1:26" ht="14.25" x14ac:dyDescent="0.2">
      <c r="A269" s="49"/>
      <c r="B269" s="50"/>
      <c r="C269" s="50" t="s">
        <v>1785</v>
      </c>
      <c r="D269" s="33" t="s">
        <v>1786</v>
      </c>
      <c r="E269" s="11">
        <f>Source!BZ70</f>
        <v>123</v>
      </c>
      <c r="F269" s="81" t="str">
        <f>CONCATENATE(" )", Source!DL70, Source!FT70, "=", Source!FX70)</f>
        <v xml:space="preserve"> )*0,9=110,7</v>
      </c>
      <c r="G269" s="88"/>
      <c r="H269" s="34">
        <f>SUM(S264:S272)</f>
        <v>9.11</v>
      </c>
      <c r="I269" s="38"/>
      <c r="J269" s="31">
        <f>Source!AT70</f>
        <v>111</v>
      </c>
      <c r="K269" s="34">
        <f>SUM(T264:T272)</f>
        <v>65.150000000000006</v>
      </c>
      <c r="L269" s="36"/>
    </row>
    <row r="270" spans="1:26" ht="14.25" x14ac:dyDescent="0.2">
      <c r="A270" s="49"/>
      <c r="B270" s="50"/>
      <c r="C270" s="50" t="s">
        <v>1787</v>
      </c>
      <c r="D270" s="33" t="s">
        <v>1786</v>
      </c>
      <c r="E270" s="11">
        <f>Source!CA70</f>
        <v>75</v>
      </c>
      <c r="F270" s="81" t="str">
        <f>CONCATENATE(" )", Source!DM70, Source!FU70, "=", Source!FY70)</f>
        <v xml:space="preserve"> )*0,85=63,75</v>
      </c>
      <c r="G270" s="88"/>
      <c r="H270" s="34">
        <f>SUM(U264:U272)</f>
        <v>5.25</v>
      </c>
      <c r="I270" s="38"/>
      <c r="J270" s="31">
        <f>Source!AU70</f>
        <v>64</v>
      </c>
      <c r="K270" s="34">
        <f>SUM(V264:V272)</f>
        <v>37.56</v>
      </c>
      <c r="L270" s="36"/>
    </row>
    <row r="271" spans="1:26" ht="14.25" x14ac:dyDescent="0.2">
      <c r="A271" s="49"/>
      <c r="B271" s="50"/>
      <c r="C271" s="50" t="s">
        <v>1788</v>
      </c>
      <c r="D271" s="33" t="s">
        <v>1789</v>
      </c>
      <c r="E271" s="11">
        <f>Source!AQ70</f>
        <v>0.5</v>
      </c>
      <c r="F271" s="34"/>
      <c r="G271" s="35" t="str">
        <f>Source!DI70</f>
        <v>*3)*1,15</v>
      </c>
      <c r="H271" s="34"/>
      <c r="I271" s="35"/>
      <c r="J271" s="35"/>
      <c r="K271" s="34"/>
      <c r="L271" s="45">
        <f>Source!U70</f>
        <v>0.58304999999999996</v>
      </c>
    </row>
    <row r="272" spans="1:26" ht="28.5" x14ac:dyDescent="0.2">
      <c r="A272" s="51" t="str">
        <f>Source!E71</f>
        <v>25,1</v>
      </c>
      <c r="B272" s="52" t="str">
        <f>Source!F71</f>
        <v>04.3.01.09-0001</v>
      </c>
      <c r="C272" s="52" t="str">
        <f>Source!G71</f>
        <v>Раствор готовый кладочный тяжелый цементный</v>
      </c>
      <c r="D272" s="39" t="str">
        <f>Source!H71</f>
        <v>м3</v>
      </c>
      <c r="E272" s="40">
        <f>Source!I71</f>
        <v>0.51714000000000004</v>
      </c>
      <c r="F272" s="41">
        <f>Source!AL71+Source!AM71+Source!AO71</f>
        <v>424.88</v>
      </c>
      <c r="G272" s="46" t="s">
        <v>6</v>
      </c>
      <c r="H272" s="41">
        <f>ROUND(Source!AC71*Source!I71, 2)+ROUND(Source!AD71*Source!I71, 2)+ROUND(Source!AF71*Source!I71, 2)</f>
        <v>219.72</v>
      </c>
      <c r="I272" s="42"/>
      <c r="J272" s="42">
        <f>IF(Source!BC71&lt;&gt; 0, Source!BC71, 1)</f>
        <v>7.13</v>
      </c>
      <c r="K272" s="41">
        <f>Source!O71</f>
        <v>1566.62</v>
      </c>
      <c r="L272" s="47"/>
      <c r="S272">
        <f>ROUND((Source!FX71/100)*((ROUND(Source!AF71*Source!I71, 2)+ROUND(Source!AE71*Source!I71, 2))), 2)</f>
        <v>0</v>
      </c>
      <c r="T272">
        <f>Source!X71</f>
        <v>0</v>
      </c>
      <c r="U272">
        <f>ROUND((Source!FY71/100)*((ROUND(Source!AF71*Source!I71, 2)+ROUND(Source!AE71*Source!I71, 2))), 2)</f>
        <v>0</v>
      </c>
      <c r="V272">
        <f>Source!Y71</f>
        <v>0</v>
      </c>
      <c r="W272">
        <f>IF(Source!BI71&lt;=1,H272, 0)</f>
        <v>219.72</v>
      </c>
      <c r="X272">
        <f>IF(Source!BI71=2,H272, 0)</f>
        <v>0</v>
      </c>
      <c r="Y272">
        <f>IF(Source!BI71=3,H272, 0)</f>
        <v>0</v>
      </c>
      <c r="Z272">
        <f>IF(Source!BI71=4,H272, 0)</f>
        <v>0</v>
      </c>
    </row>
    <row r="273" spans="1:26" ht="15" x14ac:dyDescent="0.25">
      <c r="G273" s="87">
        <f>H266+H267+H269+H270+SUM(H272:H272)</f>
        <v>248.5</v>
      </c>
      <c r="H273" s="87"/>
      <c r="J273" s="87">
        <f>K266+K267+K269+K270+SUM(K272:K272)</f>
        <v>1772.12</v>
      </c>
      <c r="K273" s="87"/>
      <c r="L273" s="44">
        <f>Source!U70</f>
        <v>0.58304999999999996</v>
      </c>
      <c r="O273" s="27">
        <f>G273</f>
        <v>248.5</v>
      </c>
      <c r="P273" s="27">
        <f>J273</f>
        <v>1772.12</v>
      </c>
      <c r="Q273" s="27">
        <f>L273</f>
        <v>0.58304999999999996</v>
      </c>
      <c r="W273">
        <f>IF(Source!BI70&lt;=1,H266+H267+H269+H270, 0)</f>
        <v>28.779999999999998</v>
      </c>
      <c r="X273">
        <f>IF(Source!BI70=2,H266+H267+H269+H270, 0)</f>
        <v>0</v>
      </c>
      <c r="Y273">
        <f>IF(Source!BI70=3,H266+H267+H269+H270, 0)</f>
        <v>0</v>
      </c>
      <c r="Z273">
        <f>IF(Source!BI70=4,H266+H267+H269+H270, 0)</f>
        <v>0</v>
      </c>
    </row>
    <row r="274" spans="1:26" ht="42.75" x14ac:dyDescent="0.2">
      <c r="A274" s="49" t="str">
        <f>Source!E72</f>
        <v>26</v>
      </c>
      <c r="B274" s="50" t="str">
        <f>Source!F72</f>
        <v>11-01-011-08</v>
      </c>
      <c r="C274" s="50" t="str">
        <f>Source!G72</f>
        <v>Устройство стяжек из выравнивающей смеси типа "Ветонит" 5000, толщиной 5 мм с огрунтовкой "Нортекс-Грунт"</v>
      </c>
      <c r="D274" s="33" t="str">
        <f>Source!H72</f>
        <v>100 м2</v>
      </c>
      <c r="E274" s="11">
        <f>Source!I72</f>
        <v>2.298</v>
      </c>
      <c r="F274" s="34">
        <f>Source!AL72+Source!AM72+Source!AO72</f>
        <v>11028.89</v>
      </c>
      <c r="G274" s="35"/>
      <c r="H274" s="34"/>
      <c r="I274" s="35" t="str">
        <f>Source!BO72</f>
        <v/>
      </c>
      <c r="J274" s="35"/>
      <c r="K274" s="34"/>
      <c r="L274" s="36"/>
      <c r="S274">
        <f>ROUND((Source!FX72/100)*((ROUND(Source!AF72*Source!I72, 2)+ROUND(Source!AE72*Source!I72, 2))), 2)</f>
        <v>946.3</v>
      </c>
      <c r="T274">
        <f>Source!X72</f>
        <v>6765.41</v>
      </c>
      <c r="U274">
        <f>ROUND((Source!FY72/100)*((ROUND(Source!AF72*Source!I72, 2)+ROUND(Source!AE72*Source!I72, 2))), 2)</f>
        <v>544.95000000000005</v>
      </c>
      <c r="V274">
        <f>Source!Y72</f>
        <v>3900.77</v>
      </c>
    </row>
    <row r="275" spans="1:26" x14ac:dyDescent="0.2">
      <c r="C275" s="26" t="str">
        <f>"Объем: "&amp;Source!I72&amp;"=229,8/"&amp;"100"</f>
        <v>Объем: 2,298=229,8/100</v>
      </c>
    </row>
    <row r="276" spans="1:26" ht="14.25" x14ac:dyDescent="0.2">
      <c r="A276" s="49"/>
      <c r="B276" s="50"/>
      <c r="C276" s="50" t="s">
        <v>1783</v>
      </c>
      <c r="D276" s="33"/>
      <c r="E276" s="11"/>
      <c r="F276" s="34">
        <f>Source!AO72</f>
        <v>321.33</v>
      </c>
      <c r="G276" s="35" t="str">
        <f>Source!DG72</f>
        <v>)*1,15</v>
      </c>
      <c r="H276" s="34">
        <f>ROUND(Source!AF72*Source!I72, 2)</f>
        <v>849.18</v>
      </c>
      <c r="I276" s="35"/>
      <c r="J276" s="35">
        <f>IF(Source!BA72&lt;&gt; 0, Source!BA72, 1)</f>
        <v>7.13</v>
      </c>
      <c r="K276" s="34">
        <f>Source!S72</f>
        <v>6054.65</v>
      </c>
      <c r="L276" s="36"/>
      <c r="R276">
        <f>H276</f>
        <v>849.18</v>
      </c>
    </row>
    <row r="277" spans="1:26" ht="14.25" x14ac:dyDescent="0.2">
      <c r="A277" s="49"/>
      <c r="B277" s="50"/>
      <c r="C277" s="50" t="s">
        <v>449</v>
      </c>
      <c r="D277" s="33"/>
      <c r="E277" s="11"/>
      <c r="F277" s="34">
        <f>Source!AM72</f>
        <v>6.23</v>
      </c>
      <c r="G277" s="35" t="str">
        <f>Source!DE72</f>
        <v>)*1,25</v>
      </c>
      <c r="H277" s="34">
        <f>ROUND(Source!AD72*Source!I72, 2)</f>
        <v>17.899999999999999</v>
      </c>
      <c r="I277" s="35"/>
      <c r="J277" s="35">
        <f>IF(Source!BB72&lt;&gt; 0, Source!BB72, 1)</f>
        <v>7.13</v>
      </c>
      <c r="K277" s="34">
        <f>Source!Q72</f>
        <v>127.64</v>
      </c>
      <c r="L277" s="36"/>
    </row>
    <row r="278" spans="1:26" ht="14.25" x14ac:dyDescent="0.2">
      <c r="A278" s="49"/>
      <c r="B278" s="50"/>
      <c r="C278" s="50" t="s">
        <v>1784</v>
      </c>
      <c r="D278" s="33"/>
      <c r="E278" s="11"/>
      <c r="F278" s="34">
        <f>Source!AN72</f>
        <v>1.97</v>
      </c>
      <c r="G278" s="35" t="str">
        <f>Source!DF72</f>
        <v>)*1,25</v>
      </c>
      <c r="H278" s="37">
        <f>ROUND(Source!AE72*Source!I72, 2)</f>
        <v>5.65</v>
      </c>
      <c r="I278" s="35"/>
      <c r="J278" s="35">
        <f>IF(Source!BS72&lt;&gt; 0, Source!BS72, 1)</f>
        <v>7.13</v>
      </c>
      <c r="K278" s="37">
        <f>Source!R72</f>
        <v>40.31</v>
      </c>
      <c r="L278" s="36"/>
      <c r="R278">
        <f>H278</f>
        <v>5.65</v>
      </c>
    </row>
    <row r="279" spans="1:26" ht="14.25" x14ac:dyDescent="0.2">
      <c r="A279" s="49"/>
      <c r="B279" s="50"/>
      <c r="C279" s="50" t="s">
        <v>1790</v>
      </c>
      <c r="D279" s="33"/>
      <c r="E279" s="11"/>
      <c r="F279" s="34">
        <f>Source!AL72</f>
        <v>10701.33</v>
      </c>
      <c r="G279" s="35" t="str">
        <f>Source!DD72</f>
        <v/>
      </c>
      <c r="H279" s="34">
        <f>ROUND(Source!AC72*Source!I72, 2)</f>
        <v>24591.66</v>
      </c>
      <c r="I279" s="35"/>
      <c r="J279" s="35">
        <f>IF(Source!BC72&lt;&gt; 0, Source!BC72, 1)</f>
        <v>7.13</v>
      </c>
      <c r="K279" s="34">
        <f>Source!P72</f>
        <v>175338.51</v>
      </c>
      <c r="L279" s="36"/>
    </row>
    <row r="280" spans="1:26" ht="14.25" x14ac:dyDescent="0.2">
      <c r="A280" s="49"/>
      <c r="B280" s="50"/>
      <c r="C280" s="50" t="s">
        <v>1785</v>
      </c>
      <c r="D280" s="33" t="s">
        <v>1786</v>
      </c>
      <c r="E280" s="11">
        <f>Source!BZ72</f>
        <v>123</v>
      </c>
      <c r="F280" s="81" t="str">
        <f>CONCATENATE(" )", Source!DL72, Source!FT72, "=", Source!FX72)</f>
        <v xml:space="preserve"> )*0,9=110,7</v>
      </c>
      <c r="G280" s="88"/>
      <c r="H280" s="34">
        <f>SUM(S274:S282)</f>
        <v>946.3</v>
      </c>
      <c r="I280" s="38"/>
      <c r="J280" s="31">
        <f>Source!AT72</f>
        <v>111</v>
      </c>
      <c r="K280" s="34">
        <f>SUM(T274:T282)</f>
        <v>6765.41</v>
      </c>
      <c r="L280" s="36"/>
    </row>
    <row r="281" spans="1:26" ht="14.25" x14ac:dyDescent="0.2">
      <c r="A281" s="49"/>
      <c r="B281" s="50"/>
      <c r="C281" s="50" t="s">
        <v>1787</v>
      </c>
      <c r="D281" s="33" t="s">
        <v>1786</v>
      </c>
      <c r="E281" s="11">
        <f>Source!CA72</f>
        <v>75</v>
      </c>
      <c r="F281" s="81" t="str">
        <f>CONCATENATE(" )", Source!DM72, Source!FU72, "=", Source!FY72)</f>
        <v xml:space="preserve"> )*0,85=63,75</v>
      </c>
      <c r="G281" s="88"/>
      <c r="H281" s="34">
        <f>SUM(U274:U282)</f>
        <v>544.95000000000005</v>
      </c>
      <c r="I281" s="38"/>
      <c r="J281" s="31">
        <f>Source!AU72</f>
        <v>64</v>
      </c>
      <c r="K281" s="34">
        <f>SUM(V274:V282)</f>
        <v>3900.77</v>
      </c>
      <c r="L281" s="36"/>
    </row>
    <row r="282" spans="1:26" ht="14.25" x14ac:dyDescent="0.2">
      <c r="A282" s="51"/>
      <c r="B282" s="52"/>
      <c r="C282" s="52" t="s">
        <v>1788</v>
      </c>
      <c r="D282" s="39" t="s">
        <v>1789</v>
      </c>
      <c r="E282" s="40">
        <f>Source!AQ72</f>
        <v>37.67</v>
      </c>
      <c r="F282" s="41"/>
      <c r="G282" s="42" t="str">
        <f>Source!DI72</f>
        <v>)*1,15</v>
      </c>
      <c r="H282" s="41"/>
      <c r="I282" s="42"/>
      <c r="J282" s="42"/>
      <c r="K282" s="41"/>
      <c r="L282" s="43">
        <f>Source!U72</f>
        <v>99.550508999999991</v>
      </c>
    </row>
    <row r="283" spans="1:26" ht="15" x14ac:dyDescent="0.25">
      <c r="G283" s="87">
        <f>H276+H277+H279+H280+H281</f>
        <v>26949.989999999998</v>
      </c>
      <c r="H283" s="87"/>
      <c r="J283" s="87">
        <f>K276+K277+K279+K280+K281</f>
        <v>192186.98</v>
      </c>
      <c r="K283" s="87"/>
      <c r="L283" s="44">
        <f>Source!U72</f>
        <v>99.550508999999991</v>
      </c>
      <c r="O283" s="27">
        <f>G283</f>
        <v>26949.989999999998</v>
      </c>
      <c r="P283" s="27">
        <f>J283</f>
        <v>192186.98</v>
      </c>
      <c r="Q283" s="27">
        <f>L283</f>
        <v>99.550508999999991</v>
      </c>
      <c r="W283">
        <f>IF(Source!BI72&lt;=1,H276+H277+H279+H280+H281, 0)</f>
        <v>26949.989999999998</v>
      </c>
      <c r="X283">
        <f>IF(Source!BI72=2,H276+H277+H279+H280+H281, 0)</f>
        <v>0</v>
      </c>
      <c r="Y283">
        <f>IF(Source!BI72=3,H276+H277+H279+H280+H281, 0)</f>
        <v>0</v>
      </c>
      <c r="Z283">
        <f>IF(Source!BI72=4,H276+H277+H279+H280+H281, 0)</f>
        <v>0</v>
      </c>
    </row>
    <row r="284" spans="1:26" ht="42.75" x14ac:dyDescent="0.2">
      <c r="A284" s="49" t="str">
        <f>Source!E73</f>
        <v>27</v>
      </c>
      <c r="B284" s="50" t="str">
        <f>Source!F73</f>
        <v>11-01-040-03</v>
      </c>
      <c r="C284" s="50" t="str">
        <f>Source!G73</f>
        <v>Устройство плинтусов поливинилхлоридных на винтах самонарезающих</v>
      </c>
      <c r="D284" s="33" t="str">
        <f>Source!H73</f>
        <v>100 м</v>
      </c>
      <c r="E284" s="11">
        <f>Source!I73</f>
        <v>2.0291999999999999</v>
      </c>
      <c r="F284" s="34">
        <f>Source!AL73+Source!AM73+Source!AO73</f>
        <v>137.09</v>
      </c>
      <c r="G284" s="35"/>
      <c r="H284" s="34"/>
      <c r="I284" s="35" t="str">
        <f>Source!BO73</f>
        <v/>
      </c>
      <c r="J284" s="35"/>
      <c r="K284" s="34"/>
      <c r="L284" s="36"/>
      <c r="S284">
        <f>ROUND((Source!FX73/100)*((ROUND(Source!AF73*Source!I73, 2)+ROUND(Source!AE73*Source!I73, 2))), 2)</f>
        <v>159.61000000000001</v>
      </c>
      <c r="T284">
        <f>Source!X73</f>
        <v>1141.05</v>
      </c>
      <c r="U284">
        <f>ROUND((Source!FY73/100)*((ROUND(Source!AF73*Source!I73, 2)+ROUND(Source!AE73*Source!I73, 2))), 2)</f>
        <v>91.91</v>
      </c>
      <c r="V284">
        <f>Source!Y73</f>
        <v>657.9</v>
      </c>
    </row>
    <row r="285" spans="1:26" x14ac:dyDescent="0.2">
      <c r="C285" s="26" t="str">
        <f>"Объем: "&amp;Source!I73&amp;"=202,92/"&amp;"100"</f>
        <v>Объем: 2,0292=202,92/100</v>
      </c>
    </row>
    <row r="286" spans="1:26" ht="14.25" x14ac:dyDescent="0.2">
      <c r="A286" s="49"/>
      <c r="B286" s="50"/>
      <c r="C286" s="50" t="s">
        <v>1783</v>
      </c>
      <c r="D286" s="33"/>
      <c r="E286" s="11"/>
      <c r="F286" s="34">
        <f>Source!AO73</f>
        <v>61.32</v>
      </c>
      <c r="G286" s="35" t="str">
        <f>Source!DG73</f>
        <v>)*1,15</v>
      </c>
      <c r="H286" s="34">
        <f>ROUND(Source!AF73*Source!I73, 2)</f>
        <v>143.1</v>
      </c>
      <c r="I286" s="35"/>
      <c r="J286" s="35">
        <f>IF(Source!BA73&lt;&gt; 0, Source!BA73, 1)</f>
        <v>7.13</v>
      </c>
      <c r="K286" s="34">
        <f>Source!S73</f>
        <v>1020.3</v>
      </c>
      <c r="L286" s="36"/>
      <c r="R286">
        <f>H286</f>
        <v>143.1</v>
      </c>
    </row>
    <row r="287" spans="1:26" ht="14.25" x14ac:dyDescent="0.2">
      <c r="A287" s="49"/>
      <c r="B287" s="50"/>
      <c r="C287" s="50" t="s">
        <v>449</v>
      </c>
      <c r="D287" s="33"/>
      <c r="E287" s="11"/>
      <c r="F287" s="34">
        <f>Source!AM73</f>
        <v>2.13</v>
      </c>
      <c r="G287" s="35" t="str">
        <f>Source!DE73</f>
        <v>)*1,25</v>
      </c>
      <c r="H287" s="34">
        <f>ROUND(Source!AD73*Source!I73, 2)</f>
        <v>5.42</v>
      </c>
      <c r="I287" s="35"/>
      <c r="J287" s="35">
        <f>IF(Source!BB73&lt;&gt; 0, Source!BB73, 1)</f>
        <v>7.13</v>
      </c>
      <c r="K287" s="34">
        <f>Source!Q73</f>
        <v>38.630000000000003</v>
      </c>
      <c r="L287" s="36"/>
    </row>
    <row r="288" spans="1:26" ht="14.25" x14ac:dyDescent="0.2">
      <c r="A288" s="49"/>
      <c r="B288" s="50"/>
      <c r="C288" s="50" t="s">
        <v>1784</v>
      </c>
      <c r="D288" s="33"/>
      <c r="E288" s="11"/>
      <c r="F288" s="34">
        <f>Source!AN73</f>
        <v>0.42</v>
      </c>
      <c r="G288" s="35" t="str">
        <f>Source!DF73</f>
        <v>)*1,25</v>
      </c>
      <c r="H288" s="37">
        <f>ROUND(Source!AE73*Source!I73, 2)</f>
        <v>1.08</v>
      </c>
      <c r="I288" s="35"/>
      <c r="J288" s="35">
        <f>IF(Source!BS73&lt;&gt; 0, Source!BS73, 1)</f>
        <v>7.13</v>
      </c>
      <c r="K288" s="37">
        <f>Source!R73</f>
        <v>7.67</v>
      </c>
      <c r="L288" s="36"/>
      <c r="R288">
        <f>H288</f>
        <v>1.08</v>
      </c>
    </row>
    <row r="289" spans="1:26" ht="14.25" x14ac:dyDescent="0.2">
      <c r="A289" s="49"/>
      <c r="B289" s="50"/>
      <c r="C289" s="50" t="s">
        <v>1790</v>
      </c>
      <c r="D289" s="33"/>
      <c r="E289" s="11"/>
      <c r="F289" s="34">
        <f>Source!AL73</f>
        <v>73.64</v>
      </c>
      <c r="G289" s="35" t="str">
        <f>Source!DD73</f>
        <v/>
      </c>
      <c r="H289" s="34">
        <f>ROUND(Source!AC73*Source!I73, 2)</f>
        <v>149.43</v>
      </c>
      <c r="I289" s="35"/>
      <c r="J289" s="35">
        <f>IF(Source!BC73&lt;&gt; 0, Source!BC73, 1)</f>
        <v>7.13</v>
      </c>
      <c r="K289" s="34">
        <f>Source!P73</f>
        <v>1065.44</v>
      </c>
      <c r="L289" s="36"/>
    </row>
    <row r="290" spans="1:26" ht="14.25" x14ac:dyDescent="0.2">
      <c r="A290" s="49"/>
      <c r="B290" s="50"/>
      <c r="C290" s="50" t="s">
        <v>1785</v>
      </c>
      <c r="D290" s="33" t="s">
        <v>1786</v>
      </c>
      <c r="E290" s="11">
        <f>Source!BZ73</f>
        <v>123</v>
      </c>
      <c r="F290" s="81" t="str">
        <f>CONCATENATE(" )", Source!DL73, Source!FT73, "=", Source!FX73)</f>
        <v xml:space="preserve"> )*0,9=110,7</v>
      </c>
      <c r="G290" s="88"/>
      <c r="H290" s="34">
        <f>SUM(S284:S299)</f>
        <v>159.61000000000001</v>
      </c>
      <c r="I290" s="38"/>
      <c r="J290" s="31">
        <f>Source!AT73</f>
        <v>111</v>
      </c>
      <c r="K290" s="34">
        <f>SUM(T284:T299)</f>
        <v>1141.05</v>
      </c>
      <c r="L290" s="36"/>
    </row>
    <row r="291" spans="1:26" ht="14.25" x14ac:dyDescent="0.2">
      <c r="A291" s="49"/>
      <c r="B291" s="50"/>
      <c r="C291" s="50" t="s">
        <v>1787</v>
      </c>
      <c r="D291" s="33" t="s">
        <v>1786</v>
      </c>
      <c r="E291" s="11">
        <f>Source!CA73</f>
        <v>75</v>
      </c>
      <c r="F291" s="81" t="str">
        <f>CONCATENATE(" )", Source!DM73, Source!FU73, "=", Source!FY73)</f>
        <v xml:space="preserve"> )*0,85=63,75</v>
      </c>
      <c r="G291" s="88"/>
      <c r="H291" s="34">
        <f>SUM(U284:U299)</f>
        <v>91.91</v>
      </c>
      <c r="I291" s="38"/>
      <c r="J291" s="31">
        <f>Source!AU73</f>
        <v>64</v>
      </c>
      <c r="K291" s="34">
        <f>SUM(V284:V299)</f>
        <v>657.9</v>
      </c>
      <c r="L291" s="36"/>
    </row>
    <row r="292" spans="1:26" ht="14.25" x14ac:dyDescent="0.2">
      <c r="A292" s="49"/>
      <c r="B292" s="50"/>
      <c r="C292" s="50" t="s">
        <v>1788</v>
      </c>
      <c r="D292" s="33" t="s">
        <v>1789</v>
      </c>
      <c r="E292" s="11">
        <f>Source!AQ73</f>
        <v>6.68</v>
      </c>
      <c r="F292" s="34"/>
      <c r="G292" s="35" t="str">
        <f>Source!DI73</f>
        <v>)*1,15</v>
      </c>
      <c r="H292" s="34"/>
      <c r="I292" s="35"/>
      <c r="J292" s="35"/>
      <c r="K292" s="34"/>
      <c r="L292" s="45">
        <f>Source!U73</f>
        <v>15.588314399999998</v>
      </c>
    </row>
    <row r="293" spans="1:26" ht="14.25" x14ac:dyDescent="0.2">
      <c r="A293" s="49" t="str">
        <f>Source!E74</f>
        <v>27,1</v>
      </c>
      <c r="B293" s="50" t="str">
        <f>Source!F74</f>
        <v>11.3.03.06</v>
      </c>
      <c r="C293" s="50" t="str">
        <f>Source!G74</f>
        <v>Плинтуса для полов пластиковые</v>
      </c>
      <c r="D293" s="33" t="str">
        <f>Source!H74</f>
        <v>м</v>
      </c>
      <c r="E293" s="11">
        <f>Source!I74</f>
        <v>204.94919999999999</v>
      </c>
      <c r="F293" s="34">
        <f>Source!AL74+Source!AM74+Source!AO74</f>
        <v>0</v>
      </c>
      <c r="G293" s="48" t="s">
        <v>6</v>
      </c>
      <c r="H293" s="34">
        <f>ROUND(Source!AC74*Source!I74, 2)+ROUND(Source!AD74*Source!I74, 2)+ROUND(Source!AF74*Source!I74, 2)</f>
        <v>0</v>
      </c>
      <c r="I293" s="35"/>
      <c r="J293" s="35">
        <f>IF(Source!BC74&lt;&gt; 0, Source!BC74, 1)</f>
        <v>7.13</v>
      </c>
      <c r="K293" s="34">
        <f>Source!O74</f>
        <v>0</v>
      </c>
      <c r="L293" s="36"/>
      <c r="S293">
        <f>ROUND((Source!FX74/100)*((ROUND(Source!AF74*Source!I74, 2)+ROUND(Source!AE74*Source!I74, 2))), 2)</f>
        <v>0</v>
      </c>
      <c r="T293">
        <f>Source!X74</f>
        <v>0</v>
      </c>
      <c r="U293">
        <f>ROUND((Source!FY74/100)*((ROUND(Source!AF74*Source!I74, 2)+ROUND(Source!AE74*Source!I74, 2))), 2)</f>
        <v>0</v>
      </c>
      <c r="V293">
        <f>Source!Y74</f>
        <v>0</v>
      </c>
      <c r="W293">
        <f>IF(Source!BI74&lt;=1,H293, 0)</f>
        <v>0</v>
      </c>
      <c r="X293">
        <f>IF(Source!BI74=2,H293, 0)</f>
        <v>0</v>
      </c>
      <c r="Y293">
        <f>IF(Source!BI74=3,H293, 0)</f>
        <v>0</v>
      </c>
      <c r="Z293">
        <f>IF(Source!BI74=4,H293, 0)</f>
        <v>0</v>
      </c>
    </row>
    <row r="294" spans="1:26" ht="28.5" x14ac:dyDescent="0.2">
      <c r="A294" s="49" t="str">
        <f>Source!E75</f>
        <v>27,2</v>
      </c>
      <c r="B294" s="50" t="str">
        <f>Source!F75</f>
        <v>11.3.03.06-0001</v>
      </c>
      <c r="C294" s="50" t="str">
        <f>Source!G75</f>
        <v>Плинтуса для полов пластиковые, 19х48 мм</v>
      </c>
      <c r="D294" s="33" t="str">
        <f>Source!H75</f>
        <v>м</v>
      </c>
      <c r="E294" s="11">
        <f>Source!I75</f>
        <v>204.94919999999999</v>
      </c>
      <c r="F294" s="34">
        <f>Source!AL75+Source!AM75+Source!AO75</f>
        <v>12.3</v>
      </c>
      <c r="G294" s="48" t="s">
        <v>6</v>
      </c>
      <c r="H294" s="34">
        <f>ROUND(Source!AC75*Source!I75, 2)+ROUND(Source!AD75*Source!I75, 2)+ROUND(Source!AF75*Source!I75, 2)</f>
        <v>2520.88</v>
      </c>
      <c r="I294" s="35"/>
      <c r="J294" s="35">
        <f>IF(Source!BC75&lt;&gt; 0, Source!BC75, 1)</f>
        <v>7.13</v>
      </c>
      <c r="K294" s="34">
        <f>Source!O75</f>
        <v>17973.84</v>
      </c>
      <c r="L294" s="36"/>
      <c r="S294">
        <f>ROUND((Source!FX75/100)*((ROUND(Source!AF75*Source!I75, 2)+ROUND(Source!AE75*Source!I75, 2))), 2)</f>
        <v>0</v>
      </c>
      <c r="T294">
        <f>Source!X75</f>
        <v>0</v>
      </c>
      <c r="U294">
        <f>ROUND((Source!FY75/100)*((ROUND(Source!AF75*Source!I75, 2)+ROUND(Source!AE75*Source!I75, 2))), 2)</f>
        <v>0</v>
      </c>
      <c r="V294">
        <f>Source!Y75</f>
        <v>0</v>
      </c>
      <c r="W294">
        <f>IF(Source!BI75&lt;=1,H294, 0)</f>
        <v>2520.88</v>
      </c>
      <c r="X294">
        <f>IF(Source!BI75=2,H294, 0)</f>
        <v>0</v>
      </c>
      <c r="Y294">
        <f>IF(Source!BI75=3,H294, 0)</f>
        <v>0</v>
      </c>
      <c r="Z294">
        <f>IF(Source!BI75=4,H294, 0)</f>
        <v>0</v>
      </c>
    </row>
    <row r="295" spans="1:26" ht="28.5" x14ac:dyDescent="0.2">
      <c r="A295" s="49" t="str">
        <f>Source!E76</f>
        <v>27,3</v>
      </c>
      <c r="B295" s="50" t="str">
        <f>Source!F76</f>
        <v>11.3.03.14-0002</v>
      </c>
      <c r="C295" s="50" t="str">
        <f>Source!G76</f>
        <v>Заглушка торцевая для пластикового плинтуса левая, высота 49 мм</v>
      </c>
      <c r="D295" s="33" t="str">
        <f>Source!H76</f>
        <v>100 шт.</v>
      </c>
      <c r="E295" s="11">
        <f>Source!I76</f>
        <v>0.16</v>
      </c>
      <c r="F295" s="34">
        <f>Source!AL76+Source!AM76+Source!AO76</f>
        <v>101</v>
      </c>
      <c r="G295" s="48" t="s">
        <v>6</v>
      </c>
      <c r="H295" s="34">
        <f>ROUND(Source!AC76*Source!I76, 2)+ROUND(Source!AD76*Source!I76, 2)+ROUND(Source!AF76*Source!I76, 2)</f>
        <v>16.16</v>
      </c>
      <c r="I295" s="35"/>
      <c r="J295" s="35">
        <f>IF(Source!BC76&lt;&gt; 0, Source!BC76, 1)</f>
        <v>7.13</v>
      </c>
      <c r="K295" s="34">
        <f>Source!O76</f>
        <v>115.22</v>
      </c>
      <c r="L295" s="36"/>
      <c r="S295">
        <f>ROUND((Source!FX76/100)*((ROUND(Source!AF76*Source!I76, 2)+ROUND(Source!AE76*Source!I76, 2))), 2)</f>
        <v>0</v>
      </c>
      <c r="T295">
        <f>Source!X76</f>
        <v>0</v>
      </c>
      <c r="U295">
        <f>ROUND((Source!FY76/100)*((ROUND(Source!AF76*Source!I76, 2)+ROUND(Source!AE76*Source!I76, 2))), 2)</f>
        <v>0</v>
      </c>
      <c r="V295">
        <f>Source!Y76</f>
        <v>0</v>
      </c>
      <c r="W295">
        <f>IF(Source!BI76&lt;=1,H295, 0)</f>
        <v>16.16</v>
      </c>
      <c r="X295">
        <f>IF(Source!BI76=2,H295, 0)</f>
        <v>0</v>
      </c>
      <c r="Y295">
        <f>IF(Source!BI76=3,H295, 0)</f>
        <v>0</v>
      </c>
      <c r="Z295">
        <f>IF(Source!BI76=4,H295, 0)</f>
        <v>0</v>
      </c>
    </row>
    <row r="296" spans="1:26" ht="28.5" x14ac:dyDescent="0.2">
      <c r="A296" s="49" t="str">
        <f>Source!E77</f>
        <v>27,4</v>
      </c>
      <c r="B296" s="50" t="str">
        <f>Source!F77</f>
        <v>11.3.03.14-0012</v>
      </c>
      <c r="C296" s="50" t="str">
        <f>Source!G77</f>
        <v>Заглушки торцевая для пластикового плинтуса правая, высота 49 мм</v>
      </c>
      <c r="D296" s="33" t="str">
        <f>Source!H77</f>
        <v>100 шт.</v>
      </c>
      <c r="E296" s="11">
        <f>Source!I77</f>
        <v>0.16</v>
      </c>
      <c r="F296" s="34">
        <f>Source!AL77+Source!AM77+Source!AO77</f>
        <v>101</v>
      </c>
      <c r="G296" s="48" t="s">
        <v>6</v>
      </c>
      <c r="H296" s="34">
        <f>ROUND(Source!AC77*Source!I77, 2)+ROUND(Source!AD77*Source!I77, 2)+ROUND(Source!AF77*Source!I77, 2)</f>
        <v>16.16</v>
      </c>
      <c r="I296" s="35"/>
      <c r="J296" s="35">
        <f>IF(Source!BC77&lt;&gt; 0, Source!BC77, 1)</f>
        <v>7.13</v>
      </c>
      <c r="K296" s="34">
        <f>Source!O77</f>
        <v>115.22</v>
      </c>
      <c r="L296" s="36"/>
      <c r="S296">
        <f>ROUND((Source!FX77/100)*((ROUND(Source!AF77*Source!I77, 2)+ROUND(Source!AE77*Source!I77, 2))), 2)</f>
        <v>0</v>
      </c>
      <c r="T296">
        <f>Source!X77</f>
        <v>0</v>
      </c>
      <c r="U296">
        <f>ROUND((Source!FY77/100)*((ROUND(Source!AF77*Source!I77, 2)+ROUND(Source!AE77*Source!I77, 2))), 2)</f>
        <v>0</v>
      </c>
      <c r="V296">
        <f>Source!Y77</f>
        <v>0</v>
      </c>
      <c r="W296">
        <f>IF(Source!BI77&lt;=1,H296, 0)</f>
        <v>16.16</v>
      </c>
      <c r="X296">
        <f>IF(Source!BI77=2,H296, 0)</f>
        <v>0</v>
      </c>
      <c r="Y296">
        <f>IF(Source!BI77=3,H296, 0)</f>
        <v>0</v>
      </c>
      <c r="Z296">
        <f>IF(Source!BI77=4,H296, 0)</f>
        <v>0</v>
      </c>
    </row>
    <row r="297" spans="1:26" ht="28.5" x14ac:dyDescent="0.2">
      <c r="A297" s="49" t="str">
        <f>Source!E78</f>
        <v>27,5</v>
      </c>
      <c r="B297" s="50" t="str">
        <f>Source!F78</f>
        <v>11.3.03.14-0022</v>
      </c>
      <c r="C297" s="50" t="str">
        <f>Source!G78</f>
        <v>Соединитель для пластикового плинтуса, высота 49 мм</v>
      </c>
      <c r="D297" s="33" t="str">
        <f>Source!H78</f>
        <v>100 шт.</v>
      </c>
      <c r="E297" s="11">
        <f>Source!I78</f>
        <v>0.81</v>
      </c>
      <c r="F297" s="34">
        <f>Source!AL78+Source!AM78+Source!AO78</f>
        <v>128</v>
      </c>
      <c r="G297" s="48" t="s">
        <v>6</v>
      </c>
      <c r="H297" s="34">
        <f>ROUND(Source!AC78*Source!I78, 2)+ROUND(Source!AD78*Source!I78, 2)+ROUND(Source!AF78*Source!I78, 2)</f>
        <v>103.68</v>
      </c>
      <c r="I297" s="35"/>
      <c r="J297" s="35">
        <f>IF(Source!BC78&lt;&gt; 0, Source!BC78, 1)</f>
        <v>7.13</v>
      </c>
      <c r="K297" s="34">
        <f>Source!O78</f>
        <v>739.24</v>
      </c>
      <c r="L297" s="36"/>
      <c r="S297">
        <f>ROUND((Source!FX78/100)*((ROUND(Source!AF78*Source!I78, 2)+ROUND(Source!AE78*Source!I78, 2))), 2)</f>
        <v>0</v>
      </c>
      <c r="T297">
        <f>Source!X78</f>
        <v>0</v>
      </c>
      <c r="U297">
        <f>ROUND((Source!FY78/100)*((ROUND(Source!AF78*Source!I78, 2)+ROUND(Source!AE78*Source!I78, 2))), 2)</f>
        <v>0</v>
      </c>
      <c r="V297">
        <f>Source!Y78</f>
        <v>0</v>
      </c>
      <c r="W297">
        <f>IF(Source!BI78&lt;=1,H297, 0)</f>
        <v>103.68</v>
      </c>
      <c r="X297">
        <f>IF(Source!BI78=2,H297, 0)</f>
        <v>0</v>
      </c>
      <c r="Y297">
        <f>IF(Source!BI78=3,H297, 0)</f>
        <v>0</v>
      </c>
      <c r="Z297">
        <f>IF(Source!BI78=4,H297, 0)</f>
        <v>0</v>
      </c>
    </row>
    <row r="298" spans="1:26" ht="28.5" x14ac:dyDescent="0.2">
      <c r="A298" s="49" t="str">
        <f>Source!E79</f>
        <v>27,6</v>
      </c>
      <c r="B298" s="50" t="str">
        <f>Source!F79</f>
        <v>11.3.03.14-0032</v>
      </c>
      <c r="C298" s="50" t="str">
        <f>Source!G79</f>
        <v>Уголок внутренний для пластикового плинтуса, высота 49 мм</v>
      </c>
      <c r="D298" s="33" t="str">
        <f>Source!H79</f>
        <v>100 шт.</v>
      </c>
      <c r="E298" s="11">
        <f>Source!I79</f>
        <v>0.14000000000000001</v>
      </c>
      <c r="F298" s="34">
        <f>Source!AL79+Source!AM79+Source!AO79</f>
        <v>128</v>
      </c>
      <c r="G298" s="48" t="s">
        <v>6</v>
      </c>
      <c r="H298" s="34">
        <f>ROUND(Source!AC79*Source!I79, 2)+ROUND(Source!AD79*Source!I79, 2)+ROUND(Source!AF79*Source!I79, 2)</f>
        <v>17.920000000000002</v>
      </c>
      <c r="I298" s="35"/>
      <c r="J298" s="35">
        <f>IF(Source!BC79&lt;&gt; 0, Source!BC79, 1)</f>
        <v>7.13</v>
      </c>
      <c r="K298" s="34">
        <f>Source!O79</f>
        <v>127.77</v>
      </c>
      <c r="L298" s="36"/>
      <c r="S298">
        <f>ROUND((Source!FX79/100)*((ROUND(Source!AF79*Source!I79, 2)+ROUND(Source!AE79*Source!I79, 2))), 2)</f>
        <v>0</v>
      </c>
      <c r="T298">
        <f>Source!X79</f>
        <v>0</v>
      </c>
      <c r="U298">
        <f>ROUND((Source!FY79/100)*((ROUND(Source!AF79*Source!I79, 2)+ROUND(Source!AE79*Source!I79, 2))), 2)</f>
        <v>0</v>
      </c>
      <c r="V298">
        <f>Source!Y79</f>
        <v>0</v>
      </c>
      <c r="W298">
        <f>IF(Source!BI79&lt;=1,H298, 0)</f>
        <v>17.920000000000002</v>
      </c>
      <c r="X298">
        <f>IF(Source!BI79=2,H298, 0)</f>
        <v>0</v>
      </c>
      <c r="Y298">
        <f>IF(Source!BI79=3,H298, 0)</f>
        <v>0</v>
      </c>
      <c r="Z298">
        <f>IF(Source!BI79=4,H298, 0)</f>
        <v>0</v>
      </c>
    </row>
    <row r="299" spans="1:26" ht="28.5" x14ac:dyDescent="0.2">
      <c r="A299" s="51" t="str">
        <f>Source!E80</f>
        <v>27,7</v>
      </c>
      <c r="B299" s="52" t="str">
        <f>Source!F80</f>
        <v>11.3.03.14-0034</v>
      </c>
      <c r="C299" s="52" t="str">
        <f>Source!G80</f>
        <v>Уголок наружный для пластикового плинтуса, высота 49 мм</v>
      </c>
      <c r="D299" s="39" t="str">
        <f>Source!H80</f>
        <v>100 шт.</v>
      </c>
      <c r="E299" s="40">
        <f>Source!I80</f>
        <v>0.14000000000000001</v>
      </c>
      <c r="F299" s="41">
        <f>Source!AL80+Source!AM80+Source!AO80</f>
        <v>128</v>
      </c>
      <c r="G299" s="46" t="s">
        <v>6</v>
      </c>
      <c r="H299" s="41">
        <f>ROUND(Source!AC80*Source!I80, 2)+ROUND(Source!AD80*Source!I80, 2)+ROUND(Source!AF80*Source!I80, 2)</f>
        <v>17.920000000000002</v>
      </c>
      <c r="I299" s="42"/>
      <c r="J299" s="42">
        <f>IF(Source!BC80&lt;&gt; 0, Source!BC80, 1)</f>
        <v>7.13</v>
      </c>
      <c r="K299" s="41">
        <f>Source!O80</f>
        <v>127.77</v>
      </c>
      <c r="L299" s="47"/>
      <c r="S299">
        <f>ROUND((Source!FX80/100)*((ROUND(Source!AF80*Source!I80, 2)+ROUND(Source!AE80*Source!I80, 2))), 2)</f>
        <v>0</v>
      </c>
      <c r="T299">
        <f>Source!X80</f>
        <v>0</v>
      </c>
      <c r="U299">
        <f>ROUND((Source!FY80/100)*((ROUND(Source!AF80*Source!I80, 2)+ROUND(Source!AE80*Source!I80, 2))), 2)</f>
        <v>0</v>
      </c>
      <c r="V299">
        <f>Source!Y80</f>
        <v>0</v>
      </c>
      <c r="W299">
        <f>IF(Source!BI80&lt;=1,H299, 0)</f>
        <v>17.920000000000002</v>
      </c>
      <c r="X299">
        <f>IF(Source!BI80=2,H299, 0)</f>
        <v>0</v>
      </c>
      <c r="Y299">
        <f>IF(Source!BI80=3,H299, 0)</f>
        <v>0</v>
      </c>
      <c r="Z299">
        <f>IF(Source!BI80=4,H299, 0)</f>
        <v>0</v>
      </c>
    </row>
    <row r="300" spans="1:26" ht="15" x14ac:dyDescent="0.25">
      <c r="G300" s="87">
        <f>H286+H287+H289+H290+H291+SUM(H293:H299)</f>
        <v>3242.1899999999996</v>
      </c>
      <c r="H300" s="87"/>
      <c r="J300" s="87">
        <f>K286+K287+K289+K290+K291+SUM(K293:K299)</f>
        <v>23122.380000000005</v>
      </c>
      <c r="K300" s="87"/>
      <c r="L300" s="44">
        <f>Source!U73</f>
        <v>15.588314399999998</v>
      </c>
      <c r="O300" s="27">
        <f>G300</f>
        <v>3242.1899999999996</v>
      </c>
      <c r="P300" s="27">
        <f>J300</f>
        <v>23122.380000000005</v>
      </c>
      <c r="Q300" s="27">
        <f>L300</f>
        <v>15.588314399999998</v>
      </c>
      <c r="W300">
        <f>IF(Source!BI73&lt;=1,H286+H287+H289+H290+H291, 0)</f>
        <v>549.47</v>
      </c>
      <c r="X300">
        <f>IF(Source!BI73=2,H286+H287+H289+H290+H291, 0)</f>
        <v>0</v>
      </c>
      <c r="Y300">
        <f>IF(Source!BI73=3,H286+H287+H289+H290+H291, 0)</f>
        <v>0</v>
      </c>
      <c r="Z300">
        <f>IF(Source!BI73=4,H286+H287+H289+H290+H291, 0)</f>
        <v>0</v>
      </c>
    </row>
    <row r="301" spans="1:26" ht="42.75" x14ac:dyDescent="0.2">
      <c r="A301" s="49" t="str">
        <f>Source!E81</f>
        <v>28</v>
      </c>
      <c r="B301" s="50" t="str">
        <f>Source!F81</f>
        <v>11-01-004-05</v>
      </c>
      <c r="C301" s="50" t="str">
        <f>Source!G81</f>
        <v>Устройство гидроизоляции обмазочной в один слой толщиной 2 мм</v>
      </c>
      <c r="D301" s="33" t="str">
        <f>Source!H81</f>
        <v>100 м2</v>
      </c>
      <c r="E301" s="11">
        <f>Source!I81</f>
        <v>0.38940000000000002</v>
      </c>
      <c r="F301" s="34">
        <f>Source!AL81+Source!AM81+Source!AO81</f>
        <v>1144.8800000000001</v>
      </c>
      <c r="G301" s="35"/>
      <c r="H301" s="34"/>
      <c r="I301" s="35" t="str">
        <f>Source!BO81</f>
        <v/>
      </c>
      <c r="J301" s="35"/>
      <c r="K301" s="34"/>
      <c r="L301" s="36"/>
      <c r="S301">
        <f>ROUND((Source!FX81/100)*((ROUND(Source!AF81*Source!I81, 2)+ROUND(Source!AE81*Source!I81, 2))), 2)</f>
        <v>149.13999999999999</v>
      </c>
      <c r="T301">
        <f>Source!X81</f>
        <v>1066.22</v>
      </c>
      <c r="U301">
        <f>ROUND((Source!FY81/100)*((ROUND(Source!AF81*Source!I81, 2)+ROUND(Source!AE81*Source!I81, 2))), 2)</f>
        <v>85.88</v>
      </c>
      <c r="V301">
        <f>Source!Y81</f>
        <v>614.76</v>
      </c>
    </row>
    <row r="302" spans="1:26" x14ac:dyDescent="0.2">
      <c r="C302" s="26" t="str">
        <f>"Объем: "&amp;Source!I81&amp;"=38,94/"&amp;"100"</f>
        <v>Объем: 0,3894=38,94/100</v>
      </c>
    </row>
    <row r="303" spans="1:26" ht="14.25" x14ac:dyDescent="0.2">
      <c r="A303" s="49"/>
      <c r="B303" s="50"/>
      <c r="C303" s="50" t="s">
        <v>1783</v>
      </c>
      <c r="D303" s="33"/>
      <c r="E303" s="11"/>
      <c r="F303" s="34">
        <f>Source!AO81</f>
        <v>295.05</v>
      </c>
      <c r="G303" s="35" t="str">
        <f>Source!DG81</f>
        <v>)*1,15</v>
      </c>
      <c r="H303" s="34">
        <f>ROUND(Source!AF81*Source!I81, 2)</f>
        <v>132.13</v>
      </c>
      <c r="I303" s="35"/>
      <c r="J303" s="35">
        <f>IF(Source!BA81&lt;&gt; 0, Source!BA81, 1)</f>
        <v>7.13</v>
      </c>
      <c r="K303" s="34">
        <f>Source!S81</f>
        <v>942.07</v>
      </c>
      <c r="L303" s="36"/>
      <c r="R303">
        <f>H303</f>
        <v>132.13</v>
      </c>
    </row>
    <row r="304" spans="1:26" ht="14.25" x14ac:dyDescent="0.2">
      <c r="A304" s="49"/>
      <c r="B304" s="50"/>
      <c r="C304" s="50" t="s">
        <v>449</v>
      </c>
      <c r="D304" s="33"/>
      <c r="E304" s="11"/>
      <c r="F304" s="34">
        <f>Source!AM81</f>
        <v>157.21</v>
      </c>
      <c r="G304" s="35" t="str">
        <f>Source!DE81</f>
        <v>)*1,25</v>
      </c>
      <c r="H304" s="34">
        <f>ROUND(Source!AD81*Source!I81, 2)</f>
        <v>76.52</v>
      </c>
      <c r="I304" s="35"/>
      <c r="J304" s="35">
        <f>IF(Source!BB81&lt;&gt; 0, Source!BB81, 1)</f>
        <v>7.13</v>
      </c>
      <c r="K304" s="34">
        <f>Source!Q81</f>
        <v>545.59</v>
      </c>
      <c r="L304" s="36"/>
    </row>
    <row r="305" spans="1:26" ht="14.25" x14ac:dyDescent="0.2">
      <c r="A305" s="49"/>
      <c r="B305" s="50"/>
      <c r="C305" s="50" t="s">
        <v>1784</v>
      </c>
      <c r="D305" s="33"/>
      <c r="E305" s="11"/>
      <c r="F305" s="34">
        <f>Source!AN81</f>
        <v>5.33</v>
      </c>
      <c r="G305" s="35" t="str">
        <f>Source!DF81</f>
        <v>)*1,25</v>
      </c>
      <c r="H305" s="37">
        <f>ROUND(Source!AE81*Source!I81, 2)</f>
        <v>2.59</v>
      </c>
      <c r="I305" s="35"/>
      <c r="J305" s="35">
        <f>IF(Source!BS81&lt;&gt; 0, Source!BS81, 1)</f>
        <v>7.13</v>
      </c>
      <c r="K305" s="37">
        <f>Source!R81</f>
        <v>18.489999999999998</v>
      </c>
      <c r="L305" s="36"/>
      <c r="R305">
        <f>H305</f>
        <v>2.59</v>
      </c>
    </row>
    <row r="306" spans="1:26" ht="14.25" x14ac:dyDescent="0.2">
      <c r="A306" s="49"/>
      <c r="B306" s="50"/>
      <c r="C306" s="50" t="s">
        <v>1790</v>
      </c>
      <c r="D306" s="33"/>
      <c r="E306" s="11"/>
      <c r="F306" s="34">
        <f>Source!AL81</f>
        <v>692.62</v>
      </c>
      <c r="G306" s="35" t="str">
        <f>Source!DD81</f>
        <v/>
      </c>
      <c r="H306" s="34">
        <f>ROUND(Source!AC81*Source!I81, 2)</f>
        <v>269.70999999999998</v>
      </c>
      <c r="I306" s="35"/>
      <c r="J306" s="35">
        <f>IF(Source!BC81&lt;&gt; 0, Source!BC81, 1)</f>
        <v>7.13</v>
      </c>
      <c r="K306" s="34">
        <f>Source!P81</f>
        <v>1923.01</v>
      </c>
      <c r="L306" s="36"/>
    </row>
    <row r="307" spans="1:26" ht="14.25" x14ac:dyDescent="0.2">
      <c r="A307" s="49"/>
      <c r="B307" s="50"/>
      <c r="C307" s="50" t="s">
        <v>1785</v>
      </c>
      <c r="D307" s="33" t="s">
        <v>1786</v>
      </c>
      <c r="E307" s="11">
        <f>Source!BZ81</f>
        <v>123</v>
      </c>
      <c r="F307" s="81" t="str">
        <f>CONCATENATE(" )", Source!DL81, Source!FT81, "=", Source!FX81)</f>
        <v xml:space="preserve"> )*0,9=110,7</v>
      </c>
      <c r="G307" s="88"/>
      <c r="H307" s="34">
        <f>SUM(S301:S309)</f>
        <v>149.13999999999999</v>
      </c>
      <c r="I307" s="38"/>
      <c r="J307" s="31">
        <f>Source!AT81</f>
        <v>111</v>
      </c>
      <c r="K307" s="34">
        <f>SUM(T301:T309)</f>
        <v>1066.22</v>
      </c>
      <c r="L307" s="36"/>
    </row>
    <row r="308" spans="1:26" ht="14.25" x14ac:dyDescent="0.2">
      <c r="A308" s="49"/>
      <c r="B308" s="50"/>
      <c r="C308" s="50" t="s">
        <v>1787</v>
      </c>
      <c r="D308" s="33" t="s">
        <v>1786</v>
      </c>
      <c r="E308" s="11">
        <f>Source!CA81</f>
        <v>75</v>
      </c>
      <c r="F308" s="81" t="str">
        <f>CONCATENATE(" )", Source!DM81, Source!FU81, "=", Source!FY81)</f>
        <v xml:space="preserve"> )*0,85=63,75</v>
      </c>
      <c r="G308" s="88"/>
      <c r="H308" s="34">
        <f>SUM(U301:U309)</f>
        <v>85.88</v>
      </c>
      <c r="I308" s="38"/>
      <c r="J308" s="31">
        <f>Source!AU81</f>
        <v>64</v>
      </c>
      <c r="K308" s="34">
        <f>SUM(V301:V309)</f>
        <v>614.76</v>
      </c>
      <c r="L308" s="36"/>
    </row>
    <row r="309" spans="1:26" ht="14.25" x14ac:dyDescent="0.2">
      <c r="A309" s="51"/>
      <c r="B309" s="52"/>
      <c r="C309" s="52" t="s">
        <v>1788</v>
      </c>
      <c r="D309" s="39" t="s">
        <v>1789</v>
      </c>
      <c r="E309" s="40">
        <f>Source!AQ81</f>
        <v>26.97</v>
      </c>
      <c r="F309" s="41"/>
      <c r="G309" s="42" t="str">
        <f>Source!DI81</f>
        <v>)*1,15</v>
      </c>
      <c r="H309" s="41"/>
      <c r="I309" s="42"/>
      <c r="J309" s="42"/>
      <c r="K309" s="41"/>
      <c r="L309" s="43">
        <f>Source!U81</f>
        <v>12.077435699999999</v>
      </c>
    </row>
    <row r="310" spans="1:26" ht="15" x14ac:dyDescent="0.25">
      <c r="G310" s="87">
        <f>H303+H304+H306+H307+H308</f>
        <v>713.38</v>
      </c>
      <c r="H310" s="87"/>
      <c r="J310" s="87">
        <f>K303+K304+K306+K307+K308</f>
        <v>5091.6500000000005</v>
      </c>
      <c r="K310" s="87"/>
      <c r="L310" s="44">
        <f>Source!U81</f>
        <v>12.077435699999999</v>
      </c>
      <c r="O310" s="27">
        <f>G310</f>
        <v>713.38</v>
      </c>
      <c r="P310" s="27">
        <f>J310</f>
        <v>5091.6500000000005</v>
      </c>
      <c r="Q310" s="27">
        <f>L310</f>
        <v>12.077435699999999</v>
      </c>
      <c r="W310">
        <f>IF(Source!BI81&lt;=1,H303+H304+H306+H307+H308, 0)</f>
        <v>713.38</v>
      </c>
      <c r="X310">
        <f>IF(Source!BI81=2,H303+H304+H306+H307+H308, 0)</f>
        <v>0</v>
      </c>
      <c r="Y310">
        <f>IF(Source!BI81=3,H303+H304+H306+H307+H308, 0)</f>
        <v>0</v>
      </c>
      <c r="Z310">
        <f>IF(Source!BI81=4,H303+H304+H306+H307+H308, 0)</f>
        <v>0</v>
      </c>
    </row>
    <row r="311" spans="1:26" ht="57" x14ac:dyDescent="0.2">
      <c r="A311" s="49" t="str">
        <f>Source!E82</f>
        <v>29</v>
      </c>
      <c r="B311" s="50" t="str">
        <f>Source!F82</f>
        <v>08-01-003-07</v>
      </c>
      <c r="C311" s="50" t="str">
        <f>Source!G82</f>
        <v>Гидроизоляция боковая обмазочная битумная в 2 слоя по выровненной поверхности бутовой кладки, кирпичу, бетону</v>
      </c>
      <c r="D311" s="33" t="str">
        <f>Source!H82</f>
        <v>100 м2</v>
      </c>
      <c r="E311" s="11">
        <f>Source!I82</f>
        <v>0.21060000000000001</v>
      </c>
      <c r="F311" s="34">
        <f>Source!AL82+Source!AM82+Source!AO82</f>
        <v>1171.73</v>
      </c>
      <c r="G311" s="35"/>
      <c r="H311" s="34"/>
      <c r="I311" s="35" t="str">
        <f>Source!BO82</f>
        <v/>
      </c>
      <c r="J311" s="35"/>
      <c r="K311" s="34"/>
      <c r="L311" s="36"/>
      <c r="S311">
        <f>ROUND((Source!FX82/100)*((ROUND(Source!AF82*Source!I82, 2)+ROUND(Source!AE82*Source!I82, 2))), 2)</f>
        <v>54.29</v>
      </c>
      <c r="T311">
        <f>Source!X82</f>
        <v>387.74</v>
      </c>
      <c r="U311">
        <f>ROUND((Source!FY82/100)*((ROUND(Source!AF82*Source!I82, 2)+ROUND(Source!AE82*Source!I82, 2))), 2)</f>
        <v>33.619999999999997</v>
      </c>
      <c r="V311">
        <f>Source!Y82</f>
        <v>239.69</v>
      </c>
    </row>
    <row r="312" spans="1:26" x14ac:dyDescent="0.2">
      <c r="C312" s="26" t="str">
        <f>"Объем: "&amp;Source!I82&amp;"=21,06/"&amp;"100"</f>
        <v>Объем: 0,2106=21,06/100</v>
      </c>
    </row>
    <row r="313" spans="1:26" ht="14.25" x14ac:dyDescent="0.2">
      <c r="A313" s="49"/>
      <c r="B313" s="50"/>
      <c r="C313" s="50" t="s">
        <v>1783</v>
      </c>
      <c r="D313" s="33"/>
      <c r="E313" s="11"/>
      <c r="F313" s="34">
        <f>Source!AO82</f>
        <v>201.61</v>
      </c>
      <c r="G313" s="35" t="str">
        <f>Source!DG82</f>
        <v>)*1,15</v>
      </c>
      <c r="H313" s="34">
        <f>ROUND(Source!AF82*Source!I82, 2)</f>
        <v>48.83</v>
      </c>
      <c r="I313" s="35"/>
      <c r="J313" s="35">
        <f>IF(Source!BA82&lt;&gt; 0, Source!BA82, 1)</f>
        <v>7.13</v>
      </c>
      <c r="K313" s="34">
        <f>Source!S82</f>
        <v>348.14</v>
      </c>
      <c r="L313" s="36"/>
      <c r="R313">
        <f>H313</f>
        <v>48.83</v>
      </c>
    </row>
    <row r="314" spans="1:26" ht="14.25" x14ac:dyDescent="0.2">
      <c r="A314" s="49"/>
      <c r="B314" s="50"/>
      <c r="C314" s="50" t="s">
        <v>449</v>
      </c>
      <c r="D314" s="33"/>
      <c r="E314" s="11"/>
      <c r="F314" s="34">
        <f>Source!AM82</f>
        <v>71.64</v>
      </c>
      <c r="G314" s="35" t="str">
        <f>Source!DE82</f>
        <v>)*1,25</v>
      </c>
      <c r="H314" s="34">
        <f>ROUND(Source!AD82*Source!I82, 2)</f>
        <v>18.86</v>
      </c>
      <c r="I314" s="35"/>
      <c r="J314" s="35">
        <f>IF(Source!BB82&lt;&gt; 0, Source!BB82, 1)</f>
        <v>7.13</v>
      </c>
      <c r="K314" s="34">
        <f>Source!Q82</f>
        <v>134.47</v>
      </c>
      <c r="L314" s="36"/>
    </row>
    <row r="315" spans="1:26" ht="14.25" x14ac:dyDescent="0.2">
      <c r="A315" s="49"/>
      <c r="B315" s="50"/>
      <c r="C315" s="50" t="s">
        <v>1784</v>
      </c>
      <c r="D315" s="33"/>
      <c r="E315" s="11"/>
      <c r="F315" s="34">
        <f>Source!AN82</f>
        <v>2.3199999999999998</v>
      </c>
      <c r="G315" s="35" t="str">
        <f>Source!DF82</f>
        <v>)*1,25</v>
      </c>
      <c r="H315" s="37">
        <f>ROUND(Source!AE82*Source!I82, 2)</f>
        <v>0.61</v>
      </c>
      <c r="I315" s="35"/>
      <c r="J315" s="35">
        <f>IF(Source!BS82&lt;&gt; 0, Source!BS82, 1)</f>
        <v>7.13</v>
      </c>
      <c r="K315" s="37">
        <f>Source!R82</f>
        <v>4.3499999999999996</v>
      </c>
      <c r="L315" s="36"/>
      <c r="R315">
        <f>H315</f>
        <v>0.61</v>
      </c>
    </row>
    <row r="316" spans="1:26" ht="14.25" x14ac:dyDescent="0.2">
      <c r="A316" s="49"/>
      <c r="B316" s="50"/>
      <c r="C316" s="50" t="s">
        <v>1790</v>
      </c>
      <c r="D316" s="33"/>
      <c r="E316" s="11"/>
      <c r="F316" s="34">
        <f>Source!AL82</f>
        <v>898.48</v>
      </c>
      <c r="G316" s="35" t="str">
        <f>Source!DD82</f>
        <v/>
      </c>
      <c r="H316" s="34">
        <f>ROUND(Source!AC82*Source!I82, 2)</f>
        <v>189.22</v>
      </c>
      <c r="I316" s="35"/>
      <c r="J316" s="35">
        <f>IF(Source!BC82&lt;&gt; 0, Source!BC82, 1)</f>
        <v>7.13</v>
      </c>
      <c r="K316" s="34">
        <f>Source!P82</f>
        <v>1349.14</v>
      </c>
      <c r="L316" s="36"/>
    </row>
    <row r="317" spans="1:26" ht="14.25" x14ac:dyDescent="0.2">
      <c r="A317" s="49"/>
      <c r="B317" s="50"/>
      <c r="C317" s="50" t="s">
        <v>1785</v>
      </c>
      <c r="D317" s="33" t="s">
        <v>1786</v>
      </c>
      <c r="E317" s="11">
        <f>Source!BZ82</f>
        <v>122</v>
      </c>
      <c r="F317" s="81" t="str">
        <f>CONCATENATE(" )", Source!DL82, Source!FT82, "=", Source!FX82)</f>
        <v xml:space="preserve"> )*0,9=109,8</v>
      </c>
      <c r="G317" s="88"/>
      <c r="H317" s="34">
        <f>SUM(S311:S319)</f>
        <v>54.29</v>
      </c>
      <c r="I317" s="38"/>
      <c r="J317" s="31">
        <f>Source!AT82</f>
        <v>110</v>
      </c>
      <c r="K317" s="34">
        <f>SUM(T311:T319)</f>
        <v>387.74</v>
      </c>
      <c r="L317" s="36"/>
    </row>
    <row r="318" spans="1:26" ht="14.25" x14ac:dyDescent="0.2">
      <c r="A318" s="49"/>
      <c r="B318" s="50"/>
      <c r="C318" s="50" t="s">
        <v>1787</v>
      </c>
      <c r="D318" s="33" t="s">
        <v>1786</v>
      </c>
      <c r="E318" s="11">
        <f>Source!CA82</f>
        <v>80</v>
      </c>
      <c r="F318" s="81" t="str">
        <f>CONCATENATE(" )", Source!DM82, Source!FU82, "=", Source!FY82)</f>
        <v xml:space="preserve"> )*0,85=68</v>
      </c>
      <c r="G318" s="88"/>
      <c r="H318" s="34">
        <f>SUM(U311:U319)</f>
        <v>33.619999999999997</v>
      </c>
      <c r="I318" s="38"/>
      <c r="J318" s="31">
        <f>Source!AU82</f>
        <v>68</v>
      </c>
      <c r="K318" s="34">
        <f>SUM(V311:V319)</f>
        <v>239.69</v>
      </c>
      <c r="L318" s="36"/>
    </row>
    <row r="319" spans="1:26" ht="14.25" x14ac:dyDescent="0.2">
      <c r="A319" s="51"/>
      <c r="B319" s="52"/>
      <c r="C319" s="52" t="s">
        <v>1788</v>
      </c>
      <c r="D319" s="39" t="s">
        <v>1789</v>
      </c>
      <c r="E319" s="40">
        <f>Source!AQ82</f>
        <v>21.2</v>
      </c>
      <c r="F319" s="41"/>
      <c r="G319" s="42" t="str">
        <f>Source!DI82</f>
        <v>)*1,15</v>
      </c>
      <c r="H319" s="41"/>
      <c r="I319" s="42"/>
      <c r="J319" s="42"/>
      <c r="K319" s="41"/>
      <c r="L319" s="43">
        <f>Source!U82</f>
        <v>5.1344279999999998</v>
      </c>
    </row>
    <row r="320" spans="1:26" ht="15" x14ac:dyDescent="0.25">
      <c r="G320" s="87">
        <f>H313+H314+H316+H317+H318</f>
        <v>344.82</v>
      </c>
      <c r="H320" s="87"/>
      <c r="J320" s="87">
        <f>K313+K314+K316+K317+K318</f>
        <v>2459.1799999999998</v>
      </c>
      <c r="K320" s="87"/>
      <c r="L320" s="44">
        <f>Source!U82</f>
        <v>5.1344279999999998</v>
      </c>
      <c r="O320" s="27">
        <f>G320</f>
        <v>344.82</v>
      </c>
      <c r="P320" s="27">
        <f>J320</f>
        <v>2459.1799999999998</v>
      </c>
      <c r="Q320" s="27">
        <f>L320</f>
        <v>5.1344279999999998</v>
      </c>
      <c r="W320">
        <f>IF(Source!BI82&lt;=1,H313+H314+H316+H317+H318, 0)</f>
        <v>344.82</v>
      </c>
      <c r="X320">
        <f>IF(Source!BI82=2,H313+H314+H316+H317+H318, 0)</f>
        <v>0</v>
      </c>
      <c r="Y320">
        <f>IF(Source!BI82=3,H313+H314+H316+H317+H318, 0)</f>
        <v>0</v>
      </c>
      <c r="Z320">
        <f>IF(Source!BI82=4,H313+H314+H316+H317+H318, 0)</f>
        <v>0</v>
      </c>
    </row>
    <row r="321" spans="1:26" ht="42.75" x14ac:dyDescent="0.2">
      <c r="A321" s="49" t="str">
        <f>Source!E83</f>
        <v>30</v>
      </c>
      <c r="B321" s="50" t="str">
        <f>Source!F83</f>
        <v>08-02-001-08</v>
      </c>
      <c r="C321" s="50" t="str">
        <f>Source!G83</f>
        <v>Кладка отдельных участков стен и заделка проемов в кирпичных стенах кирпичей силикатными</v>
      </c>
      <c r="D321" s="33" t="str">
        <f>Source!H83</f>
        <v>м3</v>
      </c>
      <c r="E321" s="11">
        <f>Source!I83</f>
        <v>0.67</v>
      </c>
      <c r="F321" s="34">
        <f>Source!AL83+Source!AM83+Source!AO83</f>
        <v>195.44</v>
      </c>
      <c r="G321" s="35"/>
      <c r="H321" s="34"/>
      <c r="I321" s="35" t="str">
        <f>Source!BO83</f>
        <v/>
      </c>
      <c r="J321" s="35"/>
      <c r="K321" s="34"/>
      <c r="L321" s="36"/>
      <c r="S321">
        <f>ROUND((Source!FX83/100)*((ROUND(Source!AF83*Source!I83, 2)+ROUND(Source!AE83*Source!I83, 2))), 2)</f>
        <v>39.86</v>
      </c>
      <c r="T321">
        <f>Source!X83</f>
        <v>284.7</v>
      </c>
      <c r="U321">
        <f>ROUND((Source!FY83/100)*((ROUND(Source!AF83*Source!I83, 2)+ROUND(Source!AE83*Source!I83, 2))), 2)</f>
        <v>24.68</v>
      </c>
      <c r="V321">
        <f>Source!Y83</f>
        <v>176</v>
      </c>
    </row>
    <row r="322" spans="1:26" ht="14.25" x14ac:dyDescent="0.2">
      <c r="A322" s="49"/>
      <c r="B322" s="50"/>
      <c r="C322" s="50" t="s">
        <v>1783</v>
      </c>
      <c r="D322" s="33"/>
      <c r="E322" s="11"/>
      <c r="F322" s="34">
        <f>Source!AO83</f>
        <v>41.97</v>
      </c>
      <c r="G322" s="35" t="str">
        <f>Source!DG83</f>
        <v>)*1,15</v>
      </c>
      <c r="H322" s="34">
        <f>ROUND(Source!AF83*Source!I83, 2)</f>
        <v>32.340000000000003</v>
      </c>
      <c r="I322" s="35"/>
      <c r="J322" s="35">
        <f>IF(Source!BA83&lt;&gt; 0, Source!BA83, 1)</f>
        <v>7.13</v>
      </c>
      <c r="K322" s="34">
        <f>Source!S83</f>
        <v>230.59</v>
      </c>
      <c r="L322" s="36"/>
      <c r="R322">
        <f>H322</f>
        <v>32.340000000000003</v>
      </c>
    </row>
    <row r="323" spans="1:26" ht="14.25" x14ac:dyDescent="0.2">
      <c r="A323" s="49"/>
      <c r="B323" s="50"/>
      <c r="C323" s="50" t="s">
        <v>449</v>
      </c>
      <c r="D323" s="33"/>
      <c r="E323" s="11"/>
      <c r="F323" s="34">
        <f>Source!AM83</f>
        <v>30.24</v>
      </c>
      <c r="G323" s="35" t="str">
        <f>Source!DE83</f>
        <v>)*1,25</v>
      </c>
      <c r="H323" s="34">
        <f>ROUND(Source!AD83*Source!I83, 2)</f>
        <v>25.33</v>
      </c>
      <c r="I323" s="35"/>
      <c r="J323" s="35">
        <f>IF(Source!BB83&lt;&gt; 0, Source!BB83, 1)</f>
        <v>7.13</v>
      </c>
      <c r="K323" s="34">
        <f>Source!Q83</f>
        <v>180.57</v>
      </c>
      <c r="L323" s="36"/>
    </row>
    <row r="324" spans="1:26" ht="14.25" x14ac:dyDescent="0.2">
      <c r="A324" s="49"/>
      <c r="B324" s="50"/>
      <c r="C324" s="50" t="s">
        <v>1784</v>
      </c>
      <c r="D324" s="33"/>
      <c r="E324" s="11"/>
      <c r="F324" s="34">
        <f>Source!AN83</f>
        <v>4.7300000000000004</v>
      </c>
      <c r="G324" s="35" t="str">
        <f>Source!DF83</f>
        <v>)*1,25</v>
      </c>
      <c r="H324" s="37">
        <f>ROUND(Source!AE83*Source!I83, 2)</f>
        <v>3.96</v>
      </c>
      <c r="I324" s="35"/>
      <c r="J324" s="35">
        <f>IF(Source!BS83&lt;&gt; 0, Source!BS83, 1)</f>
        <v>7.13</v>
      </c>
      <c r="K324" s="37">
        <f>Source!R83</f>
        <v>28.23</v>
      </c>
      <c r="L324" s="36"/>
      <c r="R324">
        <f>H324</f>
        <v>3.96</v>
      </c>
    </row>
    <row r="325" spans="1:26" ht="14.25" x14ac:dyDescent="0.2">
      <c r="A325" s="49"/>
      <c r="B325" s="50"/>
      <c r="C325" s="50" t="s">
        <v>1790</v>
      </c>
      <c r="D325" s="33"/>
      <c r="E325" s="11"/>
      <c r="F325" s="34">
        <f>Source!AL83</f>
        <v>123.23</v>
      </c>
      <c r="G325" s="35" t="str">
        <f>Source!DD83</f>
        <v/>
      </c>
      <c r="H325" s="34">
        <f>ROUND(Source!AC83*Source!I83, 2)</f>
        <v>82.56</v>
      </c>
      <c r="I325" s="35"/>
      <c r="J325" s="35">
        <f>IF(Source!BC83&lt;&gt; 0, Source!BC83, 1)</f>
        <v>7.13</v>
      </c>
      <c r="K325" s="34">
        <f>Source!P83</f>
        <v>588.67999999999995</v>
      </c>
      <c r="L325" s="36"/>
    </row>
    <row r="326" spans="1:26" ht="14.25" x14ac:dyDescent="0.2">
      <c r="A326" s="49"/>
      <c r="B326" s="50"/>
      <c r="C326" s="50" t="s">
        <v>1785</v>
      </c>
      <c r="D326" s="33" t="s">
        <v>1786</v>
      </c>
      <c r="E326" s="11">
        <f>Source!BZ83</f>
        <v>122</v>
      </c>
      <c r="F326" s="81" t="str">
        <f>CONCATENATE(" )", Source!DL83, Source!FT83, "=", Source!FX83)</f>
        <v xml:space="preserve"> )*0,9=109,8</v>
      </c>
      <c r="G326" s="88"/>
      <c r="H326" s="34">
        <f>SUM(S321:S329)</f>
        <v>39.86</v>
      </c>
      <c r="I326" s="38"/>
      <c r="J326" s="31">
        <f>Source!AT83</f>
        <v>110</v>
      </c>
      <c r="K326" s="34">
        <f>SUM(T321:T329)</f>
        <v>284.7</v>
      </c>
      <c r="L326" s="36"/>
    </row>
    <row r="327" spans="1:26" ht="14.25" x14ac:dyDescent="0.2">
      <c r="A327" s="49"/>
      <c r="B327" s="50"/>
      <c r="C327" s="50" t="s">
        <v>1787</v>
      </c>
      <c r="D327" s="33" t="s">
        <v>1786</v>
      </c>
      <c r="E327" s="11">
        <f>Source!CA83</f>
        <v>80</v>
      </c>
      <c r="F327" s="81" t="str">
        <f>CONCATENATE(" )", Source!DM83, Source!FU83, "=", Source!FY83)</f>
        <v xml:space="preserve"> )*0,85=68</v>
      </c>
      <c r="G327" s="88"/>
      <c r="H327" s="34">
        <f>SUM(U321:U329)</f>
        <v>24.68</v>
      </c>
      <c r="I327" s="38"/>
      <c r="J327" s="31">
        <f>Source!AU83</f>
        <v>68</v>
      </c>
      <c r="K327" s="34">
        <f>SUM(V321:V329)</f>
        <v>176</v>
      </c>
      <c r="L327" s="36"/>
    </row>
    <row r="328" spans="1:26" ht="14.25" x14ac:dyDescent="0.2">
      <c r="A328" s="49"/>
      <c r="B328" s="50"/>
      <c r="C328" s="50" t="s">
        <v>1788</v>
      </c>
      <c r="D328" s="33" t="s">
        <v>1789</v>
      </c>
      <c r="E328" s="11">
        <f>Source!AQ83</f>
        <v>5.05</v>
      </c>
      <c r="F328" s="34"/>
      <c r="G328" s="35" t="str">
        <f>Source!DI83</f>
        <v>)*1,15</v>
      </c>
      <c r="H328" s="34"/>
      <c r="I328" s="35"/>
      <c r="J328" s="35"/>
      <c r="K328" s="34"/>
      <c r="L328" s="45">
        <f>Source!U83</f>
        <v>3.8910249999999995</v>
      </c>
    </row>
    <row r="329" spans="1:26" ht="42.75" x14ac:dyDescent="0.2">
      <c r="A329" s="51" t="str">
        <f>Source!E84</f>
        <v>30,1</v>
      </c>
      <c r="B329" s="52" t="str">
        <f>Source!F84</f>
        <v>06.1.01.05-0141</v>
      </c>
      <c r="C329" s="52" t="str">
        <f>Source!G84</f>
        <v>Кирпич керамический утолщенный пустотелый лицевой, размером 250х120х88 мм, марка 125</v>
      </c>
      <c r="D329" s="39" t="str">
        <f>Source!H84</f>
        <v>1000 шт.</v>
      </c>
      <c r="E329" s="40">
        <f>Source!I84</f>
        <v>0.26465</v>
      </c>
      <c r="F329" s="41">
        <f>Source!AL84+Source!AM84+Source!AO84</f>
        <v>1882.58</v>
      </c>
      <c r="G329" s="46" t="s">
        <v>6</v>
      </c>
      <c r="H329" s="41">
        <f>ROUND(Source!AC84*Source!I84, 2)+ROUND(Source!AD84*Source!I84, 2)+ROUND(Source!AF84*Source!I84, 2)</f>
        <v>498.22</v>
      </c>
      <c r="I329" s="42"/>
      <c r="J329" s="42">
        <f>IF(Source!BC84&lt;&gt; 0, Source!BC84, 1)</f>
        <v>7.13</v>
      </c>
      <c r="K329" s="41">
        <f>Source!O84</f>
        <v>3552.34</v>
      </c>
      <c r="L329" s="47"/>
      <c r="S329">
        <f>ROUND((Source!FX84/100)*((ROUND(Source!AF84*Source!I84, 2)+ROUND(Source!AE84*Source!I84, 2))), 2)</f>
        <v>0</v>
      </c>
      <c r="T329">
        <f>Source!X84</f>
        <v>0</v>
      </c>
      <c r="U329">
        <f>ROUND((Source!FY84/100)*((ROUND(Source!AF84*Source!I84, 2)+ROUND(Source!AE84*Source!I84, 2))), 2)</f>
        <v>0</v>
      </c>
      <c r="V329">
        <f>Source!Y84</f>
        <v>0</v>
      </c>
      <c r="W329">
        <f>IF(Source!BI84&lt;=1,H329, 0)</f>
        <v>498.22</v>
      </c>
      <c r="X329">
        <f>IF(Source!BI84=2,H329, 0)</f>
        <v>0</v>
      </c>
      <c r="Y329">
        <f>IF(Source!BI84=3,H329, 0)</f>
        <v>0</v>
      </c>
      <c r="Z329">
        <f>IF(Source!BI84=4,H329, 0)</f>
        <v>0</v>
      </c>
    </row>
    <row r="330" spans="1:26" ht="15" x14ac:dyDescent="0.25">
      <c r="G330" s="87">
        <f>H322+H323+H325+H326+H327+SUM(H329:H329)</f>
        <v>702.99</v>
      </c>
      <c r="H330" s="87"/>
      <c r="J330" s="87">
        <f>K322+K323+K325+K326+K327+SUM(K329:K329)</f>
        <v>5012.88</v>
      </c>
      <c r="K330" s="87"/>
      <c r="L330" s="44">
        <f>Source!U83</f>
        <v>3.8910249999999995</v>
      </c>
      <c r="O330" s="27">
        <f>G330</f>
        <v>702.99</v>
      </c>
      <c r="P330" s="27">
        <f>J330</f>
        <v>5012.88</v>
      </c>
      <c r="Q330" s="27">
        <f>L330</f>
        <v>3.8910249999999995</v>
      </c>
      <c r="W330">
        <f>IF(Source!BI83&lt;=1,H322+H323+H325+H326+H327, 0)</f>
        <v>204.77000000000004</v>
      </c>
      <c r="X330">
        <f>IF(Source!BI83=2,H322+H323+H325+H326+H327, 0)</f>
        <v>0</v>
      </c>
      <c r="Y330">
        <f>IF(Source!BI83=3,H322+H323+H325+H326+H327, 0)</f>
        <v>0</v>
      </c>
      <c r="Z330">
        <f>IF(Source!BI83=4,H322+H323+H325+H326+H327, 0)</f>
        <v>0</v>
      </c>
    </row>
    <row r="331" spans="1:26" ht="42.75" x14ac:dyDescent="0.2">
      <c r="A331" s="49" t="str">
        <f>Source!E85</f>
        <v>31</v>
      </c>
      <c r="B331" s="50" t="str">
        <f>Source!F85</f>
        <v>11-01-036-04</v>
      </c>
      <c r="C331" s="50" t="str">
        <f>Source!G85</f>
        <v>Устройство покрытий из линолеума насухо со свариванием полотнищ в стыках</v>
      </c>
      <c r="D331" s="33" t="str">
        <f>Source!H85</f>
        <v>100 м2</v>
      </c>
      <c r="E331" s="11">
        <f>Source!I85</f>
        <v>1.927</v>
      </c>
      <c r="F331" s="34">
        <f>Source!AL85+Source!AM85+Source!AO85</f>
        <v>321.20999999999998</v>
      </c>
      <c r="G331" s="35"/>
      <c r="H331" s="34"/>
      <c r="I331" s="35" t="str">
        <f>Source!BO85</f>
        <v/>
      </c>
      <c r="J331" s="35"/>
      <c r="K331" s="34"/>
      <c r="L331" s="36"/>
      <c r="S331">
        <f>ROUND((Source!FX85/100)*((ROUND(Source!AF85*Source!I85, 2)+ROUND(Source!AE85*Source!I85, 2))), 2)</f>
        <v>667.41</v>
      </c>
      <c r="T331">
        <f>Source!X85</f>
        <v>4771.53</v>
      </c>
      <c r="U331">
        <f>ROUND((Source!FY85/100)*((ROUND(Source!AF85*Source!I85, 2)+ROUND(Source!AE85*Source!I85, 2))), 2)</f>
        <v>384.35</v>
      </c>
      <c r="V331">
        <f>Source!Y85</f>
        <v>2751.16</v>
      </c>
    </row>
    <row r="332" spans="1:26" x14ac:dyDescent="0.2">
      <c r="C332" s="26" t="str">
        <f>"Объем: "&amp;Source!I85&amp;"=192,7/"&amp;"100"</f>
        <v>Объем: 1,927=192,7/100</v>
      </c>
    </row>
    <row r="333" spans="1:26" ht="14.25" x14ac:dyDescent="0.2">
      <c r="A333" s="49"/>
      <c r="B333" s="50"/>
      <c r="C333" s="50" t="s">
        <v>1783</v>
      </c>
      <c r="D333" s="33"/>
      <c r="E333" s="11"/>
      <c r="F333" s="34">
        <f>Source!AO85</f>
        <v>261.02</v>
      </c>
      <c r="G333" s="35" t="str">
        <f>Source!DG85</f>
        <v>)*1,15</v>
      </c>
      <c r="H333" s="34">
        <f>ROUND(Source!AF85*Source!I85, 2)</f>
        <v>578.42999999999995</v>
      </c>
      <c r="I333" s="35"/>
      <c r="J333" s="35">
        <f>IF(Source!BA85&lt;&gt; 0, Source!BA85, 1)</f>
        <v>7.13</v>
      </c>
      <c r="K333" s="34">
        <f>Source!S85</f>
        <v>4124.1899999999996</v>
      </c>
      <c r="L333" s="36"/>
      <c r="R333">
        <f>H333</f>
        <v>578.42999999999995</v>
      </c>
    </row>
    <row r="334" spans="1:26" ht="14.25" x14ac:dyDescent="0.2">
      <c r="A334" s="49"/>
      <c r="B334" s="50"/>
      <c r="C334" s="50" t="s">
        <v>449</v>
      </c>
      <c r="D334" s="33"/>
      <c r="E334" s="11"/>
      <c r="F334" s="34">
        <f>Source!AM85</f>
        <v>60.19</v>
      </c>
      <c r="G334" s="35" t="str">
        <f>Source!DE85</f>
        <v>)*1,25</v>
      </c>
      <c r="H334" s="34">
        <f>ROUND(Source!AD85*Source!I85, 2)</f>
        <v>144.99</v>
      </c>
      <c r="I334" s="35"/>
      <c r="J334" s="35">
        <f>IF(Source!BB85&lt;&gt; 0, Source!BB85, 1)</f>
        <v>7.13</v>
      </c>
      <c r="K334" s="34">
        <f>Source!Q85</f>
        <v>1033.76</v>
      </c>
      <c r="L334" s="36"/>
    </row>
    <row r="335" spans="1:26" ht="14.25" x14ac:dyDescent="0.2">
      <c r="A335" s="49"/>
      <c r="B335" s="50"/>
      <c r="C335" s="50" t="s">
        <v>1784</v>
      </c>
      <c r="D335" s="33"/>
      <c r="E335" s="11"/>
      <c r="F335" s="34">
        <f>Source!AN85</f>
        <v>10.16</v>
      </c>
      <c r="G335" s="35" t="str">
        <f>Source!DF85</f>
        <v>)*1,25</v>
      </c>
      <c r="H335" s="37">
        <f>ROUND(Source!AE85*Source!I85, 2)</f>
        <v>24.47</v>
      </c>
      <c r="I335" s="35"/>
      <c r="J335" s="35">
        <f>IF(Source!BS85&lt;&gt; 0, Source!BS85, 1)</f>
        <v>7.13</v>
      </c>
      <c r="K335" s="37">
        <f>Source!R85</f>
        <v>174.49</v>
      </c>
      <c r="L335" s="36"/>
      <c r="R335">
        <f>H335</f>
        <v>24.47</v>
      </c>
    </row>
    <row r="336" spans="1:26" ht="14.25" x14ac:dyDescent="0.2">
      <c r="A336" s="49"/>
      <c r="B336" s="50"/>
      <c r="C336" s="50" t="s">
        <v>1785</v>
      </c>
      <c r="D336" s="33" t="s">
        <v>1786</v>
      </c>
      <c r="E336" s="11">
        <f>Source!BZ85</f>
        <v>123</v>
      </c>
      <c r="F336" s="81" t="str">
        <f>CONCATENATE(" )", Source!DL85, Source!FT85, "=", Source!FX85)</f>
        <v xml:space="preserve"> )*0,9=110,7</v>
      </c>
      <c r="G336" s="88"/>
      <c r="H336" s="34">
        <f>SUM(S331:S340)</f>
        <v>667.41</v>
      </c>
      <c r="I336" s="38"/>
      <c r="J336" s="31">
        <f>Source!AT85</f>
        <v>111</v>
      </c>
      <c r="K336" s="34">
        <f>SUM(T331:T340)</f>
        <v>4771.53</v>
      </c>
      <c r="L336" s="36"/>
    </row>
    <row r="337" spans="1:26" ht="14.25" x14ac:dyDescent="0.2">
      <c r="A337" s="49"/>
      <c r="B337" s="50"/>
      <c r="C337" s="50" t="s">
        <v>1787</v>
      </c>
      <c r="D337" s="33" t="s">
        <v>1786</v>
      </c>
      <c r="E337" s="11">
        <f>Source!CA85</f>
        <v>75</v>
      </c>
      <c r="F337" s="81" t="str">
        <f>CONCATENATE(" )", Source!DM85, Source!FU85, "=", Source!FY85)</f>
        <v xml:space="preserve"> )*0,85=63,75</v>
      </c>
      <c r="G337" s="88"/>
      <c r="H337" s="34">
        <f>SUM(U331:U340)</f>
        <v>384.35</v>
      </c>
      <c r="I337" s="38"/>
      <c r="J337" s="31">
        <f>Source!AU85</f>
        <v>64</v>
      </c>
      <c r="K337" s="34">
        <f>SUM(V331:V340)</f>
        <v>2751.16</v>
      </c>
      <c r="L337" s="36"/>
    </row>
    <row r="338" spans="1:26" ht="14.25" x14ac:dyDescent="0.2">
      <c r="A338" s="49"/>
      <c r="B338" s="50"/>
      <c r="C338" s="50" t="s">
        <v>1788</v>
      </c>
      <c r="D338" s="33" t="s">
        <v>1789</v>
      </c>
      <c r="E338" s="11">
        <f>Source!AQ85</f>
        <v>31.41</v>
      </c>
      <c r="F338" s="34"/>
      <c r="G338" s="35" t="str">
        <f>Source!DI85</f>
        <v>)*1,15</v>
      </c>
      <c r="H338" s="34"/>
      <c r="I338" s="35"/>
      <c r="J338" s="35"/>
      <c r="K338" s="34"/>
      <c r="L338" s="45">
        <f>Source!U85</f>
        <v>69.606130499999992</v>
      </c>
    </row>
    <row r="339" spans="1:26" ht="28.5" x14ac:dyDescent="0.2">
      <c r="A339" s="49" t="str">
        <f>Source!E86</f>
        <v>31,1</v>
      </c>
      <c r="B339" s="50" t="str">
        <f>Source!F86</f>
        <v>01.7.06.14-0034</v>
      </c>
      <c r="C339" s="50" t="str">
        <f>Source!G86</f>
        <v>Лента полимерная (фторопластовая) для сварки линолеума</v>
      </c>
      <c r="D339" s="33" t="str">
        <f>Source!H86</f>
        <v>100 м</v>
      </c>
      <c r="E339" s="11">
        <f>Source!I86</f>
        <v>1.31036</v>
      </c>
      <c r="F339" s="34">
        <f>Source!AL86+Source!AM86+Source!AO86</f>
        <v>99.4</v>
      </c>
      <c r="G339" s="48" t="s">
        <v>6</v>
      </c>
      <c r="H339" s="34">
        <f>ROUND(Source!AC86*Source!I86, 2)+ROUND(Source!AD86*Source!I86, 2)+ROUND(Source!AF86*Source!I86, 2)</f>
        <v>130.25</v>
      </c>
      <c r="I339" s="35"/>
      <c r="J339" s="35">
        <f>IF(Source!BC86&lt;&gt; 0, Source!BC86, 1)</f>
        <v>7.13</v>
      </c>
      <c r="K339" s="34">
        <f>Source!O86</f>
        <v>928.68</v>
      </c>
      <c r="L339" s="36"/>
      <c r="S339">
        <f>ROUND((Source!FX86/100)*((ROUND(Source!AF86*Source!I86, 2)+ROUND(Source!AE86*Source!I86, 2))), 2)</f>
        <v>0</v>
      </c>
      <c r="T339">
        <f>Source!X86</f>
        <v>0</v>
      </c>
      <c r="U339">
        <f>ROUND((Source!FY86/100)*((ROUND(Source!AF86*Source!I86, 2)+ROUND(Source!AE86*Source!I86, 2))), 2)</f>
        <v>0</v>
      </c>
      <c r="V339">
        <f>Source!Y86</f>
        <v>0</v>
      </c>
      <c r="W339">
        <f>IF(Source!BI86&lt;=1,H339, 0)</f>
        <v>130.25</v>
      </c>
      <c r="X339">
        <f>IF(Source!BI86=2,H339, 0)</f>
        <v>0</v>
      </c>
      <c r="Y339">
        <f>IF(Source!BI86=3,H339, 0)</f>
        <v>0</v>
      </c>
      <c r="Z339">
        <f>IF(Source!BI86=4,H339, 0)</f>
        <v>0</v>
      </c>
    </row>
    <row r="340" spans="1:26" ht="71.25" x14ac:dyDescent="0.2">
      <c r="A340" s="51" t="str">
        <f>Source!E87</f>
        <v>31,2</v>
      </c>
      <c r="B340" s="52" t="str">
        <f>Source!F87</f>
        <v>01.6.03.04-0116</v>
      </c>
      <c r="C340" s="52" t="str">
        <f>Source!G87</f>
        <v>Линолеум коммерческий гомогенный "ТАРКЕТТ iQ GRANIT SAFE.T", антискользящий (толщина 2 мм, класс 34/43, пож. безопасность Г4, В3, РП1, Д2, Т2)</v>
      </c>
      <c r="D340" s="39" t="str">
        <f>Source!H87</f>
        <v>м2</v>
      </c>
      <c r="E340" s="40">
        <f>Source!I87</f>
        <v>196.554</v>
      </c>
      <c r="F340" s="41">
        <f>Source!AL87+Source!AM87+Source!AO87</f>
        <v>181.33</v>
      </c>
      <c r="G340" s="46" t="s">
        <v>6</v>
      </c>
      <c r="H340" s="41">
        <f>ROUND(Source!AC87*Source!I87, 2)+ROUND(Source!AD87*Source!I87, 2)+ROUND(Source!AF87*Source!I87, 2)</f>
        <v>35641.14</v>
      </c>
      <c r="I340" s="42"/>
      <c r="J340" s="42">
        <f>IF(Source!BC87&lt;&gt; 0, Source!BC87, 1)</f>
        <v>7.13</v>
      </c>
      <c r="K340" s="41">
        <f>Source!O87</f>
        <v>254121.31</v>
      </c>
      <c r="L340" s="47"/>
      <c r="S340">
        <f>ROUND((Source!FX87/100)*((ROUND(Source!AF87*Source!I87, 2)+ROUND(Source!AE87*Source!I87, 2))), 2)</f>
        <v>0</v>
      </c>
      <c r="T340">
        <f>Source!X87</f>
        <v>0</v>
      </c>
      <c r="U340">
        <f>ROUND((Source!FY87/100)*((ROUND(Source!AF87*Source!I87, 2)+ROUND(Source!AE87*Source!I87, 2))), 2)</f>
        <v>0</v>
      </c>
      <c r="V340">
        <f>Source!Y87</f>
        <v>0</v>
      </c>
      <c r="W340">
        <f>IF(Source!BI87&lt;=1,H340, 0)</f>
        <v>35641.14</v>
      </c>
      <c r="X340">
        <f>IF(Source!BI87=2,H340, 0)</f>
        <v>0</v>
      </c>
      <c r="Y340">
        <f>IF(Source!BI87=3,H340, 0)</f>
        <v>0</v>
      </c>
      <c r="Z340">
        <f>IF(Source!BI87=4,H340, 0)</f>
        <v>0</v>
      </c>
    </row>
    <row r="341" spans="1:26" ht="15" x14ac:dyDescent="0.25">
      <c r="G341" s="87">
        <f>H333+H334+H336+H337+SUM(H339:H340)</f>
        <v>37546.57</v>
      </c>
      <c r="H341" s="87"/>
      <c r="J341" s="87">
        <f>K333+K334+K336+K337+SUM(K339:K340)</f>
        <v>267730.63</v>
      </c>
      <c r="K341" s="87"/>
      <c r="L341" s="44">
        <f>Source!U85</f>
        <v>69.606130499999992</v>
      </c>
      <c r="O341" s="27">
        <f>G341</f>
        <v>37546.57</v>
      </c>
      <c r="P341" s="27">
        <f>J341</f>
        <v>267730.63</v>
      </c>
      <c r="Q341" s="27">
        <f>L341</f>
        <v>69.606130499999992</v>
      </c>
      <c r="W341">
        <f>IF(Source!BI85&lt;=1,H333+H334+H336+H337, 0)</f>
        <v>1775.1799999999998</v>
      </c>
      <c r="X341">
        <f>IF(Source!BI85=2,H333+H334+H336+H337, 0)</f>
        <v>0</v>
      </c>
      <c r="Y341">
        <f>IF(Source!BI85=3,H333+H334+H336+H337, 0)</f>
        <v>0</v>
      </c>
      <c r="Z341">
        <f>IF(Source!BI85=4,H333+H334+H336+H337, 0)</f>
        <v>0</v>
      </c>
    </row>
    <row r="342" spans="1:26" ht="42.75" x14ac:dyDescent="0.2">
      <c r="A342" s="49" t="str">
        <f>Source!E88</f>
        <v>32</v>
      </c>
      <c r="B342" s="50" t="str">
        <f>Source!F88</f>
        <v>11-01-027-03</v>
      </c>
      <c r="C342" s="50" t="str">
        <f>Source!G88</f>
        <v>Устройство покрытий на цементном растворе из плиток керамических для полов одноцветных с красителем</v>
      </c>
      <c r="D342" s="33" t="str">
        <f>Source!H88</f>
        <v>100 м2</v>
      </c>
      <c r="E342" s="11">
        <f>Source!I88</f>
        <v>0.33800000000000002</v>
      </c>
      <c r="F342" s="34">
        <f>Source!AL88+Source!AM88+Source!AO88</f>
        <v>8201.43</v>
      </c>
      <c r="G342" s="35"/>
      <c r="H342" s="34"/>
      <c r="I342" s="35" t="str">
        <f>Source!BO88</f>
        <v/>
      </c>
      <c r="J342" s="35"/>
      <c r="K342" s="34"/>
      <c r="L342" s="36"/>
      <c r="S342">
        <f>ROUND((Source!FX88/100)*((ROUND(Source!AF88*Source!I88, 2)+ROUND(Source!AE88*Source!I88, 2))), 2)</f>
        <v>468.19</v>
      </c>
      <c r="T342">
        <f>Source!X88</f>
        <v>3347.29</v>
      </c>
      <c r="U342">
        <f>ROUND((Source!FY88/100)*((ROUND(Source!AF88*Source!I88, 2)+ROUND(Source!AE88*Source!I88, 2))), 2)</f>
        <v>269.62</v>
      </c>
      <c r="V342">
        <f>Source!Y88</f>
        <v>1929.97</v>
      </c>
    </row>
    <row r="343" spans="1:26" x14ac:dyDescent="0.2">
      <c r="C343" s="26" t="str">
        <f>"Объем: "&amp;Source!I88&amp;"=33,8/"&amp;"100"</f>
        <v>Объем: 0,338=33,8/100</v>
      </c>
    </row>
    <row r="344" spans="1:26" ht="14.25" x14ac:dyDescent="0.2">
      <c r="A344" s="49"/>
      <c r="B344" s="50"/>
      <c r="C344" s="50" t="s">
        <v>1783</v>
      </c>
      <c r="D344" s="33"/>
      <c r="E344" s="11"/>
      <c r="F344" s="34">
        <f>Source!AO88</f>
        <v>1046.8800000000001</v>
      </c>
      <c r="G344" s="35" t="str">
        <f>Source!DG88</f>
        <v>)*1,15</v>
      </c>
      <c r="H344" s="34">
        <f>ROUND(Source!AF88*Source!I88, 2)</f>
        <v>406.92</v>
      </c>
      <c r="I344" s="35"/>
      <c r="J344" s="35">
        <f>IF(Source!BA88&lt;&gt; 0, Source!BA88, 1)</f>
        <v>7.13</v>
      </c>
      <c r="K344" s="34">
        <f>Source!S88</f>
        <v>2901.35</v>
      </c>
      <c r="L344" s="36"/>
      <c r="R344">
        <f>H344</f>
        <v>406.92</v>
      </c>
    </row>
    <row r="345" spans="1:26" ht="14.25" x14ac:dyDescent="0.2">
      <c r="A345" s="49"/>
      <c r="B345" s="50"/>
      <c r="C345" s="50" t="s">
        <v>449</v>
      </c>
      <c r="D345" s="33"/>
      <c r="E345" s="11"/>
      <c r="F345" s="34">
        <f>Source!AM88</f>
        <v>122.7</v>
      </c>
      <c r="G345" s="35" t="str">
        <f>Source!DE88</f>
        <v>)*1,25</v>
      </c>
      <c r="H345" s="34">
        <f>ROUND(Source!AD88*Source!I88, 2)</f>
        <v>51.84</v>
      </c>
      <c r="I345" s="35"/>
      <c r="J345" s="35">
        <f>IF(Source!BB88&lt;&gt; 0, Source!BB88, 1)</f>
        <v>7.13</v>
      </c>
      <c r="K345" s="34">
        <f>Source!Q88</f>
        <v>369.64</v>
      </c>
      <c r="L345" s="36"/>
    </row>
    <row r="346" spans="1:26" ht="14.25" x14ac:dyDescent="0.2">
      <c r="A346" s="49"/>
      <c r="B346" s="50"/>
      <c r="C346" s="50" t="s">
        <v>1784</v>
      </c>
      <c r="D346" s="33"/>
      <c r="E346" s="11"/>
      <c r="F346" s="34">
        <f>Source!AN88</f>
        <v>37.92</v>
      </c>
      <c r="G346" s="35" t="str">
        <f>Source!DF88</f>
        <v>)*1,25</v>
      </c>
      <c r="H346" s="37">
        <f>ROUND(Source!AE88*Source!I88, 2)</f>
        <v>16.02</v>
      </c>
      <c r="I346" s="35"/>
      <c r="J346" s="35">
        <f>IF(Source!BS88&lt;&gt; 0, Source!BS88, 1)</f>
        <v>7.13</v>
      </c>
      <c r="K346" s="37">
        <f>Source!R88</f>
        <v>114.23</v>
      </c>
      <c r="L346" s="36"/>
      <c r="R346">
        <f>H346</f>
        <v>16.02</v>
      </c>
    </row>
    <row r="347" spans="1:26" ht="14.25" x14ac:dyDescent="0.2">
      <c r="A347" s="49"/>
      <c r="B347" s="50"/>
      <c r="C347" s="50" t="s">
        <v>1790</v>
      </c>
      <c r="D347" s="33"/>
      <c r="E347" s="11"/>
      <c r="F347" s="34">
        <f>Source!AL88</f>
        <v>7031.85</v>
      </c>
      <c r="G347" s="35" t="str">
        <f>Source!DD88</f>
        <v/>
      </c>
      <c r="H347" s="34">
        <f>ROUND(Source!AC88*Source!I88, 2)</f>
        <v>2376.77</v>
      </c>
      <c r="I347" s="35"/>
      <c r="J347" s="35">
        <f>IF(Source!BC88&lt;&gt; 0, Source!BC88, 1)</f>
        <v>7.13</v>
      </c>
      <c r="K347" s="34">
        <f>Source!P88</f>
        <v>16946.34</v>
      </c>
      <c r="L347" s="36"/>
    </row>
    <row r="348" spans="1:26" ht="14.25" x14ac:dyDescent="0.2">
      <c r="A348" s="49"/>
      <c r="B348" s="50"/>
      <c r="C348" s="50" t="s">
        <v>1785</v>
      </c>
      <c r="D348" s="33" t="s">
        <v>1786</v>
      </c>
      <c r="E348" s="11">
        <f>Source!BZ88</f>
        <v>123</v>
      </c>
      <c r="F348" s="81" t="str">
        <f>CONCATENATE(" )", Source!DL88, Source!FT88, "=", Source!FX88)</f>
        <v xml:space="preserve"> )*0,9=110,7</v>
      </c>
      <c r="G348" s="88"/>
      <c r="H348" s="34">
        <f>SUM(S342:S351)</f>
        <v>468.19</v>
      </c>
      <c r="I348" s="38"/>
      <c r="J348" s="31">
        <f>Source!AT88</f>
        <v>111</v>
      </c>
      <c r="K348" s="34">
        <f>SUM(T342:T351)</f>
        <v>3347.29</v>
      </c>
      <c r="L348" s="36"/>
    </row>
    <row r="349" spans="1:26" ht="14.25" x14ac:dyDescent="0.2">
      <c r="A349" s="49"/>
      <c r="B349" s="50"/>
      <c r="C349" s="50" t="s">
        <v>1787</v>
      </c>
      <c r="D349" s="33" t="s">
        <v>1786</v>
      </c>
      <c r="E349" s="11">
        <f>Source!CA88</f>
        <v>75</v>
      </c>
      <c r="F349" s="81" t="str">
        <f>CONCATENATE(" )", Source!DM88, Source!FU88, "=", Source!FY88)</f>
        <v xml:space="preserve"> )*0,85=63,75</v>
      </c>
      <c r="G349" s="88"/>
      <c r="H349" s="34">
        <f>SUM(U342:U351)</f>
        <v>269.62</v>
      </c>
      <c r="I349" s="38"/>
      <c r="J349" s="31">
        <f>Source!AU88</f>
        <v>64</v>
      </c>
      <c r="K349" s="34">
        <f>SUM(V342:V351)</f>
        <v>1929.97</v>
      </c>
      <c r="L349" s="36"/>
    </row>
    <row r="350" spans="1:26" ht="14.25" x14ac:dyDescent="0.2">
      <c r="A350" s="49"/>
      <c r="B350" s="50"/>
      <c r="C350" s="50" t="s">
        <v>1788</v>
      </c>
      <c r="D350" s="33" t="s">
        <v>1789</v>
      </c>
      <c r="E350" s="11">
        <f>Source!AQ88</f>
        <v>119.78</v>
      </c>
      <c r="F350" s="34"/>
      <c r="G350" s="35" t="str">
        <f>Source!DI88</f>
        <v>)*1,15</v>
      </c>
      <c r="H350" s="34"/>
      <c r="I350" s="35"/>
      <c r="J350" s="35"/>
      <c r="K350" s="34"/>
      <c r="L350" s="45">
        <f>Source!U88</f>
        <v>46.558485999999995</v>
      </c>
    </row>
    <row r="351" spans="1:26" ht="28.5" x14ac:dyDescent="0.2">
      <c r="A351" s="51" t="str">
        <f>Source!E89</f>
        <v>32,1</v>
      </c>
      <c r="B351" s="52" t="str">
        <f>Source!F89</f>
        <v>14.1.06.02-0044</v>
      </c>
      <c r="C351" s="52" t="str">
        <f>Source!G89</f>
        <v>Клей плиточный «Юнис Гранит»</v>
      </c>
      <c r="D351" s="39" t="str">
        <f>Source!H89</f>
        <v>кг</v>
      </c>
      <c r="E351" s="40">
        <f>Source!I89</f>
        <v>121.68</v>
      </c>
      <c r="F351" s="41">
        <f>Source!AL89+Source!AM89+Source!AO89</f>
        <v>3.69</v>
      </c>
      <c r="G351" s="46" t="s">
        <v>6</v>
      </c>
      <c r="H351" s="41">
        <f>ROUND(Source!AC89*Source!I89, 2)+ROUND(Source!AD89*Source!I89, 2)+ROUND(Source!AF89*Source!I89, 2)</f>
        <v>449</v>
      </c>
      <c r="I351" s="42"/>
      <c r="J351" s="42">
        <f>IF(Source!BC89&lt;&gt; 0, Source!BC89, 1)</f>
        <v>7.13</v>
      </c>
      <c r="K351" s="41">
        <f>Source!O89</f>
        <v>3201.36</v>
      </c>
      <c r="L351" s="47"/>
      <c r="S351">
        <f>ROUND((Source!FX89/100)*((ROUND(Source!AF89*Source!I89, 2)+ROUND(Source!AE89*Source!I89, 2))), 2)</f>
        <v>0</v>
      </c>
      <c r="T351">
        <f>Source!X89</f>
        <v>0</v>
      </c>
      <c r="U351">
        <f>ROUND((Source!FY89/100)*((ROUND(Source!AF89*Source!I89, 2)+ROUND(Source!AE89*Source!I89, 2))), 2)</f>
        <v>0</v>
      </c>
      <c r="V351">
        <f>Source!Y89</f>
        <v>0</v>
      </c>
      <c r="W351">
        <f>IF(Source!BI89&lt;=1,H351, 0)</f>
        <v>449</v>
      </c>
      <c r="X351">
        <f>IF(Source!BI89=2,H351, 0)</f>
        <v>0</v>
      </c>
      <c r="Y351">
        <f>IF(Source!BI89=3,H351, 0)</f>
        <v>0</v>
      </c>
      <c r="Z351">
        <f>IF(Source!BI89=4,H351, 0)</f>
        <v>0</v>
      </c>
    </row>
    <row r="352" spans="1:26" ht="15" x14ac:dyDescent="0.25">
      <c r="G352" s="87">
        <f>H344+H345+H347+H348+H349+SUM(H351:H351)</f>
        <v>4022.3399999999997</v>
      </c>
      <c r="H352" s="87"/>
      <c r="J352" s="87">
        <f>K344+K345+K347+K348+K349+SUM(K351:K351)</f>
        <v>28695.950000000004</v>
      </c>
      <c r="K352" s="87"/>
      <c r="L352" s="44">
        <f>Source!U88</f>
        <v>46.558485999999995</v>
      </c>
      <c r="O352" s="27">
        <f>G352</f>
        <v>4022.3399999999997</v>
      </c>
      <c r="P352" s="27">
        <f>J352</f>
        <v>28695.950000000004</v>
      </c>
      <c r="Q352" s="27">
        <f>L352</f>
        <v>46.558485999999995</v>
      </c>
      <c r="W352">
        <f>IF(Source!BI88&lt;=1,H344+H345+H347+H348+H349, 0)</f>
        <v>3573.3399999999997</v>
      </c>
      <c r="X352">
        <f>IF(Source!BI88=2,H344+H345+H347+H348+H349, 0)</f>
        <v>0</v>
      </c>
      <c r="Y352">
        <f>IF(Source!BI88=3,H344+H345+H347+H348+H349, 0)</f>
        <v>0</v>
      </c>
      <c r="Z352">
        <f>IF(Source!BI88=4,H344+H345+H347+H348+H349, 0)</f>
        <v>0</v>
      </c>
    </row>
    <row r="353" spans="1:26" ht="28.5" x14ac:dyDescent="0.2">
      <c r="A353" s="49" t="str">
        <f>Source!E90</f>
        <v>33</v>
      </c>
      <c r="B353" s="50" t="str">
        <f>Source!F90</f>
        <v>11-01-047-01</v>
      </c>
      <c r="C353" s="50" t="str">
        <f>Source!G90</f>
        <v>Устройство покрытий из плит керамогранитных размером 40х40 см</v>
      </c>
      <c r="D353" s="33" t="str">
        <f>Source!H90</f>
        <v>100 м2</v>
      </c>
      <c r="E353" s="11">
        <f>Source!I90</f>
        <v>0.371</v>
      </c>
      <c r="F353" s="34">
        <f>Source!AL90+Source!AM90+Source!AO90</f>
        <v>21576.86</v>
      </c>
      <c r="G353" s="35"/>
      <c r="H353" s="34"/>
      <c r="I353" s="35" t="str">
        <f>Source!BO90</f>
        <v/>
      </c>
      <c r="J353" s="35"/>
      <c r="K353" s="34"/>
      <c r="L353" s="36"/>
      <c r="S353">
        <f>ROUND((Source!FX90/100)*((ROUND(Source!AF90*Source!I90, 2)+ROUND(Source!AE90*Source!I90, 2))), 2)</f>
        <v>1290.3699999999999</v>
      </c>
      <c r="T353">
        <f>Source!X90</f>
        <v>9225.32</v>
      </c>
      <c r="U353">
        <f>ROUND((Source!FY90/100)*((ROUND(Source!AF90*Source!I90, 2)+ROUND(Source!AE90*Source!I90, 2))), 2)</f>
        <v>743.1</v>
      </c>
      <c r="V353">
        <f>Source!Y90</f>
        <v>5319.1</v>
      </c>
    </row>
    <row r="354" spans="1:26" x14ac:dyDescent="0.2">
      <c r="C354" s="26" t="str">
        <f>"Объем: "&amp;Source!I90&amp;"=37,1/"&amp;"100"</f>
        <v>Объем: 0,371=37,1/100</v>
      </c>
    </row>
    <row r="355" spans="1:26" ht="14.25" x14ac:dyDescent="0.2">
      <c r="A355" s="49"/>
      <c r="B355" s="50"/>
      <c r="C355" s="50" t="s">
        <v>1783</v>
      </c>
      <c r="D355" s="33"/>
      <c r="E355" s="11"/>
      <c r="F355" s="34">
        <f>Source!AO90</f>
        <v>2713.07</v>
      </c>
      <c r="G355" s="35" t="str">
        <f>Source!DG90</f>
        <v>)*1,15</v>
      </c>
      <c r="H355" s="34">
        <f>ROUND(Source!AF90*Source!I90, 2)</f>
        <v>1157.53</v>
      </c>
      <c r="I355" s="35"/>
      <c r="J355" s="35">
        <f>IF(Source!BA90&lt;&gt; 0, Source!BA90, 1)</f>
        <v>7.13</v>
      </c>
      <c r="K355" s="34">
        <f>Source!S90</f>
        <v>8253.2000000000007</v>
      </c>
      <c r="L355" s="36"/>
      <c r="R355">
        <f>H355</f>
        <v>1157.53</v>
      </c>
    </row>
    <row r="356" spans="1:26" ht="14.25" x14ac:dyDescent="0.2">
      <c r="A356" s="49"/>
      <c r="B356" s="50"/>
      <c r="C356" s="50" t="s">
        <v>449</v>
      </c>
      <c r="D356" s="33"/>
      <c r="E356" s="11"/>
      <c r="F356" s="34">
        <f>Source!AM90</f>
        <v>24.15</v>
      </c>
      <c r="G356" s="35" t="str">
        <f>Source!DE90</f>
        <v>)*1,25</v>
      </c>
      <c r="H356" s="34">
        <f>ROUND(Source!AD90*Source!I90, 2)</f>
        <v>11.2</v>
      </c>
      <c r="I356" s="35"/>
      <c r="J356" s="35">
        <f>IF(Source!BB90&lt;&gt; 0, Source!BB90, 1)</f>
        <v>7.13</v>
      </c>
      <c r="K356" s="34">
        <f>Source!Q90</f>
        <v>79.86</v>
      </c>
      <c r="L356" s="36"/>
    </row>
    <row r="357" spans="1:26" ht="14.25" x14ac:dyDescent="0.2">
      <c r="A357" s="49"/>
      <c r="B357" s="50"/>
      <c r="C357" s="50" t="s">
        <v>1784</v>
      </c>
      <c r="D357" s="33"/>
      <c r="E357" s="11"/>
      <c r="F357" s="34">
        <f>Source!AN90</f>
        <v>17.510000000000002</v>
      </c>
      <c r="G357" s="35" t="str">
        <f>Source!DF90</f>
        <v>)*1,25</v>
      </c>
      <c r="H357" s="37">
        <f>ROUND(Source!AE90*Source!I90, 2)</f>
        <v>8.1199999999999992</v>
      </c>
      <c r="I357" s="35"/>
      <c r="J357" s="35">
        <f>IF(Source!BS90&lt;&gt; 0, Source!BS90, 1)</f>
        <v>7.13</v>
      </c>
      <c r="K357" s="37">
        <f>Source!R90</f>
        <v>57.9</v>
      </c>
      <c r="L357" s="36"/>
      <c r="R357">
        <f>H357</f>
        <v>8.1199999999999992</v>
      </c>
    </row>
    <row r="358" spans="1:26" ht="14.25" x14ac:dyDescent="0.2">
      <c r="A358" s="49"/>
      <c r="B358" s="50"/>
      <c r="C358" s="50" t="s">
        <v>1790</v>
      </c>
      <c r="D358" s="33"/>
      <c r="E358" s="11"/>
      <c r="F358" s="34">
        <f>Source!AL90</f>
        <v>18839.64</v>
      </c>
      <c r="G358" s="35" t="str">
        <f>Source!DD90</f>
        <v/>
      </c>
      <c r="H358" s="34">
        <f>ROUND(Source!AC90*Source!I90, 2)</f>
        <v>6989.51</v>
      </c>
      <c r="I358" s="35"/>
      <c r="J358" s="35">
        <f>IF(Source!BC90&lt;&gt; 0, Source!BC90, 1)</f>
        <v>7.13</v>
      </c>
      <c r="K358" s="34">
        <f>Source!P90</f>
        <v>49835.18</v>
      </c>
      <c r="L358" s="36"/>
    </row>
    <row r="359" spans="1:26" ht="14.25" x14ac:dyDescent="0.2">
      <c r="A359" s="49"/>
      <c r="B359" s="50"/>
      <c r="C359" s="50" t="s">
        <v>1785</v>
      </c>
      <c r="D359" s="33" t="s">
        <v>1786</v>
      </c>
      <c r="E359" s="11">
        <f>Source!BZ90</f>
        <v>123</v>
      </c>
      <c r="F359" s="81" t="str">
        <f>CONCATENATE(" )", Source!DL90, Source!FT90, "=", Source!FX90)</f>
        <v xml:space="preserve"> )*0,9=110,7</v>
      </c>
      <c r="G359" s="88"/>
      <c r="H359" s="34">
        <f>SUM(S353:S361)</f>
        <v>1290.3699999999999</v>
      </c>
      <c r="I359" s="38"/>
      <c r="J359" s="31">
        <f>Source!AT90</f>
        <v>111</v>
      </c>
      <c r="K359" s="34">
        <f>SUM(T353:T361)</f>
        <v>9225.32</v>
      </c>
      <c r="L359" s="36"/>
    </row>
    <row r="360" spans="1:26" ht="14.25" x14ac:dyDescent="0.2">
      <c r="A360" s="49"/>
      <c r="B360" s="50"/>
      <c r="C360" s="50" t="s">
        <v>1787</v>
      </c>
      <c r="D360" s="33" t="s">
        <v>1786</v>
      </c>
      <c r="E360" s="11">
        <f>Source!CA90</f>
        <v>75</v>
      </c>
      <c r="F360" s="81" t="str">
        <f>CONCATENATE(" )", Source!DM90, Source!FU90, "=", Source!FY90)</f>
        <v xml:space="preserve"> )*0,85=63,75</v>
      </c>
      <c r="G360" s="88"/>
      <c r="H360" s="34">
        <f>SUM(U353:U361)</f>
        <v>743.1</v>
      </c>
      <c r="I360" s="38"/>
      <c r="J360" s="31">
        <f>Source!AU90</f>
        <v>64</v>
      </c>
      <c r="K360" s="34">
        <f>SUM(V353:V361)</f>
        <v>5319.1</v>
      </c>
      <c r="L360" s="36"/>
    </row>
    <row r="361" spans="1:26" ht="14.25" x14ac:dyDescent="0.2">
      <c r="A361" s="51"/>
      <c r="B361" s="52"/>
      <c r="C361" s="52" t="s">
        <v>1788</v>
      </c>
      <c r="D361" s="39" t="s">
        <v>1789</v>
      </c>
      <c r="E361" s="40">
        <f>Source!AQ90</f>
        <v>310.42</v>
      </c>
      <c r="F361" s="41"/>
      <c r="G361" s="42" t="str">
        <f>Source!DI90</f>
        <v>)*1,15</v>
      </c>
      <c r="H361" s="41"/>
      <c r="I361" s="42"/>
      <c r="J361" s="42"/>
      <c r="K361" s="41"/>
      <c r="L361" s="43">
        <f>Source!U90</f>
        <v>132.44069300000001</v>
      </c>
    </row>
    <row r="362" spans="1:26" ht="15" x14ac:dyDescent="0.25">
      <c r="G362" s="87">
        <f>H355+H356+H358+H359+H360</f>
        <v>10191.710000000001</v>
      </c>
      <c r="H362" s="87"/>
      <c r="J362" s="87">
        <f>K355+K356+K358+K359+K360</f>
        <v>72712.66</v>
      </c>
      <c r="K362" s="87"/>
      <c r="L362" s="44">
        <f>Source!U90</f>
        <v>132.44069300000001</v>
      </c>
      <c r="O362" s="27">
        <f>G362</f>
        <v>10191.710000000001</v>
      </c>
      <c r="P362" s="27">
        <f>J362</f>
        <v>72712.66</v>
      </c>
      <c r="Q362" s="27">
        <f>L362</f>
        <v>132.44069300000001</v>
      </c>
      <c r="W362">
        <f>IF(Source!BI90&lt;=1,H355+H356+H358+H359+H360, 0)</f>
        <v>10191.710000000001</v>
      </c>
      <c r="X362">
        <f>IF(Source!BI90=2,H355+H356+H358+H359+H360, 0)</f>
        <v>0</v>
      </c>
      <c r="Y362">
        <f>IF(Source!BI90=3,H355+H356+H358+H359+H360, 0)</f>
        <v>0</v>
      </c>
      <c r="Z362">
        <f>IF(Source!BI90=4,H355+H356+H358+H359+H360, 0)</f>
        <v>0</v>
      </c>
    </row>
    <row r="363" spans="1:26" ht="57" x14ac:dyDescent="0.2">
      <c r="A363" s="49" t="str">
        <f>Source!E91</f>
        <v>34</v>
      </c>
      <c r="B363" s="50" t="str">
        <f>Source!F91</f>
        <v>15-02-019-03</v>
      </c>
      <c r="C363" s="50" t="str">
        <f>Source!G91</f>
        <v>Сплошное выравнивание внутренних поверхностей (однослойное оштукатуривание) из сухих растворных смесей толщиной до 10 мм стен</v>
      </c>
      <c r="D363" s="33" t="str">
        <f>Source!H91</f>
        <v>100 м2</v>
      </c>
      <c r="E363" s="11">
        <f>Source!I91</f>
        <v>4.6943999999999999</v>
      </c>
      <c r="F363" s="34">
        <f>Source!AL91+Source!AM91+Source!AO91</f>
        <v>295.40999999999997</v>
      </c>
      <c r="G363" s="35"/>
      <c r="H363" s="34"/>
      <c r="I363" s="35" t="str">
        <f>Source!BO91</f>
        <v/>
      </c>
      <c r="J363" s="35"/>
      <c r="K363" s="34"/>
      <c r="L363" s="36"/>
      <c r="S363">
        <f>ROUND((Source!FX91/100)*((ROUND(Source!AF91*Source!I91, 2)+ROUND(Source!AE91*Source!I91, 2))), 2)</f>
        <v>1469.76</v>
      </c>
      <c r="T363">
        <f>Source!X91</f>
        <v>10534.84</v>
      </c>
      <c r="U363">
        <f>ROUND((Source!FY91/100)*((ROUND(Source!AF91*Source!I91, 2)+ROUND(Source!AE91*Source!I91, 2))), 2)</f>
        <v>727.1</v>
      </c>
      <c r="V363">
        <f>Source!Y91</f>
        <v>5211.9799999999996</v>
      </c>
    </row>
    <row r="364" spans="1:26" x14ac:dyDescent="0.2">
      <c r="C364" s="26" t="str">
        <f>"Объем: "&amp;Source!I91&amp;"=469,44/"&amp;"100"</f>
        <v>Объем: 4,6944=469,44/100</v>
      </c>
    </row>
    <row r="365" spans="1:26" ht="14.25" x14ac:dyDescent="0.2">
      <c r="A365" s="49"/>
      <c r="B365" s="50"/>
      <c r="C365" s="50" t="s">
        <v>1783</v>
      </c>
      <c r="D365" s="33"/>
      <c r="E365" s="11"/>
      <c r="F365" s="34">
        <f>Source!AO91</f>
        <v>277.14</v>
      </c>
      <c r="G365" s="35" t="str">
        <f>Source!DG91</f>
        <v>)*1,15</v>
      </c>
      <c r="H365" s="34">
        <f>ROUND(Source!AF91*Source!I91, 2)</f>
        <v>1496.15</v>
      </c>
      <c r="I365" s="35"/>
      <c r="J365" s="35">
        <f>IF(Source!BA91&lt;&gt; 0, Source!BA91, 1)</f>
        <v>7.13</v>
      </c>
      <c r="K365" s="34">
        <f>Source!S91</f>
        <v>10667.57</v>
      </c>
      <c r="L365" s="36"/>
      <c r="R365">
        <f>H365</f>
        <v>1496.15</v>
      </c>
    </row>
    <row r="366" spans="1:26" ht="14.25" x14ac:dyDescent="0.2">
      <c r="A366" s="49"/>
      <c r="B366" s="50"/>
      <c r="C366" s="50" t="s">
        <v>449</v>
      </c>
      <c r="D366" s="33"/>
      <c r="E366" s="11"/>
      <c r="F366" s="34">
        <f>Source!AM91</f>
        <v>17.03</v>
      </c>
      <c r="G366" s="35" t="str">
        <f>Source!DE91</f>
        <v>)*1,25</v>
      </c>
      <c r="H366" s="34">
        <f>ROUND(Source!AD91*Source!I91, 2)</f>
        <v>99.94</v>
      </c>
      <c r="I366" s="35"/>
      <c r="J366" s="35">
        <f>IF(Source!BB91&lt;&gt; 0, Source!BB91, 1)</f>
        <v>7.13</v>
      </c>
      <c r="K366" s="34">
        <f>Source!Q91</f>
        <v>712.6</v>
      </c>
      <c r="L366" s="36"/>
    </row>
    <row r="367" spans="1:26" ht="14.25" x14ac:dyDescent="0.2">
      <c r="A367" s="49"/>
      <c r="B367" s="50"/>
      <c r="C367" s="50" t="s">
        <v>1784</v>
      </c>
      <c r="D367" s="33"/>
      <c r="E367" s="11"/>
      <c r="F367" s="34">
        <f>Source!AN91</f>
        <v>10.08</v>
      </c>
      <c r="G367" s="35" t="str">
        <f>Source!DF91</f>
        <v>)*1,25</v>
      </c>
      <c r="H367" s="37">
        <f>ROUND(Source!AE91*Source!I91, 2)</f>
        <v>59.15</v>
      </c>
      <c r="I367" s="35"/>
      <c r="J367" s="35">
        <f>IF(Source!BS91&lt;&gt; 0, Source!BS91, 1)</f>
        <v>7.13</v>
      </c>
      <c r="K367" s="37">
        <f>Source!R91</f>
        <v>421.74</v>
      </c>
      <c r="L367" s="36"/>
      <c r="R367">
        <f>H367</f>
        <v>59.15</v>
      </c>
    </row>
    <row r="368" spans="1:26" ht="14.25" x14ac:dyDescent="0.2">
      <c r="A368" s="49"/>
      <c r="B368" s="50"/>
      <c r="C368" s="50" t="s">
        <v>1790</v>
      </c>
      <c r="D368" s="33"/>
      <c r="E368" s="11"/>
      <c r="F368" s="34">
        <f>Source!AL91</f>
        <v>1.24</v>
      </c>
      <c r="G368" s="35" t="str">
        <f>Source!DD91</f>
        <v/>
      </c>
      <c r="H368" s="34">
        <f>ROUND(Source!AC91*Source!I91, 2)</f>
        <v>5.82</v>
      </c>
      <c r="I368" s="35"/>
      <c r="J368" s="35">
        <f>IF(Source!BC91&lt;&gt; 0, Source!BC91, 1)</f>
        <v>7.13</v>
      </c>
      <c r="K368" s="34">
        <f>Source!P91</f>
        <v>41.5</v>
      </c>
      <c r="L368" s="36"/>
    </row>
    <row r="369" spans="1:26" ht="14.25" x14ac:dyDescent="0.2">
      <c r="A369" s="49"/>
      <c r="B369" s="50"/>
      <c r="C369" s="50" t="s">
        <v>1785</v>
      </c>
      <c r="D369" s="33" t="s">
        <v>1786</v>
      </c>
      <c r="E369" s="11">
        <f>Source!BZ91</f>
        <v>105</v>
      </c>
      <c r="F369" s="81" t="str">
        <f>CONCATENATE(" )", Source!DL91, Source!FT91, "=", Source!FX91)</f>
        <v xml:space="preserve"> )*0,9=94,5</v>
      </c>
      <c r="G369" s="88"/>
      <c r="H369" s="34">
        <f>SUM(S363:S372)</f>
        <v>1469.76</v>
      </c>
      <c r="I369" s="38"/>
      <c r="J369" s="31">
        <f>Source!AT91</f>
        <v>95</v>
      </c>
      <c r="K369" s="34">
        <f>SUM(T363:T372)</f>
        <v>10534.84</v>
      </c>
      <c r="L369" s="36"/>
    </row>
    <row r="370" spans="1:26" ht="14.25" x14ac:dyDescent="0.2">
      <c r="A370" s="49"/>
      <c r="B370" s="50"/>
      <c r="C370" s="50" t="s">
        <v>1787</v>
      </c>
      <c r="D370" s="33" t="s">
        <v>1786</v>
      </c>
      <c r="E370" s="11">
        <f>Source!CA91</f>
        <v>55</v>
      </c>
      <c r="F370" s="81" t="str">
        <f>CONCATENATE(" )", Source!DM91, Source!FU91, "=", Source!FY91)</f>
        <v xml:space="preserve"> )*0,85=46,75</v>
      </c>
      <c r="G370" s="88"/>
      <c r="H370" s="34">
        <f>SUM(U363:U372)</f>
        <v>727.1</v>
      </c>
      <c r="I370" s="38"/>
      <c r="J370" s="31">
        <f>Source!AU91</f>
        <v>47</v>
      </c>
      <c r="K370" s="34">
        <f>SUM(V363:V372)</f>
        <v>5211.9799999999996</v>
      </c>
      <c r="L370" s="36"/>
    </row>
    <row r="371" spans="1:26" ht="14.25" x14ac:dyDescent="0.2">
      <c r="A371" s="49"/>
      <c r="B371" s="50"/>
      <c r="C371" s="50" t="s">
        <v>1788</v>
      </c>
      <c r="D371" s="33" t="s">
        <v>1789</v>
      </c>
      <c r="E371" s="11">
        <f>Source!AQ91</f>
        <v>32.49</v>
      </c>
      <c r="F371" s="34"/>
      <c r="G371" s="35" t="str">
        <f>Source!DI91</f>
        <v>)*1,15</v>
      </c>
      <c r="H371" s="34"/>
      <c r="I371" s="35"/>
      <c r="J371" s="35"/>
      <c r="K371" s="34"/>
      <c r="L371" s="45">
        <f>Source!U91</f>
        <v>175.39921440000001</v>
      </c>
    </row>
    <row r="372" spans="1:26" ht="42.75" x14ac:dyDescent="0.2">
      <c r="A372" s="51" t="str">
        <f>Source!E92</f>
        <v>34,1</v>
      </c>
      <c r="B372" s="52" t="str">
        <f>Source!F92</f>
        <v>04.3.02.12-0002</v>
      </c>
      <c r="C372" s="52" t="str">
        <f>Source!G92</f>
        <v>Смесь сухая штукатурная цементно-известково-песчаная "БИРСС 22" (марка М100)</v>
      </c>
      <c r="D372" s="39" t="str">
        <f>Source!H92</f>
        <v>т</v>
      </c>
      <c r="E372" s="40">
        <f>Source!I92</f>
        <v>3.99024</v>
      </c>
      <c r="F372" s="41">
        <f>Source!AL92+Source!AM92+Source!AO92</f>
        <v>931.37</v>
      </c>
      <c r="G372" s="46" t="s">
        <v>6</v>
      </c>
      <c r="H372" s="41">
        <f>ROUND(Source!AC92*Source!I92, 2)+ROUND(Source!AD92*Source!I92, 2)+ROUND(Source!AF92*Source!I92, 2)</f>
        <v>3716.39</v>
      </c>
      <c r="I372" s="42"/>
      <c r="J372" s="42">
        <f>IF(Source!BC92&lt;&gt; 0, Source!BC92, 1)</f>
        <v>7.13</v>
      </c>
      <c r="K372" s="41">
        <f>Source!O92</f>
        <v>26497.86</v>
      </c>
      <c r="L372" s="47"/>
      <c r="S372">
        <f>ROUND((Source!FX92/100)*((ROUND(Source!AF92*Source!I92, 2)+ROUND(Source!AE92*Source!I92, 2))), 2)</f>
        <v>0</v>
      </c>
      <c r="T372">
        <f>Source!X92</f>
        <v>0</v>
      </c>
      <c r="U372">
        <f>ROUND((Source!FY92/100)*((ROUND(Source!AF92*Source!I92, 2)+ROUND(Source!AE92*Source!I92, 2))), 2)</f>
        <v>0</v>
      </c>
      <c r="V372">
        <f>Source!Y92</f>
        <v>0</v>
      </c>
      <c r="W372">
        <f>IF(Source!BI92&lt;=1,H372, 0)</f>
        <v>3716.39</v>
      </c>
      <c r="X372">
        <f>IF(Source!BI92=2,H372, 0)</f>
        <v>0</v>
      </c>
      <c r="Y372">
        <f>IF(Source!BI92=3,H372, 0)</f>
        <v>0</v>
      </c>
      <c r="Z372">
        <f>IF(Source!BI92=4,H372, 0)</f>
        <v>0</v>
      </c>
    </row>
    <row r="373" spans="1:26" ht="15" x14ac:dyDescent="0.25">
      <c r="G373" s="87">
        <f>H365+H366+H368+H369+H370+SUM(H372:H372)</f>
        <v>7515.16</v>
      </c>
      <c r="H373" s="87"/>
      <c r="J373" s="87">
        <f>K365+K366+K368+K369+K370+SUM(K372:K372)</f>
        <v>53666.350000000006</v>
      </c>
      <c r="K373" s="87"/>
      <c r="L373" s="44">
        <f>Source!U91</f>
        <v>175.39921440000001</v>
      </c>
      <c r="O373" s="27">
        <f>G373</f>
        <v>7515.16</v>
      </c>
      <c r="P373" s="27">
        <f>J373</f>
        <v>53666.350000000006</v>
      </c>
      <c r="Q373" s="27">
        <f>L373</f>
        <v>175.39921440000001</v>
      </c>
      <c r="W373">
        <f>IF(Source!BI91&lt;=1,H365+H366+H368+H369+H370, 0)</f>
        <v>3798.77</v>
      </c>
      <c r="X373">
        <f>IF(Source!BI91=2,H365+H366+H368+H369+H370, 0)</f>
        <v>0</v>
      </c>
      <c r="Y373">
        <f>IF(Source!BI91=3,H365+H366+H368+H369+H370, 0)</f>
        <v>0</v>
      </c>
      <c r="Z373">
        <f>IF(Source!BI91=4,H365+H366+H368+H369+H370, 0)</f>
        <v>0</v>
      </c>
    </row>
    <row r="374" spans="1:26" ht="28.5" x14ac:dyDescent="0.2">
      <c r="A374" s="49" t="str">
        <f>Source!E93</f>
        <v>35</v>
      </c>
      <c r="B374" s="50" t="str">
        <f>Source!F93</f>
        <v>15-04-006-03</v>
      </c>
      <c r="C374" s="50" t="str">
        <f>Source!G93</f>
        <v>Покрытие поверхностей грунтовкой глубокого проникновения за 1 раз стен</v>
      </c>
      <c r="D374" s="33" t="str">
        <f>Source!H93</f>
        <v>100 м2</v>
      </c>
      <c r="E374" s="11">
        <f>Source!I93</f>
        <v>6.0782999999999996</v>
      </c>
      <c r="F374" s="34">
        <f>Source!AL93+Source!AM93+Source!AO93</f>
        <v>64.16</v>
      </c>
      <c r="G374" s="35"/>
      <c r="H374" s="34"/>
      <c r="I374" s="35" t="str">
        <f>Source!BO93</f>
        <v/>
      </c>
      <c r="J374" s="35"/>
      <c r="K374" s="34"/>
      <c r="L374" s="36"/>
      <c r="S374">
        <f>ROUND((Source!FX93/100)*((ROUND(Source!AF93*Source!I93, 2)+ROUND(Source!AE93*Source!I93, 2))), 2)</f>
        <v>418.11</v>
      </c>
      <c r="T374">
        <f>Source!X93</f>
        <v>2996.86</v>
      </c>
      <c r="U374">
        <f>ROUND((Source!FY93/100)*((ROUND(Source!AF93*Source!I93, 2)+ROUND(Source!AE93*Source!I93, 2))), 2)</f>
        <v>206.84</v>
      </c>
      <c r="V374">
        <f>Source!Y93</f>
        <v>1482.66</v>
      </c>
    </row>
    <row r="375" spans="1:26" x14ac:dyDescent="0.2">
      <c r="C375" s="26" t="str">
        <f>"Объем: "&amp;Source!I93&amp;"=607,83/"&amp;"100"</f>
        <v>Объем: 6,0783=607,83/100</v>
      </c>
    </row>
    <row r="376" spans="1:26" ht="14.25" x14ac:dyDescent="0.2">
      <c r="A376" s="49"/>
      <c r="B376" s="50"/>
      <c r="C376" s="50" t="s">
        <v>1783</v>
      </c>
      <c r="D376" s="33"/>
      <c r="E376" s="11"/>
      <c r="F376" s="34">
        <f>Source!AO93</f>
        <v>63.01</v>
      </c>
      <c r="G376" s="35" t="str">
        <f>Source!DG93</f>
        <v>)*1,15</v>
      </c>
      <c r="H376" s="34">
        <f>ROUND(Source!AF93*Source!I93, 2)</f>
        <v>440.43</v>
      </c>
      <c r="I376" s="35"/>
      <c r="J376" s="35">
        <f>IF(Source!BA93&lt;&gt; 0, Source!BA93, 1)</f>
        <v>7.13</v>
      </c>
      <c r="K376" s="34">
        <f>Source!S93</f>
        <v>3140.29</v>
      </c>
      <c r="L376" s="36"/>
      <c r="R376">
        <f>H376</f>
        <v>440.43</v>
      </c>
    </row>
    <row r="377" spans="1:26" ht="14.25" x14ac:dyDescent="0.2">
      <c r="A377" s="49"/>
      <c r="B377" s="50"/>
      <c r="C377" s="50" t="s">
        <v>449</v>
      </c>
      <c r="D377" s="33"/>
      <c r="E377" s="11"/>
      <c r="F377" s="34">
        <f>Source!AM93</f>
        <v>0.97</v>
      </c>
      <c r="G377" s="35" t="str">
        <f>Source!DE93</f>
        <v>)*1,25</v>
      </c>
      <c r="H377" s="34">
        <f>ROUND(Source!AD93*Source!I93, 2)</f>
        <v>7.42</v>
      </c>
      <c r="I377" s="35"/>
      <c r="J377" s="35">
        <f>IF(Source!BB93&lt;&gt; 0, Source!BB93, 1)</f>
        <v>7.13</v>
      </c>
      <c r="K377" s="34">
        <f>Source!Q93</f>
        <v>52.87</v>
      </c>
      <c r="L377" s="36"/>
    </row>
    <row r="378" spans="1:26" ht="14.25" x14ac:dyDescent="0.2">
      <c r="A378" s="49"/>
      <c r="B378" s="50"/>
      <c r="C378" s="50" t="s">
        <v>1784</v>
      </c>
      <c r="D378" s="33"/>
      <c r="E378" s="11"/>
      <c r="F378" s="34">
        <f>Source!AN93</f>
        <v>0.26</v>
      </c>
      <c r="G378" s="35" t="str">
        <f>Source!DF93</f>
        <v>)*1,25</v>
      </c>
      <c r="H378" s="37">
        <f>ROUND(Source!AE93*Source!I93, 2)</f>
        <v>2.0099999999999998</v>
      </c>
      <c r="I378" s="35"/>
      <c r="J378" s="35">
        <f>IF(Source!BS93&lt;&gt; 0, Source!BS93, 1)</f>
        <v>7.13</v>
      </c>
      <c r="K378" s="37">
        <f>Source!R93</f>
        <v>14.3</v>
      </c>
      <c r="L378" s="36"/>
      <c r="R378">
        <f>H378</f>
        <v>2.0099999999999998</v>
      </c>
    </row>
    <row r="379" spans="1:26" ht="14.25" x14ac:dyDescent="0.2">
      <c r="A379" s="49"/>
      <c r="B379" s="50"/>
      <c r="C379" s="50" t="s">
        <v>1790</v>
      </c>
      <c r="D379" s="33"/>
      <c r="E379" s="11"/>
      <c r="F379" s="34">
        <f>Source!AL93</f>
        <v>0.18</v>
      </c>
      <c r="G379" s="35" t="str">
        <f>Source!DD93</f>
        <v/>
      </c>
      <c r="H379" s="34">
        <f>ROUND(Source!AC93*Source!I93, 2)</f>
        <v>1.0900000000000001</v>
      </c>
      <c r="I379" s="35"/>
      <c r="J379" s="35">
        <f>IF(Source!BC93&lt;&gt; 0, Source!BC93, 1)</f>
        <v>7.13</v>
      </c>
      <c r="K379" s="34">
        <f>Source!P93</f>
        <v>7.8</v>
      </c>
      <c r="L379" s="36"/>
    </row>
    <row r="380" spans="1:26" ht="14.25" x14ac:dyDescent="0.2">
      <c r="A380" s="49"/>
      <c r="B380" s="50"/>
      <c r="C380" s="50" t="s">
        <v>1785</v>
      </c>
      <c r="D380" s="33" t="s">
        <v>1786</v>
      </c>
      <c r="E380" s="11">
        <f>Source!BZ93</f>
        <v>105</v>
      </c>
      <c r="F380" s="81" t="str">
        <f>CONCATENATE(" )", Source!DL93, Source!FT93, "=", Source!FX93)</f>
        <v xml:space="preserve"> )*0,9=94,5</v>
      </c>
      <c r="G380" s="88"/>
      <c r="H380" s="34">
        <f>SUM(S374:S384)</f>
        <v>418.11</v>
      </c>
      <c r="I380" s="38"/>
      <c r="J380" s="31">
        <f>Source!AT93</f>
        <v>95</v>
      </c>
      <c r="K380" s="34">
        <f>SUM(T374:T384)</f>
        <v>2996.86</v>
      </c>
      <c r="L380" s="36"/>
    </row>
    <row r="381" spans="1:26" ht="14.25" x14ac:dyDescent="0.2">
      <c r="A381" s="49"/>
      <c r="B381" s="50"/>
      <c r="C381" s="50" t="s">
        <v>1787</v>
      </c>
      <c r="D381" s="33" t="s">
        <v>1786</v>
      </c>
      <c r="E381" s="11">
        <f>Source!CA93</f>
        <v>55</v>
      </c>
      <c r="F381" s="81" t="str">
        <f>CONCATENATE(" )", Source!DM93, Source!FU93, "=", Source!FY93)</f>
        <v xml:space="preserve"> )*0,85=46,75</v>
      </c>
      <c r="G381" s="88"/>
      <c r="H381" s="34">
        <f>SUM(U374:U384)</f>
        <v>206.84</v>
      </c>
      <c r="I381" s="38"/>
      <c r="J381" s="31">
        <f>Source!AU93</f>
        <v>47</v>
      </c>
      <c r="K381" s="34">
        <f>SUM(V374:V384)</f>
        <v>1482.66</v>
      </c>
      <c r="L381" s="36"/>
    </row>
    <row r="382" spans="1:26" ht="14.25" x14ac:dyDescent="0.2">
      <c r="A382" s="49"/>
      <c r="B382" s="50"/>
      <c r="C382" s="50" t="s">
        <v>1788</v>
      </c>
      <c r="D382" s="33" t="s">
        <v>1789</v>
      </c>
      <c r="E382" s="11">
        <f>Source!AQ93</f>
        <v>6.55</v>
      </c>
      <c r="F382" s="34"/>
      <c r="G382" s="35" t="str">
        <f>Source!DI93</f>
        <v>)*1,15</v>
      </c>
      <c r="H382" s="34"/>
      <c r="I382" s="35"/>
      <c r="J382" s="35"/>
      <c r="K382" s="34"/>
      <c r="L382" s="45">
        <f>Source!U93</f>
        <v>45.784794749999989</v>
      </c>
    </row>
    <row r="383" spans="1:26" ht="14.25" x14ac:dyDescent="0.2">
      <c r="A383" s="49" t="str">
        <f>Source!E94</f>
        <v>35,1</v>
      </c>
      <c r="B383" s="50" t="str">
        <f>Source!F94</f>
        <v>14.4.01.21</v>
      </c>
      <c r="C383" s="50" t="str">
        <f>Source!G94</f>
        <v>Грунтовка</v>
      </c>
      <c r="D383" s="33" t="str">
        <f>Source!H94</f>
        <v>т</v>
      </c>
      <c r="E383" s="11">
        <f>Source!I94</f>
        <v>7.9018000000000005E-2</v>
      </c>
      <c r="F383" s="34">
        <f>Source!AL94+Source!AM94+Source!AO94</f>
        <v>0</v>
      </c>
      <c r="G383" s="48" t="s">
        <v>6</v>
      </c>
      <c r="H383" s="34">
        <f>ROUND(Source!AC94*Source!I94, 2)+ROUND(Source!AD94*Source!I94, 2)+ROUND(Source!AF94*Source!I94, 2)</f>
        <v>0</v>
      </c>
      <c r="I383" s="35"/>
      <c r="J383" s="35">
        <f>IF(Source!BC94&lt;&gt; 0, Source!BC94, 1)</f>
        <v>7.13</v>
      </c>
      <c r="K383" s="34">
        <f>Source!O94</f>
        <v>0</v>
      </c>
      <c r="L383" s="36"/>
      <c r="S383">
        <f>ROUND((Source!FX94/100)*((ROUND(Source!AF94*Source!I94, 2)+ROUND(Source!AE94*Source!I94, 2))), 2)</f>
        <v>0</v>
      </c>
      <c r="T383">
        <f>Source!X94</f>
        <v>0</v>
      </c>
      <c r="U383">
        <f>ROUND((Source!FY94/100)*((ROUND(Source!AF94*Source!I94, 2)+ROUND(Source!AE94*Source!I94, 2))), 2)</f>
        <v>0</v>
      </c>
      <c r="V383">
        <f>Source!Y94</f>
        <v>0</v>
      </c>
      <c r="W383">
        <f>IF(Source!BI94&lt;=1,H383, 0)</f>
        <v>0</v>
      </c>
      <c r="X383">
        <f>IF(Source!BI94=2,H383, 0)</f>
        <v>0</v>
      </c>
      <c r="Y383">
        <f>IF(Source!BI94=3,H383, 0)</f>
        <v>0</v>
      </c>
      <c r="Z383">
        <f>IF(Source!BI94=4,H383, 0)</f>
        <v>0</v>
      </c>
    </row>
    <row r="384" spans="1:26" ht="28.5" x14ac:dyDescent="0.2">
      <c r="A384" s="51" t="str">
        <f>Source!E95</f>
        <v>35,2</v>
      </c>
      <c r="B384" s="52" t="str">
        <f>Source!F95</f>
        <v>14.3.01.02-0102</v>
      </c>
      <c r="C384" s="52" t="str">
        <f>Source!G95</f>
        <v>Грунтовка: водно-дисперсионная "БИРСС Бетон-контакт"</v>
      </c>
      <c r="D384" s="39" t="str">
        <f>Source!H95</f>
        <v>т</v>
      </c>
      <c r="E384" s="40">
        <f>Source!I95</f>
        <v>7.9018000000000005E-2</v>
      </c>
      <c r="F384" s="41">
        <f>Source!AL95+Source!AM95+Source!AO95</f>
        <v>18390.16</v>
      </c>
      <c r="G384" s="46" t="s">
        <v>6</v>
      </c>
      <c r="H384" s="41">
        <f>ROUND(Source!AC95*Source!I95, 2)+ROUND(Source!AD95*Source!I95, 2)+ROUND(Source!AF95*Source!I95, 2)</f>
        <v>1453.15</v>
      </c>
      <c r="I384" s="42"/>
      <c r="J384" s="42">
        <f>IF(Source!BC95&lt;&gt; 0, Source!BC95, 1)</f>
        <v>7.13</v>
      </c>
      <c r="K384" s="41">
        <f>Source!O95</f>
        <v>10360.99</v>
      </c>
      <c r="L384" s="47"/>
      <c r="S384">
        <f>ROUND((Source!FX95/100)*((ROUND(Source!AF95*Source!I95, 2)+ROUND(Source!AE95*Source!I95, 2))), 2)</f>
        <v>0</v>
      </c>
      <c r="T384">
        <f>Source!X95</f>
        <v>0</v>
      </c>
      <c r="U384">
        <f>ROUND((Source!FY95/100)*((ROUND(Source!AF95*Source!I95, 2)+ROUND(Source!AE95*Source!I95, 2))), 2)</f>
        <v>0</v>
      </c>
      <c r="V384">
        <f>Source!Y95</f>
        <v>0</v>
      </c>
      <c r="W384">
        <f>IF(Source!BI95&lt;=1,H384, 0)</f>
        <v>1453.15</v>
      </c>
      <c r="X384">
        <f>IF(Source!BI95=2,H384, 0)</f>
        <v>0</v>
      </c>
      <c r="Y384">
        <f>IF(Source!BI95=3,H384, 0)</f>
        <v>0</v>
      </c>
      <c r="Z384">
        <f>IF(Source!BI95=4,H384, 0)</f>
        <v>0</v>
      </c>
    </row>
    <row r="385" spans="1:26" ht="15" x14ac:dyDescent="0.25">
      <c r="G385" s="87">
        <f>H376+H377+H379+H380+H381+SUM(H383:H384)</f>
        <v>2527.04</v>
      </c>
      <c r="H385" s="87"/>
      <c r="J385" s="87">
        <f>K376+K377+K379+K380+K381+SUM(K383:K384)</f>
        <v>18041.47</v>
      </c>
      <c r="K385" s="87"/>
      <c r="L385" s="44">
        <f>Source!U93</f>
        <v>45.784794749999989</v>
      </c>
      <c r="O385" s="27">
        <f>G385</f>
        <v>2527.04</v>
      </c>
      <c r="P385" s="27">
        <f>J385</f>
        <v>18041.47</v>
      </c>
      <c r="Q385" s="27">
        <f>L385</f>
        <v>45.784794749999989</v>
      </c>
      <c r="W385">
        <f>IF(Source!BI93&lt;=1,H376+H377+H379+H380+H381, 0)</f>
        <v>1073.8899999999999</v>
      </c>
      <c r="X385">
        <f>IF(Source!BI93=2,H376+H377+H379+H380+H381, 0)</f>
        <v>0</v>
      </c>
      <c r="Y385">
        <f>IF(Source!BI93=3,H376+H377+H379+H380+H381, 0)</f>
        <v>0</v>
      </c>
      <c r="Z385">
        <f>IF(Source!BI93=4,H376+H377+H379+H380+H381, 0)</f>
        <v>0</v>
      </c>
    </row>
    <row r="386" spans="1:26" ht="57" x14ac:dyDescent="0.2">
      <c r="A386" s="49" t="str">
        <f>Source!E96</f>
        <v>36</v>
      </c>
      <c r="B386" s="50" t="str">
        <f>Source!F96</f>
        <v>15-02-016-03</v>
      </c>
      <c r="C386" s="50" t="str">
        <f>Source!G96</f>
        <v>Штукатурка поверхностей внутри здания цементно-известковым или цементным раствором по камню и бетону улучшенная стен</v>
      </c>
      <c r="D386" s="33" t="str">
        <f>Source!H96</f>
        <v>100 м2</v>
      </c>
      <c r="E386" s="11">
        <f>Source!I96</f>
        <v>1.3838999999999999</v>
      </c>
      <c r="F386" s="34">
        <f>Source!AL96+Source!AM96+Source!AO96</f>
        <v>2040.6800000000003</v>
      </c>
      <c r="G386" s="35"/>
      <c r="H386" s="34"/>
      <c r="I386" s="35" t="str">
        <f>Source!BO96</f>
        <v/>
      </c>
      <c r="J386" s="35"/>
      <c r="K386" s="34"/>
      <c r="L386" s="36"/>
      <c r="S386">
        <f>ROUND((Source!FX96/100)*((ROUND(Source!AF96*Source!I96, 2)+ROUND(Source!AE96*Source!I96, 2))), 2)</f>
        <v>1311.48</v>
      </c>
      <c r="T386">
        <f>Source!X96</f>
        <v>9400.2900000000009</v>
      </c>
      <c r="U386">
        <f>ROUND((Source!FY96/100)*((ROUND(Source!AF96*Source!I96, 2)+ROUND(Source!AE96*Source!I96, 2))), 2)</f>
        <v>648.79999999999995</v>
      </c>
      <c r="V386">
        <f>Source!Y96</f>
        <v>4650.67</v>
      </c>
    </row>
    <row r="387" spans="1:26" x14ac:dyDescent="0.2">
      <c r="C387" s="26" t="str">
        <f>"Объем: "&amp;Source!I96&amp;"=138,39/"&amp;"100"</f>
        <v>Объем: 1,3839=138,39/100</v>
      </c>
    </row>
    <row r="388" spans="1:26" ht="14.25" x14ac:dyDescent="0.2">
      <c r="A388" s="49"/>
      <c r="B388" s="50"/>
      <c r="C388" s="50" t="s">
        <v>1783</v>
      </c>
      <c r="D388" s="33"/>
      <c r="E388" s="11"/>
      <c r="F388" s="34">
        <f>Source!AO96</f>
        <v>806.9</v>
      </c>
      <c r="G388" s="35" t="str">
        <f>Source!DG96</f>
        <v>)*1,15</v>
      </c>
      <c r="H388" s="34">
        <f>ROUND(Source!AF96*Source!I96, 2)</f>
        <v>1284.18</v>
      </c>
      <c r="I388" s="35"/>
      <c r="J388" s="35">
        <f>IF(Source!BA96&lt;&gt; 0, Source!BA96, 1)</f>
        <v>7.13</v>
      </c>
      <c r="K388" s="34">
        <f>Source!S96</f>
        <v>9156.18</v>
      </c>
      <c r="L388" s="36"/>
      <c r="R388">
        <f>H388</f>
        <v>1284.18</v>
      </c>
    </row>
    <row r="389" spans="1:26" ht="14.25" x14ac:dyDescent="0.2">
      <c r="A389" s="49"/>
      <c r="B389" s="50"/>
      <c r="C389" s="50" t="s">
        <v>449</v>
      </c>
      <c r="D389" s="33"/>
      <c r="E389" s="11"/>
      <c r="F389" s="34">
        <f>Source!AM96</f>
        <v>103.38</v>
      </c>
      <c r="G389" s="35" t="str">
        <f>Source!DE96</f>
        <v>)*1,25</v>
      </c>
      <c r="H389" s="34">
        <f>ROUND(Source!AD96*Source!I96, 2)</f>
        <v>178.84</v>
      </c>
      <c r="I389" s="35"/>
      <c r="J389" s="35">
        <f>IF(Source!BB96&lt;&gt; 0, Source!BB96, 1)</f>
        <v>7.13</v>
      </c>
      <c r="K389" s="34">
        <f>Source!Q96</f>
        <v>1275.1400000000001</v>
      </c>
      <c r="L389" s="36"/>
    </row>
    <row r="390" spans="1:26" ht="14.25" x14ac:dyDescent="0.2">
      <c r="A390" s="49"/>
      <c r="B390" s="50"/>
      <c r="C390" s="50" t="s">
        <v>1784</v>
      </c>
      <c r="D390" s="33"/>
      <c r="E390" s="11"/>
      <c r="F390" s="34">
        <f>Source!AN96</f>
        <v>59.9</v>
      </c>
      <c r="G390" s="35" t="str">
        <f>Source!DF96</f>
        <v>)*1,25</v>
      </c>
      <c r="H390" s="37">
        <f>ROUND(Source!AE96*Source!I96, 2)</f>
        <v>103.63</v>
      </c>
      <c r="I390" s="35"/>
      <c r="J390" s="35">
        <f>IF(Source!BS96&lt;&gt; 0, Source!BS96, 1)</f>
        <v>7.13</v>
      </c>
      <c r="K390" s="37">
        <f>Source!R96</f>
        <v>738.86</v>
      </c>
      <c r="L390" s="36"/>
      <c r="R390">
        <f>H390</f>
        <v>103.63</v>
      </c>
    </row>
    <row r="391" spans="1:26" ht="14.25" x14ac:dyDescent="0.2">
      <c r="A391" s="49"/>
      <c r="B391" s="50"/>
      <c r="C391" s="50" t="s">
        <v>1790</v>
      </c>
      <c r="D391" s="33"/>
      <c r="E391" s="11"/>
      <c r="F391" s="34">
        <f>Source!AL96</f>
        <v>1130.4000000000001</v>
      </c>
      <c r="G391" s="35" t="str">
        <f>Source!DD96</f>
        <v/>
      </c>
      <c r="H391" s="34">
        <f>ROUND(Source!AC96*Source!I96, 2)</f>
        <v>1564.36</v>
      </c>
      <c r="I391" s="35"/>
      <c r="J391" s="35">
        <f>IF(Source!BC96&lt;&gt; 0, Source!BC96, 1)</f>
        <v>7.13</v>
      </c>
      <c r="K391" s="34">
        <f>Source!P96</f>
        <v>11153.89</v>
      </c>
      <c r="L391" s="36"/>
    </row>
    <row r="392" spans="1:26" ht="14.25" x14ac:dyDescent="0.2">
      <c r="A392" s="49"/>
      <c r="B392" s="50"/>
      <c r="C392" s="50" t="s">
        <v>1785</v>
      </c>
      <c r="D392" s="33" t="s">
        <v>1786</v>
      </c>
      <c r="E392" s="11">
        <f>Source!BZ96</f>
        <v>105</v>
      </c>
      <c r="F392" s="81" t="str">
        <f>CONCATENATE(" )", Source!DL96, Source!FT96, "=", Source!FX96)</f>
        <v xml:space="preserve"> )*0,9=94,5</v>
      </c>
      <c r="G392" s="88"/>
      <c r="H392" s="34">
        <f>SUM(S386:S396)</f>
        <v>1311.48</v>
      </c>
      <c r="I392" s="38"/>
      <c r="J392" s="31">
        <f>Source!AT96</f>
        <v>95</v>
      </c>
      <c r="K392" s="34">
        <f>SUM(T386:T396)</f>
        <v>9400.2900000000009</v>
      </c>
      <c r="L392" s="36"/>
    </row>
    <row r="393" spans="1:26" ht="14.25" x14ac:dyDescent="0.2">
      <c r="A393" s="49"/>
      <c r="B393" s="50"/>
      <c r="C393" s="50" t="s">
        <v>1787</v>
      </c>
      <c r="D393" s="33" t="s">
        <v>1786</v>
      </c>
      <c r="E393" s="11">
        <f>Source!CA96</f>
        <v>55</v>
      </c>
      <c r="F393" s="81" t="str">
        <f>CONCATENATE(" )", Source!DM96, Source!FU96, "=", Source!FY96)</f>
        <v xml:space="preserve"> )*0,85=46,75</v>
      </c>
      <c r="G393" s="88"/>
      <c r="H393" s="34">
        <f>SUM(U386:U396)</f>
        <v>648.79999999999995</v>
      </c>
      <c r="I393" s="38"/>
      <c r="J393" s="31">
        <f>Source!AU96</f>
        <v>47</v>
      </c>
      <c r="K393" s="34">
        <f>SUM(V386:V396)</f>
        <v>4650.67</v>
      </c>
      <c r="L393" s="36"/>
    </row>
    <row r="394" spans="1:26" ht="14.25" x14ac:dyDescent="0.2">
      <c r="A394" s="49"/>
      <c r="B394" s="50"/>
      <c r="C394" s="50" t="s">
        <v>1788</v>
      </c>
      <c r="D394" s="33" t="s">
        <v>1789</v>
      </c>
      <c r="E394" s="11">
        <f>Source!AQ96</f>
        <v>85.84</v>
      </c>
      <c r="F394" s="34"/>
      <c r="G394" s="35" t="str">
        <f>Source!DI96</f>
        <v>)*1,15</v>
      </c>
      <c r="H394" s="34"/>
      <c r="I394" s="35"/>
      <c r="J394" s="35"/>
      <c r="K394" s="34"/>
      <c r="L394" s="45">
        <f>Source!U96</f>
        <v>136.61307239999999</v>
      </c>
    </row>
    <row r="395" spans="1:26" ht="28.5" x14ac:dyDescent="0.2">
      <c r="A395" s="49" t="str">
        <f>Source!E97</f>
        <v>36,1</v>
      </c>
      <c r="B395" s="50" t="str">
        <f>Source!F97</f>
        <v>04.3.01.12-0111</v>
      </c>
      <c r="C395" s="50" t="str">
        <f>Source!G97</f>
        <v>Раствор готовый отделочный тяжелый, цементно-известковый 1:1:6</v>
      </c>
      <c r="D395" s="33" t="str">
        <f>Source!H97</f>
        <v>м3</v>
      </c>
      <c r="E395" s="11">
        <f>Source!I97</f>
        <v>-2.5878930000000002</v>
      </c>
      <c r="F395" s="34">
        <f>Source!AL97+Source!AM97+Source!AO97</f>
        <v>517.91</v>
      </c>
      <c r="G395" s="48" t="s">
        <v>6</v>
      </c>
      <c r="H395" s="34">
        <f>ROUND(Source!AC97*Source!I97, 2)+ROUND(Source!AD97*Source!I97, 2)+ROUND(Source!AF97*Source!I97, 2)</f>
        <v>-1340.3</v>
      </c>
      <c r="I395" s="35"/>
      <c r="J395" s="35">
        <f>IF(Source!BC97&lt;&gt; 0, Source!BC97, 1)</f>
        <v>7.13</v>
      </c>
      <c r="K395" s="34">
        <f>Source!O97</f>
        <v>-9556.31</v>
      </c>
      <c r="L395" s="36"/>
      <c r="S395">
        <f>ROUND((Source!FX97/100)*((ROUND(Source!AF97*Source!I97, 2)+ROUND(Source!AE97*Source!I97, 2))), 2)</f>
        <v>0</v>
      </c>
      <c r="T395">
        <f>Source!X97</f>
        <v>0</v>
      </c>
      <c r="U395">
        <f>ROUND((Source!FY97/100)*((ROUND(Source!AF97*Source!I97, 2)+ROUND(Source!AE97*Source!I97, 2))), 2)</f>
        <v>0</v>
      </c>
      <c r="V395">
        <f>Source!Y97</f>
        <v>0</v>
      </c>
      <c r="W395">
        <f>IF(Source!BI97&lt;=1,H395, 0)</f>
        <v>-1340.3</v>
      </c>
      <c r="X395">
        <f>IF(Source!BI97=2,H395, 0)</f>
        <v>0</v>
      </c>
      <c r="Y395">
        <f>IF(Source!BI97=3,H395, 0)</f>
        <v>0</v>
      </c>
      <c r="Z395">
        <f>IF(Source!BI97=4,H395, 0)</f>
        <v>0</v>
      </c>
    </row>
    <row r="396" spans="1:26" ht="42.75" x14ac:dyDescent="0.2">
      <c r="A396" s="51" t="str">
        <f>Source!E98</f>
        <v>36,2</v>
      </c>
      <c r="B396" s="52" t="str">
        <f>Source!F98</f>
        <v>04.3.02.12-0002</v>
      </c>
      <c r="C396" s="52" t="str">
        <f>Source!G98</f>
        <v>Смесь сухая штукатурная цементно-известково-песчаная "БИРСС 15" (марка М100)</v>
      </c>
      <c r="D396" s="39" t="str">
        <f>Source!H98</f>
        <v>т</v>
      </c>
      <c r="E396" s="40">
        <f>Source!I98</f>
        <v>1.8959399999999997</v>
      </c>
      <c r="F396" s="41">
        <f>Source!AL98+Source!AM98+Source!AO98</f>
        <v>931.37</v>
      </c>
      <c r="G396" s="46" t="s">
        <v>6</v>
      </c>
      <c r="H396" s="41">
        <f>ROUND(Source!AC98*Source!I98, 2)+ROUND(Source!AD98*Source!I98, 2)+ROUND(Source!AF98*Source!I98, 2)</f>
        <v>1765.82</v>
      </c>
      <c r="I396" s="42"/>
      <c r="J396" s="42">
        <f>IF(Source!BC98&lt;&gt; 0, Source!BC98, 1)</f>
        <v>7.13</v>
      </c>
      <c r="K396" s="41">
        <f>Source!O98</f>
        <v>12590.31</v>
      </c>
      <c r="L396" s="47"/>
      <c r="S396">
        <f>ROUND((Source!FX98/100)*((ROUND(Source!AF98*Source!I98, 2)+ROUND(Source!AE98*Source!I98, 2))), 2)</f>
        <v>0</v>
      </c>
      <c r="T396">
        <f>Source!X98</f>
        <v>0</v>
      </c>
      <c r="U396">
        <f>ROUND((Source!FY98/100)*((ROUND(Source!AF98*Source!I98, 2)+ROUND(Source!AE98*Source!I98, 2))), 2)</f>
        <v>0</v>
      </c>
      <c r="V396">
        <f>Source!Y98</f>
        <v>0</v>
      </c>
      <c r="W396">
        <f>IF(Source!BI98&lt;=1,H396, 0)</f>
        <v>1765.82</v>
      </c>
      <c r="X396">
        <f>IF(Source!BI98=2,H396, 0)</f>
        <v>0</v>
      </c>
      <c r="Y396">
        <f>IF(Source!BI98=3,H396, 0)</f>
        <v>0</v>
      </c>
      <c r="Z396">
        <f>IF(Source!BI98=4,H396, 0)</f>
        <v>0</v>
      </c>
    </row>
    <row r="397" spans="1:26" ht="15" x14ac:dyDescent="0.25">
      <c r="G397" s="87">
        <f>H388+H389+H391+H392+H393+SUM(H395:H396)</f>
        <v>5413.18</v>
      </c>
      <c r="H397" s="87"/>
      <c r="J397" s="87">
        <f>K388+K389+K391+K392+K393+SUM(K395:K396)</f>
        <v>38670.17</v>
      </c>
      <c r="K397" s="87"/>
      <c r="L397" s="44">
        <f>Source!U96</f>
        <v>136.61307239999999</v>
      </c>
      <c r="O397" s="27">
        <f>G397</f>
        <v>5413.18</v>
      </c>
      <c r="P397" s="27">
        <f>J397</f>
        <v>38670.17</v>
      </c>
      <c r="Q397" s="27">
        <f>L397</f>
        <v>136.61307239999999</v>
      </c>
      <c r="W397">
        <f>IF(Source!BI96&lt;=1,H388+H389+H391+H392+H393, 0)</f>
        <v>4987.6600000000008</v>
      </c>
      <c r="X397">
        <f>IF(Source!BI96=2,H388+H389+H391+H392+H393, 0)</f>
        <v>0</v>
      </c>
      <c r="Y397">
        <f>IF(Source!BI96=3,H388+H389+H391+H392+H393, 0)</f>
        <v>0</v>
      </c>
      <c r="Z397">
        <f>IF(Source!BI96=4,H388+H389+H391+H392+H393, 0)</f>
        <v>0</v>
      </c>
    </row>
    <row r="398" spans="1:26" ht="85.5" x14ac:dyDescent="0.2">
      <c r="A398" s="49" t="str">
        <f>Source!E99</f>
        <v>37</v>
      </c>
      <c r="B398" s="50" t="str">
        <f>Source!F99</f>
        <v>15-01-019-01</v>
      </c>
      <c r="C398" s="50" t="str">
        <f>Source!G99</f>
        <v>Гладкая облицовка стен, столбов, пилястр и откосов (без карнизных, плинтусных и угловых плиток) без установки плиток туалетного гарнитура на цементном растворе по кирпичу и бетону</v>
      </c>
      <c r="D398" s="33" t="str">
        <f>Source!H99</f>
        <v>100 м2</v>
      </c>
      <c r="E398" s="11">
        <f>Source!I99</f>
        <v>1.6638999999999999</v>
      </c>
      <c r="F398" s="34">
        <f>Source!AL99+Source!AM99+Source!AO99</f>
        <v>2890.37</v>
      </c>
      <c r="G398" s="35"/>
      <c r="H398" s="34"/>
      <c r="I398" s="35" t="str">
        <f>Source!BO99</f>
        <v/>
      </c>
      <c r="J398" s="35"/>
      <c r="K398" s="34"/>
      <c r="L398" s="36"/>
      <c r="S398">
        <f>ROUND((Source!FX99/100)*((ROUND(Source!AF99*Source!I99, 2)+ROUND(Source!AE99*Source!I99, 2))), 2)</f>
        <v>3807.22</v>
      </c>
      <c r="T398">
        <f>Source!X99</f>
        <v>27289.08</v>
      </c>
      <c r="U398">
        <f>ROUND((Source!FY99/100)*((ROUND(Source!AF99*Source!I99, 2)+ROUND(Source!AE99*Source!I99, 2))), 2)</f>
        <v>1883.46</v>
      </c>
      <c r="V398">
        <f>Source!Y99</f>
        <v>13500.91</v>
      </c>
    </row>
    <row r="399" spans="1:26" x14ac:dyDescent="0.2">
      <c r="C399" s="26" t="str">
        <f>"Объем: "&amp;Source!I99&amp;"=166,39/"&amp;"100"</f>
        <v>Объем: 1,6639=166,39/100</v>
      </c>
    </row>
    <row r="400" spans="1:26" ht="14.25" x14ac:dyDescent="0.2">
      <c r="A400" s="49"/>
      <c r="B400" s="50"/>
      <c r="C400" s="50" t="s">
        <v>1783</v>
      </c>
      <c r="D400" s="33"/>
      <c r="E400" s="11"/>
      <c r="F400" s="34">
        <f>Source!AO99</f>
        <v>2093.04</v>
      </c>
      <c r="G400" s="35" t="str">
        <f>Source!DG99</f>
        <v>)*1,15</v>
      </c>
      <c r="H400" s="34">
        <f>ROUND(Source!AF99*Source!I99, 2)</f>
        <v>4005.01</v>
      </c>
      <c r="I400" s="35"/>
      <c r="J400" s="35">
        <f>IF(Source!BA99&lt;&gt; 0, Source!BA99, 1)</f>
        <v>7.13</v>
      </c>
      <c r="K400" s="34">
        <f>Source!S99</f>
        <v>28555.7</v>
      </c>
      <c r="L400" s="36"/>
      <c r="R400">
        <f>H400</f>
        <v>4005.01</v>
      </c>
    </row>
    <row r="401" spans="1:26" ht="14.25" x14ac:dyDescent="0.2">
      <c r="A401" s="49"/>
      <c r="B401" s="50"/>
      <c r="C401" s="50" t="s">
        <v>449</v>
      </c>
      <c r="D401" s="33"/>
      <c r="E401" s="11"/>
      <c r="F401" s="34">
        <f>Source!AM99</f>
        <v>29.82</v>
      </c>
      <c r="G401" s="35" t="str">
        <f>Source!DE99</f>
        <v>)*1,25</v>
      </c>
      <c r="H401" s="34">
        <f>ROUND(Source!AD99*Source!I99, 2)</f>
        <v>62.03</v>
      </c>
      <c r="I401" s="35"/>
      <c r="J401" s="35">
        <f>IF(Source!BB99&lt;&gt; 0, Source!BB99, 1)</f>
        <v>7.13</v>
      </c>
      <c r="K401" s="34">
        <f>Source!Q99</f>
        <v>442.28</v>
      </c>
      <c r="L401" s="36"/>
    </row>
    <row r="402" spans="1:26" ht="14.25" x14ac:dyDescent="0.2">
      <c r="A402" s="49"/>
      <c r="B402" s="50"/>
      <c r="C402" s="50" t="s">
        <v>1784</v>
      </c>
      <c r="D402" s="33"/>
      <c r="E402" s="11"/>
      <c r="F402" s="34">
        <f>Source!AN99</f>
        <v>11.44</v>
      </c>
      <c r="G402" s="35" t="str">
        <f>Source!DF99</f>
        <v>)*1,25</v>
      </c>
      <c r="H402" s="37">
        <f>ROUND(Source!AE99*Source!I99, 2)</f>
        <v>23.79</v>
      </c>
      <c r="I402" s="35"/>
      <c r="J402" s="35">
        <f>IF(Source!BS99&lt;&gt; 0, Source!BS99, 1)</f>
        <v>7.13</v>
      </c>
      <c r="K402" s="37">
        <f>Source!R99</f>
        <v>169.65</v>
      </c>
      <c r="L402" s="36"/>
      <c r="R402">
        <f>H402</f>
        <v>23.79</v>
      </c>
    </row>
    <row r="403" spans="1:26" ht="14.25" x14ac:dyDescent="0.2">
      <c r="A403" s="49"/>
      <c r="B403" s="50"/>
      <c r="C403" s="50" t="s">
        <v>1790</v>
      </c>
      <c r="D403" s="33"/>
      <c r="E403" s="11"/>
      <c r="F403" s="34">
        <f>Source!AL99</f>
        <v>767.51</v>
      </c>
      <c r="G403" s="35" t="str">
        <f>Source!DD99</f>
        <v/>
      </c>
      <c r="H403" s="34">
        <f>ROUND(Source!AC99*Source!I99, 2)</f>
        <v>1277.06</v>
      </c>
      <c r="I403" s="35"/>
      <c r="J403" s="35">
        <f>IF(Source!BC99&lt;&gt; 0, Source!BC99, 1)</f>
        <v>7.13</v>
      </c>
      <c r="K403" s="34">
        <f>Source!P99</f>
        <v>9105.44</v>
      </c>
      <c r="L403" s="36"/>
    </row>
    <row r="404" spans="1:26" ht="14.25" x14ac:dyDescent="0.2">
      <c r="A404" s="49"/>
      <c r="B404" s="50"/>
      <c r="C404" s="50" t="s">
        <v>1785</v>
      </c>
      <c r="D404" s="33" t="s">
        <v>1786</v>
      </c>
      <c r="E404" s="11">
        <f>Source!BZ99</f>
        <v>105</v>
      </c>
      <c r="F404" s="81" t="str">
        <f>CONCATENATE(" )", Source!DL99, Source!FT99, "=", Source!FX99)</f>
        <v xml:space="preserve"> )*0,9=94,5</v>
      </c>
      <c r="G404" s="88"/>
      <c r="H404" s="34">
        <f>SUM(S398:S407)</f>
        <v>3807.22</v>
      </c>
      <c r="I404" s="38"/>
      <c r="J404" s="31">
        <f>Source!AT99</f>
        <v>95</v>
      </c>
      <c r="K404" s="34">
        <f>SUM(T398:T407)</f>
        <v>27289.08</v>
      </c>
      <c r="L404" s="36"/>
    </row>
    <row r="405" spans="1:26" ht="14.25" x14ac:dyDescent="0.2">
      <c r="A405" s="49"/>
      <c r="B405" s="50"/>
      <c r="C405" s="50" t="s">
        <v>1787</v>
      </c>
      <c r="D405" s="33" t="s">
        <v>1786</v>
      </c>
      <c r="E405" s="11">
        <f>Source!CA99</f>
        <v>55</v>
      </c>
      <c r="F405" s="81" t="str">
        <f>CONCATENATE(" )", Source!DM99, Source!FU99, "=", Source!FY99)</f>
        <v xml:space="preserve"> )*0,85=46,75</v>
      </c>
      <c r="G405" s="88"/>
      <c r="H405" s="34">
        <f>SUM(U398:U407)</f>
        <v>1883.46</v>
      </c>
      <c r="I405" s="38"/>
      <c r="J405" s="31">
        <f>Source!AU99</f>
        <v>47</v>
      </c>
      <c r="K405" s="34">
        <f>SUM(V398:V407)</f>
        <v>13500.91</v>
      </c>
      <c r="L405" s="36"/>
    </row>
    <row r="406" spans="1:26" ht="14.25" x14ac:dyDescent="0.2">
      <c r="A406" s="49"/>
      <c r="B406" s="50"/>
      <c r="C406" s="50" t="s">
        <v>1788</v>
      </c>
      <c r="D406" s="33" t="s">
        <v>1789</v>
      </c>
      <c r="E406" s="11">
        <f>Source!AQ99</f>
        <v>228</v>
      </c>
      <c r="F406" s="34"/>
      <c r="G406" s="35" t="str">
        <f>Source!DI99</f>
        <v>)*1,15</v>
      </c>
      <c r="H406" s="34"/>
      <c r="I406" s="35"/>
      <c r="J406" s="35"/>
      <c r="K406" s="34"/>
      <c r="L406" s="45">
        <f>Source!U99</f>
        <v>436.27457999999996</v>
      </c>
    </row>
    <row r="407" spans="1:26" ht="42.75" x14ac:dyDescent="0.2">
      <c r="A407" s="51" t="str">
        <f>Source!E100</f>
        <v>37,1</v>
      </c>
      <c r="B407" s="52" t="str">
        <f>Source!F100</f>
        <v>06.2.01.02-0034</v>
      </c>
      <c r="C407" s="52" t="str">
        <f>Source!G100</f>
        <v>Плитки керамические глазурованные для внутренней облицовки стен многоцветные,  размер 300х200х7 мм</v>
      </c>
      <c r="D407" s="39" t="str">
        <f>Source!H100</f>
        <v>м2</v>
      </c>
      <c r="E407" s="40">
        <f>Source!I100</f>
        <v>166.39</v>
      </c>
      <c r="F407" s="41">
        <f>Source!AL100+Source!AM100+Source!AO100</f>
        <v>85.71</v>
      </c>
      <c r="G407" s="46" t="s">
        <v>6</v>
      </c>
      <c r="H407" s="41">
        <f>ROUND(Source!AC100*Source!I100, 2)+ROUND(Source!AD100*Source!I100, 2)+ROUND(Source!AF100*Source!I100, 2)</f>
        <v>14261.29</v>
      </c>
      <c r="I407" s="42"/>
      <c r="J407" s="42">
        <f>IF(Source!BC100&lt;&gt; 0, Source!BC100, 1)</f>
        <v>7.13</v>
      </c>
      <c r="K407" s="41">
        <f>Source!O100</f>
        <v>101682.98</v>
      </c>
      <c r="L407" s="47"/>
      <c r="S407">
        <f>ROUND((Source!FX100/100)*((ROUND(Source!AF100*Source!I100, 2)+ROUND(Source!AE100*Source!I100, 2))), 2)</f>
        <v>0</v>
      </c>
      <c r="T407">
        <f>Source!X100</f>
        <v>0</v>
      </c>
      <c r="U407">
        <f>ROUND((Source!FY100/100)*((ROUND(Source!AF100*Source!I100, 2)+ROUND(Source!AE100*Source!I100, 2))), 2)</f>
        <v>0</v>
      </c>
      <c r="V407">
        <f>Source!Y100</f>
        <v>0</v>
      </c>
      <c r="W407">
        <f>IF(Source!BI100&lt;=1,H407, 0)</f>
        <v>14261.29</v>
      </c>
      <c r="X407">
        <f>IF(Source!BI100=2,H407, 0)</f>
        <v>0</v>
      </c>
      <c r="Y407">
        <f>IF(Source!BI100=3,H407, 0)</f>
        <v>0</v>
      </c>
      <c r="Z407">
        <f>IF(Source!BI100=4,H407, 0)</f>
        <v>0</v>
      </c>
    </row>
    <row r="408" spans="1:26" ht="15" x14ac:dyDescent="0.25">
      <c r="G408" s="87">
        <f>H400+H401+H403+H404+H405+SUM(H407:H407)</f>
        <v>25296.07</v>
      </c>
      <c r="H408" s="87"/>
      <c r="J408" s="87">
        <f>K400+K401+K403+K404+K405+SUM(K407:K407)</f>
        <v>180576.39</v>
      </c>
      <c r="K408" s="87"/>
      <c r="L408" s="44">
        <f>Source!U99</f>
        <v>436.27457999999996</v>
      </c>
      <c r="O408" s="27">
        <f>G408</f>
        <v>25296.07</v>
      </c>
      <c r="P408" s="27">
        <f>J408</f>
        <v>180576.39</v>
      </c>
      <c r="Q408" s="27">
        <f>L408</f>
        <v>436.27457999999996</v>
      </c>
      <c r="W408">
        <f>IF(Source!BI99&lt;=1,H400+H401+H403+H404+H405, 0)</f>
        <v>11034.779999999999</v>
      </c>
      <c r="X408">
        <f>IF(Source!BI99=2,H400+H401+H403+H404+H405, 0)</f>
        <v>0</v>
      </c>
      <c r="Y408">
        <f>IF(Source!BI99=3,H400+H401+H403+H404+H405, 0)</f>
        <v>0</v>
      </c>
      <c r="Z408">
        <f>IF(Source!BI99=4,H400+H401+H403+H404+H405, 0)</f>
        <v>0</v>
      </c>
    </row>
    <row r="409" spans="1:26" ht="57" x14ac:dyDescent="0.2">
      <c r="A409" s="49" t="str">
        <f>Source!E101</f>
        <v>38</v>
      </c>
      <c r="B409" s="50" t="str">
        <f>Source!F101</f>
        <v>62-16-5</v>
      </c>
      <c r="C409" s="50" t="str">
        <f>Source!G101</f>
        <v>Окрашивание водоэмульсионными составами поверхностей стен, ранее окрашенных масляной краской с расчисткой старой краски более 35%</v>
      </c>
      <c r="D409" s="33" t="str">
        <f>Source!H101</f>
        <v>100 м2</v>
      </c>
      <c r="E409" s="11">
        <f>Source!I101</f>
        <v>3.9319000000000002</v>
      </c>
      <c r="F409" s="34">
        <f>Source!AL101+Source!AM101+Source!AO101</f>
        <v>796.1</v>
      </c>
      <c r="G409" s="35"/>
      <c r="H409" s="34"/>
      <c r="I409" s="35" t="str">
        <f>Source!BO101</f>
        <v/>
      </c>
      <c r="J409" s="35"/>
      <c r="K409" s="34"/>
      <c r="L409" s="36"/>
      <c r="S409">
        <f>ROUND((Source!FX101/100)*((ROUND(Source!AF101*Source!I101, 2)+ROUND(Source!AE101*Source!I101, 2))), 2)</f>
        <v>927.49</v>
      </c>
      <c r="T409">
        <f>Source!X101</f>
        <v>6612.99</v>
      </c>
      <c r="U409">
        <f>ROUND((Source!FY101/100)*((ROUND(Source!AF101*Source!I101, 2)+ROUND(Source!AE101*Source!I101, 2))), 2)</f>
        <v>579.67999999999995</v>
      </c>
      <c r="V409">
        <f>Source!Y101</f>
        <v>4133.12</v>
      </c>
    </row>
    <row r="410" spans="1:26" x14ac:dyDescent="0.2">
      <c r="C410" s="26" t="str">
        <f>"Объем: "&amp;Source!I101&amp;"=393,19/"&amp;"100"</f>
        <v>Объем: 3,9319=393,19/100</v>
      </c>
    </row>
    <row r="411" spans="1:26" ht="14.25" x14ac:dyDescent="0.2">
      <c r="A411" s="49"/>
      <c r="B411" s="50"/>
      <c r="C411" s="50" t="s">
        <v>1783</v>
      </c>
      <c r="D411" s="33"/>
      <c r="E411" s="11"/>
      <c r="F411" s="34">
        <f>Source!AO101</f>
        <v>292.81</v>
      </c>
      <c r="G411" s="35" t="str">
        <f>Source!DG101</f>
        <v/>
      </c>
      <c r="H411" s="34">
        <f>ROUND(Source!AF101*Source!I101, 2)</f>
        <v>1151.3</v>
      </c>
      <c r="I411" s="35"/>
      <c r="J411" s="35">
        <f>IF(Source!BA101&lt;&gt; 0, Source!BA101, 1)</f>
        <v>7.13</v>
      </c>
      <c r="K411" s="34">
        <f>Source!S101</f>
        <v>8208.77</v>
      </c>
      <c r="L411" s="36"/>
      <c r="R411">
        <f>H411</f>
        <v>1151.3</v>
      </c>
    </row>
    <row r="412" spans="1:26" ht="14.25" x14ac:dyDescent="0.2">
      <c r="A412" s="49"/>
      <c r="B412" s="50"/>
      <c r="C412" s="50" t="s">
        <v>449</v>
      </c>
      <c r="D412" s="33"/>
      <c r="E412" s="11"/>
      <c r="F412" s="34">
        <f>Source!AM101</f>
        <v>7.07</v>
      </c>
      <c r="G412" s="35" t="str">
        <f>Source!DE101</f>
        <v/>
      </c>
      <c r="H412" s="34">
        <f>ROUND(Source!AD101*Source!I101, 2)</f>
        <v>27.8</v>
      </c>
      <c r="I412" s="35"/>
      <c r="J412" s="35">
        <f>IF(Source!BB101&lt;&gt; 0, Source!BB101, 1)</f>
        <v>7.13</v>
      </c>
      <c r="K412" s="34">
        <f>Source!Q101</f>
        <v>198.2</v>
      </c>
      <c r="L412" s="36"/>
    </row>
    <row r="413" spans="1:26" ht="14.25" x14ac:dyDescent="0.2">
      <c r="A413" s="49"/>
      <c r="B413" s="50"/>
      <c r="C413" s="50" t="s">
        <v>1784</v>
      </c>
      <c r="D413" s="33"/>
      <c r="E413" s="11"/>
      <c r="F413" s="34">
        <f>Source!AN101</f>
        <v>2.0499999999999998</v>
      </c>
      <c r="G413" s="35" t="str">
        <f>Source!DF101</f>
        <v/>
      </c>
      <c r="H413" s="37">
        <f>ROUND(Source!AE101*Source!I101, 2)</f>
        <v>8.06</v>
      </c>
      <c r="I413" s="35"/>
      <c r="J413" s="35">
        <f>IF(Source!BS101&lt;&gt; 0, Source!BS101, 1)</f>
        <v>7.13</v>
      </c>
      <c r="K413" s="37">
        <f>Source!R101</f>
        <v>57.47</v>
      </c>
      <c r="L413" s="36"/>
      <c r="R413">
        <f>H413</f>
        <v>8.06</v>
      </c>
    </row>
    <row r="414" spans="1:26" ht="14.25" x14ac:dyDescent="0.2">
      <c r="A414" s="49"/>
      <c r="B414" s="50"/>
      <c r="C414" s="50" t="s">
        <v>1790</v>
      </c>
      <c r="D414" s="33"/>
      <c r="E414" s="11"/>
      <c r="F414" s="34">
        <f>Source!AL101</f>
        <v>496.22</v>
      </c>
      <c r="G414" s="35" t="str">
        <f>Source!DD101</f>
        <v/>
      </c>
      <c r="H414" s="34">
        <f>ROUND(Source!AC101*Source!I101, 2)</f>
        <v>1951.09</v>
      </c>
      <c r="I414" s="35"/>
      <c r="J414" s="35">
        <f>IF(Source!BC101&lt;&gt; 0, Source!BC101, 1)</f>
        <v>7.13</v>
      </c>
      <c r="K414" s="34">
        <f>Source!P101</f>
        <v>13911.25</v>
      </c>
      <c r="L414" s="36"/>
    </row>
    <row r="415" spans="1:26" ht="14.25" x14ac:dyDescent="0.2">
      <c r="A415" s="49"/>
      <c r="B415" s="50"/>
      <c r="C415" s="50" t="s">
        <v>1785</v>
      </c>
      <c r="D415" s="33" t="s">
        <v>1786</v>
      </c>
      <c r="E415" s="11">
        <f>Source!BZ101</f>
        <v>80</v>
      </c>
      <c r="F415" s="53"/>
      <c r="G415" s="35"/>
      <c r="H415" s="34">
        <f>SUM(S409:S419)</f>
        <v>927.49</v>
      </c>
      <c r="I415" s="38"/>
      <c r="J415" s="31">
        <f>Source!AT101</f>
        <v>80</v>
      </c>
      <c r="K415" s="34">
        <f>SUM(T409:T419)</f>
        <v>6612.99</v>
      </c>
      <c r="L415" s="36"/>
    </row>
    <row r="416" spans="1:26" ht="14.25" x14ac:dyDescent="0.2">
      <c r="A416" s="49"/>
      <c r="B416" s="50"/>
      <c r="C416" s="50" t="s">
        <v>1787</v>
      </c>
      <c r="D416" s="33" t="s">
        <v>1786</v>
      </c>
      <c r="E416" s="11">
        <f>Source!CA101</f>
        <v>50</v>
      </c>
      <c r="F416" s="53"/>
      <c r="G416" s="35"/>
      <c r="H416" s="34">
        <f>SUM(U409:U419)</f>
        <v>579.67999999999995</v>
      </c>
      <c r="I416" s="38"/>
      <c r="J416" s="31">
        <f>Source!AU101</f>
        <v>50</v>
      </c>
      <c r="K416" s="34">
        <f>SUM(V409:V419)</f>
        <v>4133.12</v>
      </c>
      <c r="L416" s="36"/>
    </row>
    <row r="417" spans="1:26" ht="14.25" x14ac:dyDescent="0.2">
      <c r="A417" s="49"/>
      <c r="B417" s="50"/>
      <c r="C417" s="50" t="s">
        <v>1788</v>
      </c>
      <c r="D417" s="33" t="s">
        <v>1789</v>
      </c>
      <c r="E417" s="11">
        <f>Source!AQ101</f>
        <v>33.89</v>
      </c>
      <c r="F417" s="34"/>
      <c r="G417" s="35" t="str">
        <f>Source!DI101</f>
        <v/>
      </c>
      <c r="H417" s="34"/>
      <c r="I417" s="35"/>
      <c r="J417" s="35"/>
      <c r="K417" s="34"/>
      <c r="L417" s="45">
        <f>Source!U101</f>
        <v>133.25209100000001</v>
      </c>
    </row>
    <row r="418" spans="1:26" ht="14.25" x14ac:dyDescent="0.2">
      <c r="A418" s="49" t="str">
        <f>Source!E102</f>
        <v>38,1</v>
      </c>
      <c r="B418" s="50" t="str">
        <f>Source!F102</f>
        <v>14.3.02.01</v>
      </c>
      <c r="C418" s="50" t="str">
        <f>Source!G102</f>
        <v>Краска водоэмульсионная</v>
      </c>
      <c r="D418" s="33" t="str">
        <f>Source!H102</f>
        <v>т</v>
      </c>
      <c r="E418" s="11">
        <f>Source!I102</f>
        <v>0.279165</v>
      </c>
      <c r="F418" s="34">
        <f>Source!AL102+Source!AM102+Source!AO102</f>
        <v>0</v>
      </c>
      <c r="G418" s="48" t="s">
        <v>6</v>
      </c>
      <c r="H418" s="34">
        <f>ROUND(Source!AC102*Source!I102, 2)+ROUND(Source!AD102*Source!I102, 2)+ROUND(Source!AF102*Source!I102, 2)</f>
        <v>0</v>
      </c>
      <c r="I418" s="35"/>
      <c r="J418" s="35">
        <f>IF(Source!BC102&lt;&gt; 0, Source!BC102, 1)</f>
        <v>7.13</v>
      </c>
      <c r="K418" s="34">
        <f>Source!O102</f>
        <v>0</v>
      </c>
      <c r="L418" s="36"/>
      <c r="S418">
        <f>ROUND((Source!FX102/100)*((ROUND(Source!AF102*Source!I102, 2)+ROUND(Source!AE102*Source!I102, 2))), 2)</f>
        <v>0</v>
      </c>
      <c r="T418">
        <f>Source!X102</f>
        <v>0</v>
      </c>
      <c r="U418">
        <f>ROUND((Source!FY102/100)*((ROUND(Source!AF102*Source!I102, 2)+ROUND(Source!AE102*Source!I102, 2))), 2)</f>
        <v>0</v>
      </c>
      <c r="V418">
        <f>Source!Y102</f>
        <v>0</v>
      </c>
      <c r="W418">
        <f>IF(Source!BI102&lt;=1,H418, 0)</f>
        <v>0</v>
      </c>
      <c r="X418">
        <f>IF(Source!BI102=2,H418, 0)</f>
        <v>0</v>
      </c>
      <c r="Y418">
        <f>IF(Source!BI102=3,H418, 0)</f>
        <v>0</v>
      </c>
      <c r="Z418">
        <f>IF(Source!BI102=4,H418, 0)</f>
        <v>0</v>
      </c>
    </row>
    <row r="419" spans="1:26" ht="28.5" x14ac:dyDescent="0.2">
      <c r="A419" s="51" t="str">
        <f>Source!E103</f>
        <v>38,2</v>
      </c>
      <c r="B419" s="52" t="str">
        <f>Source!F103</f>
        <v>14.3.02.01-0014</v>
      </c>
      <c r="C419" s="52" t="str">
        <f>Source!G103</f>
        <v>Краска акриловая  водно-дисперсионная(согласно тех. заданию)</v>
      </c>
      <c r="D419" s="39" t="str">
        <f>Source!H103</f>
        <v>т</v>
      </c>
      <c r="E419" s="40">
        <f>Source!I103</f>
        <v>0.279165</v>
      </c>
      <c r="F419" s="41">
        <f>Source!AL103+Source!AM103+Source!AO103</f>
        <v>7627.37</v>
      </c>
      <c r="G419" s="46" t="s">
        <v>6</v>
      </c>
      <c r="H419" s="41">
        <f>ROUND(Source!AC103*Source!I103, 2)+ROUND(Source!AD103*Source!I103, 2)+ROUND(Source!AF103*Source!I103, 2)</f>
        <v>2129.29</v>
      </c>
      <c r="I419" s="42"/>
      <c r="J419" s="42">
        <f>IF(Source!BC103&lt;&gt; 0, Source!BC103, 1)</f>
        <v>7.13</v>
      </c>
      <c r="K419" s="41">
        <f>Source!O103</f>
        <v>15181.87</v>
      </c>
      <c r="L419" s="47"/>
      <c r="S419">
        <f>ROUND((Source!FX103/100)*((ROUND(Source!AF103*Source!I103, 2)+ROUND(Source!AE103*Source!I103, 2))), 2)</f>
        <v>0</v>
      </c>
      <c r="T419">
        <f>Source!X103</f>
        <v>0</v>
      </c>
      <c r="U419">
        <f>ROUND((Source!FY103/100)*((ROUND(Source!AF103*Source!I103, 2)+ROUND(Source!AE103*Source!I103, 2))), 2)</f>
        <v>0</v>
      </c>
      <c r="V419">
        <f>Source!Y103</f>
        <v>0</v>
      </c>
      <c r="W419">
        <f>IF(Source!BI103&lt;=1,H419, 0)</f>
        <v>2129.29</v>
      </c>
      <c r="X419">
        <f>IF(Source!BI103=2,H419, 0)</f>
        <v>0</v>
      </c>
      <c r="Y419">
        <f>IF(Source!BI103=3,H419, 0)</f>
        <v>0</v>
      </c>
      <c r="Z419">
        <f>IF(Source!BI103=4,H419, 0)</f>
        <v>0</v>
      </c>
    </row>
    <row r="420" spans="1:26" ht="15" x14ac:dyDescent="0.25">
      <c r="G420" s="87">
        <f>H411+H412+H414+H415+H416+SUM(H418:H419)</f>
        <v>6766.65</v>
      </c>
      <c r="H420" s="87"/>
      <c r="J420" s="87">
        <f>K411+K412+K414+K415+K416+SUM(K418:K419)</f>
        <v>48246.200000000004</v>
      </c>
      <c r="K420" s="87"/>
      <c r="L420" s="44">
        <f>Source!U101</f>
        <v>133.25209100000001</v>
      </c>
      <c r="O420" s="27">
        <f>G420</f>
        <v>6766.65</v>
      </c>
      <c r="P420" s="27">
        <f>J420</f>
        <v>48246.200000000004</v>
      </c>
      <c r="Q420" s="27">
        <f>L420</f>
        <v>133.25209100000001</v>
      </c>
      <c r="W420">
        <f>IF(Source!BI101&lt;=1,H411+H412+H414+H415+H416, 0)</f>
        <v>4637.3599999999997</v>
      </c>
      <c r="X420">
        <f>IF(Source!BI101=2,H411+H412+H414+H415+H416, 0)</f>
        <v>0</v>
      </c>
      <c r="Y420">
        <f>IF(Source!BI101=3,H411+H412+H414+H415+H416, 0)</f>
        <v>0</v>
      </c>
      <c r="Z420">
        <f>IF(Source!BI101=4,H411+H412+H414+H415+H416, 0)</f>
        <v>0</v>
      </c>
    </row>
    <row r="421" spans="1:26" ht="71.25" x14ac:dyDescent="0.2">
      <c r="A421" s="49" t="str">
        <f>Source!E104</f>
        <v>39</v>
      </c>
      <c r="B421" s="50" t="str">
        <f>Source!F104</f>
        <v>62-17-4</v>
      </c>
      <c r="C421" s="50" t="str">
        <f>Source!G104</f>
        <v>Окрашивание водоэмульсионными составами поверхностей потолков, ранее окрашенных водоэмульсионной краской, с расчисткой старой краски более 35%</v>
      </c>
      <c r="D421" s="33" t="str">
        <f>Source!H104</f>
        <v>100 м2</v>
      </c>
      <c r="E421" s="11">
        <f>Source!I104</f>
        <v>2.6360000000000001</v>
      </c>
      <c r="F421" s="34">
        <f>Source!AL104+Source!AM104+Source!AO104</f>
        <v>812.32</v>
      </c>
      <c r="G421" s="35"/>
      <c r="H421" s="34"/>
      <c r="I421" s="35" t="str">
        <f>Source!BO104</f>
        <v/>
      </c>
      <c r="J421" s="35"/>
      <c r="K421" s="34"/>
      <c r="L421" s="36"/>
      <c r="S421">
        <f>ROUND((Source!FX104/100)*((ROUND(Source!AF104*Source!I104, 2)+ROUND(Source!AE104*Source!I104, 2))), 2)</f>
        <v>619.79</v>
      </c>
      <c r="T421">
        <f>Source!X104</f>
        <v>4419.16</v>
      </c>
      <c r="U421">
        <f>ROUND((Source!FY104/100)*((ROUND(Source!AF104*Source!I104, 2)+ROUND(Source!AE104*Source!I104, 2))), 2)</f>
        <v>387.37</v>
      </c>
      <c r="V421">
        <f>Source!Y104</f>
        <v>2761.98</v>
      </c>
    </row>
    <row r="422" spans="1:26" x14ac:dyDescent="0.2">
      <c r="C422" s="26" t="str">
        <f>"Объем: "&amp;Source!I104&amp;"=263,6/"&amp;"100"</f>
        <v>Объем: 2,636=263,6/100</v>
      </c>
    </row>
    <row r="423" spans="1:26" ht="14.25" x14ac:dyDescent="0.2">
      <c r="A423" s="49"/>
      <c r="B423" s="50"/>
      <c r="C423" s="50" t="s">
        <v>1783</v>
      </c>
      <c r="D423" s="33"/>
      <c r="E423" s="11"/>
      <c r="F423" s="34">
        <f>Source!AO104</f>
        <v>291.86</v>
      </c>
      <c r="G423" s="35" t="str">
        <f>Source!DG104</f>
        <v/>
      </c>
      <c r="H423" s="34">
        <f>ROUND(Source!AF104*Source!I104, 2)</f>
        <v>769.34</v>
      </c>
      <c r="I423" s="35"/>
      <c r="J423" s="35">
        <f>IF(Source!BA104&lt;&gt; 0, Source!BA104, 1)</f>
        <v>7.13</v>
      </c>
      <c r="K423" s="34">
        <f>Source!S104</f>
        <v>5485.42</v>
      </c>
      <c r="L423" s="36"/>
      <c r="R423">
        <f>H423</f>
        <v>769.34</v>
      </c>
    </row>
    <row r="424" spans="1:26" ht="14.25" x14ac:dyDescent="0.2">
      <c r="A424" s="49"/>
      <c r="B424" s="50"/>
      <c r="C424" s="50" t="s">
        <v>449</v>
      </c>
      <c r="D424" s="33"/>
      <c r="E424" s="11"/>
      <c r="F424" s="34">
        <f>Source!AM104</f>
        <v>7.07</v>
      </c>
      <c r="G424" s="35" t="str">
        <f>Source!DE104</f>
        <v/>
      </c>
      <c r="H424" s="34">
        <f>ROUND(Source!AD104*Source!I104, 2)</f>
        <v>18.64</v>
      </c>
      <c r="I424" s="35"/>
      <c r="J424" s="35">
        <f>IF(Source!BB104&lt;&gt; 0, Source!BB104, 1)</f>
        <v>7.13</v>
      </c>
      <c r="K424" s="34">
        <f>Source!Q104</f>
        <v>132.88</v>
      </c>
      <c r="L424" s="36"/>
    </row>
    <row r="425" spans="1:26" ht="14.25" x14ac:dyDescent="0.2">
      <c r="A425" s="49"/>
      <c r="B425" s="50"/>
      <c r="C425" s="50" t="s">
        <v>1784</v>
      </c>
      <c r="D425" s="33"/>
      <c r="E425" s="11"/>
      <c r="F425" s="34">
        <f>Source!AN104</f>
        <v>2.0499999999999998</v>
      </c>
      <c r="G425" s="35" t="str">
        <f>Source!DF104</f>
        <v/>
      </c>
      <c r="H425" s="37">
        <f>ROUND(Source!AE104*Source!I104, 2)</f>
        <v>5.4</v>
      </c>
      <c r="I425" s="35"/>
      <c r="J425" s="35">
        <f>IF(Source!BS104&lt;&gt; 0, Source!BS104, 1)</f>
        <v>7.13</v>
      </c>
      <c r="K425" s="37">
        <f>Source!R104</f>
        <v>38.53</v>
      </c>
      <c r="L425" s="36"/>
      <c r="R425">
        <f>H425</f>
        <v>5.4</v>
      </c>
    </row>
    <row r="426" spans="1:26" ht="14.25" x14ac:dyDescent="0.2">
      <c r="A426" s="49"/>
      <c r="B426" s="50"/>
      <c r="C426" s="50" t="s">
        <v>1790</v>
      </c>
      <c r="D426" s="33"/>
      <c r="E426" s="11"/>
      <c r="F426" s="34">
        <f>Source!AL104</f>
        <v>513.39</v>
      </c>
      <c r="G426" s="35" t="str">
        <f>Source!DD104</f>
        <v/>
      </c>
      <c r="H426" s="34">
        <f>ROUND(Source!AC104*Source!I104, 2)</f>
        <v>1353.3</v>
      </c>
      <c r="I426" s="35"/>
      <c r="J426" s="35">
        <f>IF(Source!BC104&lt;&gt; 0, Source!BC104, 1)</f>
        <v>7.13</v>
      </c>
      <c r="K426" s="34">
        <f>Source!P104</f>
        <v>9649</v>
      </c>
      <c r="L426" s="36"/>
    </row>
    <row r="427" spans="1:26" ht="14.25" x14ac:dyDescent="0.2">
      <c r="A427" s="49"/>
      <c r="B427" s="50"/>
      <c r="C427" s="50" t="s">
        <v>1785</v>
      </c>
      <c r="D427" s="33" t="s">
        <v>1786</v>
      </c>
      <c r="E427" s="11">
        <f>Source!BZ104</f>
        <v>80</v>
      </c>
      <c r="F427" s="53"/>
      <c r="G427" s="35"/>
      <c r="H427" s="34">
        <f>SUM(S421:S431)</f>
        <v>619.79</v>
      </c>
      <c r="I427" s="38"/>
      <c r="J427" s="31">
        <f>Source!AT104</f>
        <v>80</v>
      </c>
      <c r="K427" s="34">
        <f>SUM(T421:T431)</f>
        <v>4419.16</v>
      </c>
      <c r="L427" s="36"/>
    </row>
    <row r="428" spans="1:26" ht="14.25" x14ac:dyDescent="0.2">
      <c r="A428" s="49"/>
      <c r="B428" s="50"/>
      <c r="C428" s="50" t="s">
        <v>1787</v>
      </c>
      <c r="D428" s="33" t="s">
        <v>1786</v>
      </c>
      <c r="E428" s="11">
        <f>Source!CA104</f>
        <v>50</v>
      </c>
      <c r="F428" s="53"/>
      <c r="G428" s="35"/>
      <c r="H428" s="34">
        <f>SUM(U421:U431)</f>
        <v>387.37</v>
      </c>
      <c r="I428" s="38"/>
      <c r="J428" s="31">
        <f>Source!AU104</f>
        <v>50</v>
      </c>
      <c r="K428" s="34">
        <f>SUM(V421:V431)</f>
        <v>2761.98</v>
      </c>
      <c r="L428" s="36"/>
    </row>
    <row r="429" spans="1:26" ht="14.25" x14ac:dyDescent="0.2">
      <c r="A429" s="49"/>
      <c r="B429" s="50"/>
      <c r="C429" s="50" t="s">
        <v>1788</v>
      </c>
      <c r="D429" s="33" t="s">
        <v>1789</v>
      </c>
      <c r="E429" s="11">
        <f>Source!AQ104</f>
        <v>33.78</v>
      </c>
      <c r="F429" s="34"/>
      <c r="G429" s="35" t="str">
        <f>Source!DI104</f>
        <v/>
      </c>
      <c r="H429" s="34"/>
      <c r="I429" s="35"/>
      <c r="J429" s="35"/>
      <c r="K429" s="34"/>
      <c r="L429" s="45">
        <f>Source!U104</f>
        <v>89.044080000000008</v>
      </c>
    </row>
    <row r="430" spans="1:26" ht="14.25" x14ac:dyDescent="0.2">
      <c r="A430" s="49" t="str">
        <f>Source!E105</f>
        <v>39,1</v>
      </c>
      <c r="B430" s="50" t="str">
        <f>Source!F105</f>
        <v>14.3.02.01</v>
      </c>
      <c r="C430" s="50" t="str">
        <f>Source!G105</f>
        <v>Краска водоэмульсионная</v>
      </c>
      <c r="D430" s="33" t="str">
        <f>Source!H105</f>
        <v>т</v>
      </c>
      <c r="E430" s="11">
        <f>Source!I105</f>
        <v>0.18715599999999999</v>
      </c>
      <c r="F430" s="34">
        <f>Source!AL105+Source!AM105+Source!AO105</f>
        <v>0</v>
      </c>
      <c r="G430" s="48" t="s">
        <v>6</v>
      </c>
      <c r="H430" s="34">
        <f>ROUND(Source!AC105*Source!I105, 2)+ROUND(Source!AD105*Source!I105, 2)+ROUND(Source!AF105*Source!I105, 2)</f>
        <v>0</v>
      </c>
      <c r="I430" s="35"/>
      <c r="J430" s="35">
        <f>IF(Source!BC105&lt;&gt; 0, Source!BC105, 1)</f>
        <v>7.13</v>
      </c>
      <c r="K430" s="34">
        <f>Source!O105</f>
        <v>0</v>
      </c>
      <c r="L430" s="36"/>
      <c r="S430">
        <f>ROUND((Source!FX105/100)*((ROUND(Source!AF105*Source!I105, 2)+ROUND(Source!AE105*Source!I105, 2))), 2)</f>
        <v>0</v>
      </c>
      <c r="T430">
        <f>Source!X105</f>
        <v>0</v>
      </c>
      <c r="U430">
        <f>ROUND((Source!FY105/100)*((ROUND(Source!AF105*Source!I105, 2)+ROUND(Source!AE105*Source!I105, 2))), 2)</f>
        <v>0</v>
      </c>
      <c r="V430">
        <f>Source!Y105</f>
        <v>0</v>
      </c>
      <c r="W430">
        <f>IF(Source!BI105&lt;=1,H430, 0)</f>
        <v>0</v>
      </c>
      <c r="X430">
        <f>IF(Source!BI105=2,H430, 0)</f>
        <v>0</v>
      </c>
      <c r="Y430">
        <f>IF(Source!BI105=3,H430, 0)</f>
        <v>0</v>
      </c>
      <c r="Z430">
        <f>IF(Source!BI105=4,H430, 0)</f>
        <v>0</v>
      </c>
    </row>
    <row r="431" spans="1:26" ht="42.75" x14ac:dyDescent="0.2">
      <c r="A431" s="51" t="str">
        <f>Source!E106</f>
        <v>39,2</v>
      </c>
      <c r="B431" s="52" t="str">
        <f>Source!F106</f>
        <v>14.3.02.01-0014</v>
      </c>
      <c r="C431" s="52" t="str">
        <f>Source!G106</f>
        <v>Краска акриловая  водно-дисперсионная (согласно тех. заданию)</v>
      </c>
      <c r="D431" s="39" t="str">
        <f>Source!H106</f>
        <v>т</v>
      </c>
      <c r="E431" s="40">
        <f>Source!I106</f>
        <v>0.18715599999999999</v>
      </c>
      <c r="F431" s="41">
        <f>Source!AL106+Source!AM106+Source!AO106</f>
        <v>7627.37</v>
      </c>
      <c r="G431" s="46" t="s">
        <v>6</v>
      </c>
      <c r="H431" s="41">
        <f>ROUND(Source!AC106*Source!I106, 2)+ROUND(Source!AD106*Source!I106, 2)+ROUND(Source!AF106*Source!I106, 2)</f>
        <v>1427.51</v>
      </c>
      <c r="I431" s="42"/>
      <c r="J431" s="42">
        <f>IF(Source!BC106&lt;&gt; 0, Source!BC106, 1)</f>
        <v>7.13</v>
      </c>
      <c r="K431" s="41">
        <f>Source!O106</f>
        <v>10178.129999999999</v>
      </c>
      <c r="L431" s="47"/>
      <c r="S431">
        <f>ROUND((Source!FX106/100)*((ROUND(Source!AF106*Source!I106, 2)+ROUND(Source!AE106*Source!I106, 2))), 2)</f>
        <v>0</v>
      </c>
      <c r="T431">
        <f>Source!X106</f>
        <v>0</v>
      </c>
      <c r="U431">
        <f>ROUND((Source!FY106/100)*((ROUND(Source!AF106*Source!I106, 2)+ROUND(Source!AE106*Source!I106, 2))), 2)</f>
        <v>0</v>
      </c>
      <c r="V431">
        <f>Source!Y106</f>
        <v>0</v>
      </c>
      <c r="W431">
        <f>IF(Source!BI106&lt;=1,H431, 0)</f>
        <v>1427.51</v>
      </c>
      <c r="X431">
        <f>IF(Source!BI106=2,H431, 0)</f>
        <v>0</v>
      </c>
      <c r="Y431">
        <f>IF(Source!BI106=3,H431, 0)</f>
        <v>0</v>
      </c>
      <c r="Z431">
        <f>IF(Source!BI106=4,H431, 0)</f>
        <v>0</v>
      </c>
    </row>
    <row r="432" spans="1:26" ht="15" x14ac:dyDescent="0.25">
      <c r="G432" s="87">
        <f>H423+H424+H426+H427+H428+SUM(H430:H431)</f>
        <v>4575.95</v>
      </c>
      <c r="H432" s="87"/>
      <c r="J432" s="87">
        <f>K423+K424+K426+K427+K428+SUM(K430:K431)</f>
        <v>32626.57</v>
      </c>
      <c r="K432" s="87"/>
      <c r="L432" s="44">
        <f>Source!U104</f>
        <v>89.044080000000008</v>
      </c>
      <c r="O432" s="27">
        <f>G432</f>
        <v>4575.95</v>
      </c>
      <c r="P432" s="27">
        <f>J432</f>
        <v>32626.57</v>
      </c>
      <c r="Q432" s="27">
        <f>L432</f>
        <v>89.044080000000008</v>
      </c>
      <c r="W432">
        <f>IF(Source!BI104&lt;=1,H423+H424+H426+H427+H428, 0)</f>
        <v>3148.4399999999996</v>
      </c>
      <c r="X432">
        <f>IF(Source!BI104=2,H423+H424+H426+H427+H428, 0)</f>
        <v>0</v>
      </c>
      <c r="Y432">
        <f>IF(Source!BI104=3,H423+H424+H426+H427+H428, 0)</f>
        <v>0</v>
      </c>
      <c r="Z432">
        <f>IF(Source!BI104=4,H423+H424+H426+H427+H428, 0)</f>
        <v>0</v>
      </c>
    </row>
    <row r="433" spans="1:26" ht="42.75" x14ac:dyDescent="0.2">
      <c r="A433" s="49" t="str">
        <f>Source!E107</f>
        <v>40</v>
      </c>
      <c r="B433" s="50" t="str">
        <f>Source!F107</f>
        <v>15-06-001-01</v>
      </c>
      <c r="C433" s="50" t="str">
        <f>Source!G107</f>
        <v>Оклейка обоями стен по монолитной штукатурке и бетону простыми и средней плотности</v>
      </c>
      <c r="D433" s="33" t="str">
        <f>Source!H107</f>
        <v>100 м2</v>
      </c>
      <c r="E433" s="11">
        <f>Source!I107</f>
        <v>0.48249999999999998</v>
      </c>
      <c r="F433" s="34">
        <f>Source!AL107+Source!AM107+Source!AO107</f>
        <v>419.87</v>
      </c>
      <c r="G433" s="35"/>
      <c r="H433" s="34"/>
      <c r="I433" s="35" t="str">
        <f>Source!BO107</f>
        <v/>
      </c>
      <c r="J433" s="35"/>
      <c r="K433" s="34"/>
      <c r="L433" s="36"/>
      <c r="S433">
        <f>ROUND((Source!FX107/100)*((ROUND(Source!AF107*Source!I107, 2)+ROUND(Source!AE107*Source!I107, 2))), 2)</f>
        <v>156.38999999999999</v>
      </c>
      <c r="T433">
        <f>Source!X107</f>
        <v>1120.93</v>
      </c>
      <c r="U433">
        <f>ROUND((Source!FY107/100)*((ROUND(Source!AF107*Source!I107, 2)+ROUND(Source!AE107*Source!I107, 2))), 2)</f>
        <v>77.37</v>
      </c>
      <c r="V433">
        <f>Source!Y107</f>
        <v>554.57000000000005</v>
      </c>
    </row>
    <row r="434" spans="1:26" x14ac:dyDescent="0.2">
      <c r="C434" s="26" t="str">
        <f>"Объем: "&amp;Source!I107&amp;"=48,25/"&amp;"100"</f>
        <v>Объем: 0,4825=48,25/100</v>
      </c>
    </row>
    <row r="435" spans="1:26" ht="14.25" x14ac:dyDescent="0.2">
      <c r="A435" s="49"/>
      <c r="B435" s="50"/>
      <c r="C435" s="50" t="s">
        <v>1783</v>
      </c>
      <c r="D435" s="33"/>
      <c r="E435" s="11"/>
      <c r="F435" s="34">
        <f>Source!AO107</f>
        <v>297.95999999999998</v>
      </c>
      <c r="G435" s="35" t="str">
        <f>Source!DG107</f>
        <v>)*1,15</v>
      </c>
      <c r="H435" s="34">
        <f>ROUND(Source!AF107*Source!I107, 2)</f>
        <v>165.33</v>
      </c>
      <c r="I435" s="35"/>
      <c r="J435" s="35">
        <f>IF(Source!BA107&lt;&gt; 0, Source!BA107, 1)</f>
        <v>7.13</v>
      </c>
      <c r="K435" s="34">
        <f>Source!S107</f>
        <v>1178.79</v>
      </c>
      <c r="L435" s="36"/>
      <c r="R435">
        <f>H435</f>
        <v>165.33</v>
      </c>
    </row>
    <row r="436" spans="1:26" ht="14.25" x14ac:dyDescent="0.2">
      <c r="A436" s="49"/>
      <c r="B436" s="50"/>
      <c r="C436" s="50" t="s">
        <v>449</v>
      </c>
      <c r="D436" s="33"/>
      <c r="E436" s="11"/>
      <c r="F436" s="34">
        <f>Source!AM107</f>
        <v>0.97</v>
      </c>
      <c r="G436" s="35" t="str">
        <f>Source!DE107</f>
        <v>)*1,25</v>
      </c>
      <c r="H436" s="34">
        <f>ROUND(Source!AD107*Source!I107, 2)</f>
        <v>0.59</v>
      </c>
      <c r="I436" s="35"/>
      <c r="J436" s="35">
        <f>IF(Source!BB107&lt;&gt; 0, Source!BB107, 1)</f>
        <v>7.13</v>
      </c>
      <c r="K436" s="34">
        <f>Source!Q107</f>
        <v>4.2</v>
      </c>
      <c r="L436" s="36"/>
    </row>
    <row r="437" spans="1:26" ht="14.25" x14ac:dyDescent="0.2">
      <c r="A437" s="49"/>
      <c r="B437" s="50"/>
      <c r="C437" s="50" t="s">
        <v>1784</v>
      </c>
      <c r="D437" s="33"/>
      <c r="E437" s="11"/>
      <c r="F437" s="34">
        <f>Source!AN107</f>
        <v>0.26</v>
      </c>
      <c r="G437" s="35" t="str">
        <f>Source!DF107</f>
        <v>)*1,25</v>
      </c>
      <c r="H437" s="37">
        <f>ROUND(Source!AE107*Source!I107, 2)</f>
        <v>0.16</v>
      </c>
      <c r="I437" s="35"/>
      <c r="J437" s="35">
        <f>IF(Source!BS107&lt;&gt; 0, Source!BS107, 1)</f>
        <v>7.13</v>
      </c>
      <c r="K437" s="37">
        <f>Source!R107</f>
        <v>1.1399999999999999</v>
      </c>
      <c r="L437" s="36"/>
      <c r="R437">
        <f>H437</f>
        <v>0.16</v>
      </c>
    </row>
    <row r="438" spans="1:26" ht="14.25" x14ac:dyDescent="0.2">
      <c r="A438" s="49"/>
      <c r="B438" s="50"/>
      <c r="C438" s="50" t="s">
        <v>1790</v>
      </c>
      <c r="D438" s="33"/>
      <c r="E438" s="11"/>
      <c r="F438" s="34">
        <f>Source!AL107</f>
        <v>120.94</v>
      </c>
      <c r="G438" s="35" t="str">
        <f>Source!DD107</f>
        <v/>
      </c>
      <c r="H438" s="34">
        <f>ROUND(Source!AC107*Source!I107, 2)</f>
        <v>58.35</v>
      </c>
      <c r="I438" s="35"/>
      <c r="J438" s="35">
        <f>IF(Source!BC107&lt;&gt; 0, Source!BC107, 1)</f>
        <v>7.13</v>
      </c>
      <c r="K438" s="34">
        <f>Source!P107</f>
        <v>416.06</v>
      </c>
      <c r="L438" s="36"/>
    </row>
    <row r="439" spans="1:26" ht="14.25" x14ac:dyDescent="0.2">
      <c r="A439" s="49"/>
      <c r="B439" s="50"/>
      <c r="C439" s="50" t="s">
        <v>1785</v>
      </c>
      <c r="D439" s="33" t="s">
        <v>1786</v>
      </c>
      <c r="E439" s="11">
        <f>Source!BZ107</f>
        <v>105</v>
      </c>
      <c r="F439" s="81" t="str">
        <f>CONCATENATE(" )", Source!DL107, Source!FT107, "=", Source!FX107)</f>
        <v xml:space="preserve"> )*0,9=94,5</v>
      </c>
      <c r="G439" s="88"/>
      <c r="H439" s="34">
        <f>SUM(S433:S442)</f>
        <v>156.38999999999999</v>
      </c>
      <c r="I439" s="38"/>
      <c r="J439" s="31">
        <f>Source!AT107</f>
        <v>95</v>
      </c>
      <c r="K439" s="34">
        <f>SUM(T433:T442)</f>
        <v>1120.93</v>
      </c>
      <c r="L439" s="36"/>
    </row>
    <row r="440" spans="1:26" ht="14.25" x14ac:dyDescent="0.2">
      <c r="A440" s="49"/>
      <c r="B440" s="50"/>
      <c r="C440" s="50" t="s">
        <v>1787</v>
      </c>
      <c r="D440" s="33" t="s">
        <v>1786</v>
      </c>
      <c r="E440" s="11">
        <f>Source!CA107</f>
        <v>55</v>
      </c>
      <c r="F440" s="81" t="str">
        <f>CONCATENATE(" )", Source!DM107, Source!FU107, "=", Source!FY107)</f>
        <v xml:space="preserve"> )*0,85=46,75</v>
      </c>
      <c r="G440" s="88"/>
      <c r="H440" s="34">
        <f>SUM(U433:U442)</f>
        <v>77.37</v>
      </c>
      <c r="I440" s="38"/>
      <c r="J440" s="31">
        <f>Source!AU107</f>
        <v>47</v>
      </c>
      <c r="K440" s="34">
        <f>SUM(V433:V442)</f>
        <v>554.57000000000005</v>
      </c>
      <c r="L440" s="36"/>
    </row>
    <row r="441" spans="1:26" ht="14.25" x14ac:dyDescent="0.2">
      <c r="A441" s="49"/>
      <c r="B441" s="50"/>
      <c r="C441" s="50" t="s">
        <v>1788</v>
      </c>
      <c r="D441" s="33" t="s">
        <v>1789</v>
      </c>
      <c r="E441" s="11">
        <f>Source!AQ107</f>
        <v>33.630000000000003</v>
      </c>
      <c r="F441" s="34"/>
      <c r="G441" s="35" t="str">
        <f>Source!DI107</f>
        <v>)*1,15</v>
      </c>
      <c r="H441" s="34"/>
      <c r="I441" s="35"/>
      <c r="J441" s="35"/>
      <c r="K441" s="34"/>
      <c r="L441" s="45">
        <f>Source!U107</f>
        <v>18.66044625</v>
      </c>
    </row>
    <row r="442" spans="1:26" ht="28.5" x14ac:dyDescent="0.2">
      <c r="A442" s="51" t="str">
        <f>Source!E108</f>
        <v>40,1</v>
      </c>
      <c r="B442" s="52" t="str">
        <f>Source!F108</f>
        <v>01.6.02.02-0002</v>
      </c>
      <c r="C442" s="52" t="str">
        <f>Source!G108</f>
        <v>Стеклообои TASSOGLAS, елочка</v>
      </c>
      <c r="D442" s="39" t="str">
        <f>Source!H108</f>
        <v>10 м2</v>
      </c>
      <c r="E442" s="40">
        <f>Source!I108</f>
        <v>0.54522499999999996</v>
      </c>
      <c r="F442" s="41">
        <f>Source!AL108+Source!AM108+Source!AO108</f>
        <v>110.35</v>
      </c>
      <c r="G442" s="46" t="s">
        <v>6</v>
      </c>
      <c r="H442" s="41">
        <f>ROUND(Source!AC108*Source!I108, 2)+ROUND(Source!AD108*Source!I108, 2)+ROUND(Source!AF108*Source!I108, 2)</f>
        <v>60.17</v>
      </c>
      <c r="I442" s="42"/>
      <c r="J442" s="42">
        <f>IF(Source!BC108&lt;&gt; 0, Source!BC108, 1)</f>
        <v>7.13</v>
      </c>
      <c r="K442" s="41">
        <f>Source!O108</f>
        <v>428.98</v>
      </c>
      <c r="L442" s="47"/>
      <c r="S442">
        <f>ROUND((Source!FX108/100)*((ROUND(Source!AF108*Source!I108, 2)+ROUND(Source!AE108*Source!I108, 2))), 2)</f>
        <v>0</v>
      </c>
      <c r="T442">
        <f>Source!X108</f>
        <v>0</v>
      </c>
      <c r="U442">
        <f>ROUND((Source!FY108/100)*((ROUND(Source!AF108*Source!I108, 2)+ROUND(Source!AE108*Source!I108, 2))), 2)</f>
        <v>0</v>
      </c>
      <c r="V442">
        <f>Source!Y108</f>
        <v>0</v>
      </c>
      <c r="W442">
        <f>IF(Source!BI108&lt;=1,H442, 0)</f>
        <v>60.17</v>
      </c>
      <c r="X442">
        <f>IF(Source!BI108=2,H442, 0)</f>
        <v>0</v>
      </c>
      <c r="Y442">
        <f>IF(Source!BI108=3,H442, 0)</f>
        <v>0</v>
      </c>
      <c r="Z442">
        <f>IF(Source!BI108=4,H442, 0)</f>
        <v>0</v>
      </c>
    </row>
    <row r="443" spans="1:26" ht="15" x14ac:dyDescent="0.25">
      <c r="G443" s="87">
        <f>H435+H436+H438+H439+H440+SUM(H442:H442)</f>
        <v>518.19999999999993</v>
      </c>
      <c r="H443" s="87"/>
      <c r="J443" s="87">
        <f>K435+K436+K438+K439+K440+SUM(K442:K442)</f>
        <v>3703.53</v>
      </c>
      <c r="K443" s="87"/>
      <c r="L443" s="44">
        <f>Source!U107</f>
        <v>18.66044625</v>
      </c>
      <c r="O443" s="27">
        <f>G443</f>
        <v>518.19999999999993</v>
      </c>
      <c r="P443" s="27">
        <f>J443</f>
        <v>3703.53</v>
      </c>
      <c r="Q443" s="27">
        <f>L443</f>
        <v>18.66044625</v>
      </c>
      <c r="W443">
        <f>IF(Source!BI107&lt;=1,H435+H436+H438+H439+H440, 0)</f>
        <v>458.03</v>
      </c>
      <c r="X443">
        <f>IF(Source!BI107=2,H435+H436+H438+H439+H440, 0)</f>
        <v>0</v>
      </c>
      <c r="Y443">
        <f>IF(Source!BI107=3,H435+H436+H438+H439+H440, 0)</f>
        <v>0</v>
      </c>
      <c r="Z443">
        <f>IF(Source!BI107=4,H435+H436+H438+H439+H440, 0)</f>
        <v>0</v>
      </c>
    </row>
    <row r="444" spans="1:26" ht="28.5" x14ac:dyDescent="0.2">
      <c r="A444" s="49" t="str">
        <f>Source!E109</f>
        <v>41</v>
      </c>
      <c r="B444" s="50" t="str">
        <f>Source!F109</f>
        <v>15-06-004-01</v>
      </c>
      <c r="C444" s="50" t="str">
        <f>Source!G109</f>
        <v>Вторая окраска стен, оклееных стеклообоями, красками</v>
      </c>
      <c r="D444" s="33" t="str">
        <f>Source!H109</f>
        <v>100 м2</v>
      </c>
      <c r="E444" s="11">
        <f>Source!I109</f>
        <v>0.48249999999999998</v>
      </c>
      <c r="F444" s="34">
        <f>Source!AL109+Source!AM109+Source!AO109</f>
        <v>80.62</v>
      </c>
      <c r="G444" s="35"/>
      <c r="H444" s="34"/>
      <c r="I444" s="35" t="str">
        <f>Source!BO109</f>
        <v/>
      </c>
      <c r="J444" s="35"/>
      <c r="K444" s="34"/>
      <c r="L444" s="36"/>
      <c r="S444">
        <f>ROUND((Source!FX109/100)*((ROUND(Source!AF109*Source!I109, 2)+ROUND(Source!AE109*Source!I109, 2))), 2)</f>
        <v>42.27</v>
      </c>
      <c r="T444">
        <f>Source!X109</f>
        <v>302.99</v>
      </c>
      <c r="U444">
        <f>ROUND((Source!FY109/100)*((ROUND(Source!AF109*Source!I109, 2)+ROUND(Source!AE109*Source!I109, 2))), 2)</f>
        <v>20.91</v>
      </c>
      <c r="V444">
        <f>Source!Y109</f>
        <v>149.9</v>
      </c>
    </row>
    <row r="445" spans="1:26" x14ac:dyDescent="0.2">
      <c r="C445" s="26" t="str">
        <f>"Объем: "&amp;Source!I109&amp;"=48,25/"&amp;"100"</f>
        <v>Объем: 0,4825=48,25/100</v>
      </c>
    </row>
    <row r="446" spans="1:26" ht="14.25" x14ac:dyDescent="0.2">
      <c r="A446" s="49"/>
      <c r="B446" s="50"/>
      <c r="C446" s="50" t="s">
        <v>1783</v>
      </c>
      <c r="D446" s="33"/>
      <c r="E446" s="11"/>
      <c r="F446" s="34">
        <f>Source!AO109</f>
        <v>80.62</v>
      </c>
      <c r="G446" s="35" t="str">
        <f>Source!DG109</f>
        <v>)*1,15</v>
      </c>
      <c r="H446" s="34">
        <f>ROUND(Source!AF109*Source!I109, 2)</f>
        <v>44.73</v>
      </c>
      <c r="I446" s="35"/>
      <c r="J446" s="35">
        <f>IF(Source!BA109&lt;&gt; 0, Source!BA109, 1)</f>
        <v>7.13</v>
      </c>
      <c r="K446" s="34">
        <f>Source!S109</f>
        <v>318.94</v>
      </c>
      <c r="L446" s="36"/>
      <c r="R446">
        <f>H446</f>
        <v>44.73</v>
      </c>
    </row>
    <row r="447" spans="1:26" ht="14.25" x14ac:dyDescent="0.2">
      <c r="A447" s="49"/>
      <c r="B447" s="50"/>
      <c r="C447" s="50" t="s">
        <v>1785</v>
      </c>
      <c r="D447" s="33" t="s">
        <v>1786</v>
      </c>
      <c r="E447" s="11">
        <f>Source!BZ109</f>
        <v>105</v>
      </c>
      <c r="F447" s="81" t="str">
        <f>CONCATENATE(" )", Source!DL109, Source!FT109, "=", Source!FX109)</f>
        <v xml:space="preserve"> )*0,9=94,5</v>
      </c>
      <c r="G447" s="88"/>
      <c r="H447" s="34">
        <f>SUM(S444:S450)</f>
        <v>42.27</v>
      </c>
      <c r="I447" s="38"/>
      <c r="J447" s="31">
        <f>Source!AT109</f>
        <v>95</v>
      </c>
      <c r="K447" s="34">
        <f>SUM(T444:T450)</f>
        <v>302.99</v>
      </c>
      <c r="L447" s="36"/>
    </row>
    <row r="448" spans="1:26" ht="14.25" x14ac:dyDescent="0.2">
      <c r="A448" s="49"/>
      <c r="B448" s="50"/>
      <c r="C448" s="50" t="s">
        <v>1787</v>
      </c>
      <c r="D448" s="33" t="s">
        <v>1786</v>
      </c>
      <c r="E448" s="11">
        <f>Source!CA109</f>
        <v>55</v>
      </c>
      <c r="F448" s="81" t="str">
        <f>CONCATENATE(" )", Source!DM109, Source!FU109, "=", Source!FY109)</f>
        <v xml:space="preserve"> )*0,85=46,75</v>
      </c>
      <c r="G448" s="88"/>
      <c r="H448" s="34">
        <f>SUM(U444:U450)</f>
        <v>20.91</v>
      </c>
      <c r="I448" s="38"/>
      <c r="J448" s="31">
        <f>Source!AU109</f>
        <v>47</v>
      </c>
      <c r="K448" s="34">
        <f>SUM(V444:V450)</f>
        <v>149.9</v>
      </c>
      <c r="L448" s="36"/>
    </row>
    <row r="449" spans="1:26" ht="14.25" x14ac:dyDescent="0.2">
      <c r="A449" s="49"/>
      <c r="B449" s="50"/>
      <c r="C449" s="50" t="s">
        <v>1788</v>
      </c>
      <c r="D449" s="33" t="s">
        <v>1789</v>
      </c>
      <c r="E449" s="11">
        <f>Source!AQ109</f>
        <v>8.3800000000000008</v>
      </c>
      <c r="F449" s="34"/>
      <c r="G449" s="35" t="str">
        <f>Source!DI109</f>
        <v>)*1,15</v>
      </c>
      <c r="H449" s="34"/>
      <c r="I449" s="35"/>
      <c r="J449" s="35"/>
      <c r="K449" s="34"/>
      <c r="L449" s="45">
        <f>Source!U109</f>
        <v>4.6498524999999997</v>
      </c>
    </row>
    <row r="450" spans="1:26" ht="28.5" x14ac:dyDescent="0.2">
      <c r="A450" s="51" t="str">
        <f>Source!E110</f>
        <v>41,1</v>
      </c>
      <c r="B450" s="52" t="str">
        <f>Source!F110</f>
        <v>14.3.02.01-0126</v>
      </c>
      <c r="C450" s="52" t="str">
        <f>Source!G110</f>
        <v>Краска акриловая  для стен и потолков (согласно тех.заданию)</v>
      </c>
      <c r="D450" s="39" t="str">
        <f>Source!H110</f>
        <v>т</v>
      </c>
      <c r="E450" s="40">
        <f>Source!I110</f>
        <v>7.7200000000000003E-3</v>
      </c>
      <c r="F450" s="41">
        <f>Source!AL110+Source!AM110+Source!AO110</f>
        <v>4751.46</v>
      </c>
      <c r="G450" s="46" t="s">
        <v>6</v>
      </c>
      <c r="H450" s="41">
        <f>ROUND(Source!AC110*Source!I110, 2)+ROUND(Source!AD110*Source!I110, 2)+ROUND(Source!AF110*Source!I110, 2)</f>
        <v>36.68</v>
      </c>
      <c r="I450" s="42"/>
      <c r="J450" s="42">
        <f>IF(Source!BC110&lt;&gt; 0, Source!BC110, 1)</f>
        <v>7.13</v>
      </c>
      <c r="K450" s="41">
        <f>Source!O110</f>
        <v>261.54000000000002</v>
      </c>
      <c r="L450" s="47"/>
      <c r="S450">
        <f>ROUND((Source!FX110/100)*((ROUND(Source!AF110*Source!I110, 2)+ROUND(Source!AE110*Source!I110, 2))), 2)</f>
        <v>0</v>
      </c>
      <c r="T450">
        <f>Source!X110</f>
        <v>0</v>
      </c>
      <c r="U450">
        <f>ROUND((Source!FY110/100)*((ROUND(Source!AF110*Source!I110, 2)+ROUND(Source!AE110*Source!I110, 2))), 2)</f>
        <v>0</v>
      </c>
      <c r="V450">
        <f>Source!Y110</f>
        <v>0</v>
      </c>
      <c r="W450">
        <f>IF(Source!BI110&lt;=1,H450, 0)</f>
        <v>36.68</v>
      </c>
      <c r="X450">
        <f>IF(Source!BI110=2,H450, 0)</f>
        <v>0</v>
      </c>
      <c r="Y450">
        <f>IF(Source!BI110=3,H450, 0)</f>
        <v>0</v>
      </c>
      <c r="Z450">
        <f>IF(Source!BI110=4,H450, 0)</f>
        <v>0</v>
      </c>
    </row>
    <row r="451" spans="1:26" ht="15" x14ac:dyDescent="0.25">
      <c r="G451" s="87">
        <f>H446+H447+H448+SUM(H450:H450)</f>
        <v>144.59</v>
      </c>
      <c r="H451" s="87"/>
      <c r="J451" s="87">
        <f>K446+K447+K448+SUM(K450:K450)</f>
        <v>1033.3700000000001</v>
      </c>
      <c r="K451" s="87"/>
      <c r="L451" s="44">
        <f>Source!U109</f>
        <v>4.6498524999999997</v>
      </c>
      <c r="O451" s="27">
        <f>G451</f>
        <v>144.59</v>
      </c>
      <c r="P451" s="27">
        <f>J451</f>
        <v>1033.3700000000001</v>
      </c>
      <c r="Q451" s="27">
        <f>L451</f>
        <v>4.6498524999999997</v>
      </c>
      <c r="W451">
        <f>IF(Source!BI109&lt;=1,H446+H447+H448, 0)</f>
        <v>107.91</v>
      </c>
      <c r="X451">
        <f>IF(Source!BI109=2,H446+H447+H448, 0)</f>
        <v>0</v>
      </c>
      <c r="Y451">
        <f>IF(Source!BI109=3,H446+H447+H448, 0)</f>
        <v>0</v>
      </c>
      <c r="Z451">
        <f>IF(Source!BI109=4,H446+H447+H448, 0)</f>
        <v>0</v>
      </c>
    </row>
    <row r="452" spans="1:26" ht="42.75" x14ac:dyDescent="0.2">
      <c r="A452" s="49" t="str">
        <f>Source!E111</f>
        <v>42</v>
      </c>
      <c r="B452" s="50" t="str">
        <f>Source!F111</f>
        <v>15-04-006-01</v>
      </c>
      <c r="C452" s="50" t="str">
        <f>Source!G111</f>
        <v>Покрытие поверхностей грунтовкой глубокого проникновения за 1 раз потолков</v>
      </c>
      <c r="D452" s="33" t="str">
        <f>Source!H111</f>
        <v>100 м2</v>
      </c>
      <c r="E452" s="11">
        <f>Source!I111</f>
        <v>2.6360000000000001</v>
      </c>
      <c r="F452" s="34">
        <f>Source!AL111+Source!AM111+Source!AO111</f>
        <v>79.070000000000007</v>
      </c>
      <c r="G452" s="35"/>
      <c r="H452" s="34"/>
      <c r="I452" s="35" t="str">
        <f>Source!BO111</f>
        <v/>
      </c>
      <c r="J452" s="35"/>
      <c r="K452" s="34"/>
      <c r="L452" s="36"/>
      <c r="S452">
        <f>ROUND((Source!FX111/100)*((ROUND(Source!AF111*Source!I111, 2)+ROUND(Source!AE111*Source!I111, 2))), 2)</f>
        <v>224.04</v>
      </c>
      <c r="T452">
        <f>Source!X111</f>
        <v>1605.87</v>
      </c>
      <c r="U452">
        <f>ROUND((Source!FY111/100)*((ROUND(Source!AF111*Source!I111, 2)+ROUND(Source!AE111*Source!I111, 2))), 2)</f>
        <v>110.83</v>
      </c>
      <c r="V452">
        <f>Source!Y111</f>
        <v>794.48</v>
      </c>
    </row>
    <row r="453" spans="1:26" x14ac:dyDescent="0.2">
      <c r="C453" s="26" t="str">
        <f>"Объем: "&amp;Source!I111&amp;"=263,6/"&amp;"100"</f>
        <v>Объем: 2,636=263,6/100</v>
      </c>
    </row>
    <row r="454" spans="1:26" ht="14.25" x14ac:dyDescent="0.2">
      <c r="A454" s="49"/>
      <c r="B454" s="50"/>
      <c r="C454" s="50" t="s">
        <v>1783</v>
      </c>
      <c r="D454" s="33"/>
      <c r="E454" s="11"/>
      <c r="F454" s="34">
        <f>Source!AO111</f>
        <v>77.92</v>
      </c>
      <c r="G454" s="35" t="str">
        <f>Source!DG111</f>
        <v>)*1,15</v>
      </c>
      <c r="H454" s="34">
        <f>ROUND(Source!AF111*Source!I111, 2)</f>
        <v>236.21</v>
      </c>
      <c r="I454" s="35"/>
      <c r="J454" s="35">
        <f>IF(Source!BA111&lt;&gt; 0, Source!BA111, 1)</f>
        <v>7.13</v>
      </c>
      <c r="K454" s="34">
        <f>Source!S111</f>
        <v>1684.19</v>
      </c>
      <c r="L454" s="36"/>
      <c r="R454">
        <f>H454</f>
        <v>236.21</v>
      </c>
    </row>
    <row r="455" spans="1:26" ht="14.25" x14ac:dyDescent="0.2">
      <c r="A455" s="49"/>
      <c r="B455" s="50"/>
      <c r="C455" s="50" t="s">
        <v>449</v>
      </c>
      <c r="D455" s="33"/>
      <c r="E455" s="11"/>
      <c r="F455" s="34">
        <f>Source!AM111</f>
        <v>0.97</v>
      </c>
      <c r="G455" s="35" t="str">
        <f>Source!DE111</f>
        <v>)*1,25</v>
      </c>
      <c r="H455" s="34">
        <f>ROUND(Source!AD111*Source!I111, 2)</f>
        <v>3.22</v>
      </c>
      <c r="I455" s="35"/>
      <c r="J455" s="35">
        <f>IF(Source!BB111&lt;&gt; 0, Source!BB111, 1)</f>
        <v>7.13</v>
      </c>
      <c r="K455" s="34">
        <f>Source!Q111</f>
        <v>22.93</v>
      </c>
      <c r="L455" s="36"/>
    </row>
    <row r="456" spans="1:26" ht="14.25" x14ac:dyDescent="0.2">
      <c r="A456" s="49"/>
      <c r="B456" s="50"/>
      <c r="C456" s="50" t="s">
        <v>1784</v>
      </c>
      <c r="D456" s="33"/>
      <c r="E456" s="11"/>
      <c r="F456" s="34">
        <f>Source!AN111</f>
        <v>0.26</v>
      </c>
      <c r="G456" s="35" t="str">
        <f>Source!DF111</f>
        <v>)*1,25</v>
      </c>
      <c r="H456" s="37">
        <f>ROUND(Source!AE111*Source!I111, 2)</f>
        <v>0.87</v>
      </c>
      <c r="I456" s="35"/>
      <c r="J456" s="35">
        <f>IF(Source!BS111&lt;&gt; 0, Source!BS111, 1)</f>
        <v>7.13</v>
      </c>
      <c r="K456" s="37">
        <f>Source!R111</f>
        <v>6.2</v>
      </c>
      <c r="L456" s="36"/>
      <c r="R456">
        <f>H456</f>
        <v>0.87</v>
      </c>
    </row>
    <row r="457" spans="1:26" ht="14.25" x14ac:dyDescent="0.2">
      <c r="A457" s="49"/>
      <c r="B457" s="50"/>
      <c r="C457" s="50" t="s">
        <v>1790</v>
      </c>
      <c r="D457" s="33"/>
      <c r="E457" s="11"/>
      <c r="F457" s="34">
        <f>Source!AL111</f>
        <v>0.18</v>
      </c>
      <c r="G457" s="35" t="str">
        <f>Source!DD111</f>
        <v/>
      </c>
      <c r="H457" s="34">
        <f>ROUND(Source!AC111*Source!I111, 2)</f>
        <v>0.47</v>
      </c>
      <c r="I457" s="35"/>
      <c r="J457" s="35">
        <f>IF(Source!BC111&lt;&gt; 0, Source!BC111, 1)</f>
        <v>7.13</v>
      </c>
      <c r="K457" s="34">
        <f>Source!P111</f>
        <v>3.38</v>
      </c>
      <c r="L457" s="36"/>
    </row>
    <row r="458" spans="1:26" ht="14.25" x14ac:dyDescent="0.2">
      <c r="A458" s="49"/>
      <c r="B458" s="50"/>
      <c r="C458" s="50" t="s">
        <v>1785</v>
      </c>
      <c r="D458" s="33" t="s">
        <v>1786</v>
      </c>
      <c r="E458" s="11">
        <f>Source!BZ111</f>
        <v>105</v>
      </c>
      <c r="F458" s="81" t="str">
        <f>CONCATENATE(" )", Source!DL111, Source!FT111, "=", Source!FX111)</f>
        <v xml:space="preserve"> )*0,9=94,5</v>
      </c>
      <c r="G458" s="88"/>
      <c r="H458" s="34">
        <f>SUM(S452:S462)</f>
        <v>224.04</v>
      </c>
      <c r="I458" s="38"/>
      <c r="J458" s="31">
        <f>Source!AT111</f>
        <v>95</v>
      </c>
      <c r="K458" s="34">
        <f>SUM(T452:T462)</f>
        <v>1605.87</v>
      </c>
      <c r="L458" s="36"/>
    </row>
    <row r="459" spans="1:26" ht="14.25" x14ac:dyDescent="0.2">
      <c r="A459" s="49"/>
      <c r="B459" s="50"/>
      <c r="C459" s="50" t="s">
        <v>1787</v>
      </c>
      <c r="D459" s="33" t="s">
        <v>1786</v>
      </c>
      <c r="E459" s="11">
        <f>Source!CA111</f>
        <v>55</v>
      </c>
      <c r="F459" s="81" t="str">
        <f>CONCATENATE(" )", Source!DM111, Source!FU111, "=", Source!FY111)</f>
        <v xml:space="preserve"> )*0,85=46,75</v>
      </c>
      <c r="G459" s="88"/>
      <c r="H459" s="34">
        <f>SUM(U452:U462)</f>
        <v>110.83</v>
      </c>
      <c r="I459" s="38"/>
      <c r="J459" s="31">
        <f>Source!AU111</f>
        <v>47</v>
      </c>
      <c r="K459" s="34">
        <f>SUM(V452:V462)</f>
        <v>794.48</v>
      </c>
      <c r="L459" s="36"/>
    </row>
    <row r="460" spans="1:26" ht="14.25" x14ac:dyDescent="0.2">
      <c r="A460" s="49"/>
      <c r="B460" s="50"/>
      <c r="C460" s="50" t="s">
        <v>1788</v>
      </c>
      <c r="D460" s="33" t="s">
        <v>1789</v>
      </c>
      <c r="E460" s="11">
        <f>Source!AQ111</f>
        <v>8.1</v>
      </c>
      <c r="F460" s="34"/>
      <c r="G460" s="35" t="str">
        <f>Source!DI111</f>
        <v>)*1,15</v>
      </c>
      <c r="H460" s="34"/>
      <c r="I460" s="35"/>
      <c r="J460" s="35"/>
      <c r="K460" s="34"/>
      <c r="L460" s="45">
        <f>Source!U111</f>
        <v>24.55434</v>
      </c>
    </row>
    <row r="461" spans="1:26" ht="14.25" x14ac:dyDescent="0.2">
      <c r="A461" s="49" t="str">
        <f>Source!E112</f>
        <v>42,1</v>
      </c>
      <c r="B461" s="50" t="str">
        <f>Source!F112</f>
        <v>14.4.01.21</v>
      </c>
      <c r="C461" s="50" t="str">
        <f>Source!G112</f>
        <v>Грунтовка</v>
      </c>
      <c r="D461" s="33" t="str">
        <f>Source!H112</f>
        <v>т</v>
      </c>
      <c r="E461" s="11">
        <f>Source!I112</f>
        <v>3.4268E-2</v>
      </c>
      <c r="F461" s="34">
        <f>Source!AL112+Source!AM112+Source!AO112</f>
        <v>0</v>
      </c>
      <c r="G461" s="48" t="s">
        <v>6</v>
      </c>
      <c r="H461" s="34">
        <f>ROUND(Source!AC112*Source!I112, 2)+ROUND(Source!AD112*Source!I112, 2)+ROUND(Source!AF112*Source!I112, 2)</f>
        <v>0</v>
      </c>
      <c r="I461" s="35"/>
      <c r="J461" s="35">
        <f>IF(Source!BC112&lt;&gt; 0, Source!BC112, 1)</f>
        <v>7.13</v>
      </c>
      <c r="K461" s="34">
        <f>Source!O112</f>
        <v>0</v>
      </c>
      <c r="L461" s="36"/>
      <c r="S461">
        <f>ROUND((Source!FX112/100)*((ROUND(Source!AF112*Source!I112, 2)+ROUND(Source!AE112*Source!I112, 2))), 2)</f>
        <v>0</v>
      </c>
      <c r="T461">
        <f>Source!X112</f>
        <v>0</v>
      </c>
      <c r="U461">
        <f>ROUND((Source!FY112/100)*((ROUND(Source!AF112*Source!I112, 2)+ROUND(Source!AE112*Source!I112, 2))), 2)</f>
        <v>0</v>
      </c>
      <c r="V461">
        <f>Source!Y112</f>
        <v>0</v>
      </c>
      <c r="W461">
        <f>IF(Source!BI112&lt;=1,H461, 0)</f>
        <v>0</v>
      </c>
      <c r="X461">
        <f>IF(Source!BI112=2,H461, 0)</f>
        <v>0</v>
      </c>
      <c r="Y461">
        <f>IF(Source!BI112=3,H461, 0)</f>
        <v>0</v>
      </c>
      <c r="Z461">
        <f>IF(Source!BI112=4,H461, 0)</f>
        <v>0</v>
      </c>
    </row>
    <row r="462" spans="1:26" ht="28.5" x14ac:dyDescent="0.2">
      <c r="A462" s="51" t="str">
        <f>Source!E113</f>
        <v>42,2</v>
      </c>
      <c r="B462" s="52" t="str">
        <f>Source!F113</f>
        <v>14.3.01.01-0001</v>
      </c>
      <c r="C462" s="52" t="str">
        <f>Source!G113</f>
        <v>Грунтовка: «Бетоконтакт», КНАУФ</v>
      </c>
      <c r="D462" s="39" t="str">
        <f>Source!H113</f>
        <v>кг</v>
      </c>
      <c r="E462" s="40">
        <f>Source!I113</f>
        <v>49.650024999999999</v>
      </c>
      <c r="F462" s="41">
        <f>Source!AL113+Source!AM113+Source!AO113</f>
        <v>15.09</v>
      </c>
      <c r="G462" s="46" t="s">
        <v>6</v>
      </c>
      <c r="H462" s="41">
        <f>ROUND(Source!AC113*Source!I113, 2)+ROUND(Source!AD113*Source!I113, 2)+ROUND(Source!AF113*Source!I113, 2)</f>
        <v>749.22</v>
      </c>
      <c r="I462" s="42"/>
      <c r="J462" s="42">
        <f>IF(Source!BC113&lt;&gt; 0, Source!BC113, 1)</f>
        <v>7.13</v>
      </c>
      <c r="K462" s="41">
        <f>Source!O113</f>
        <v>5341.93</v>
      </c>
      <c r="L462" s="47"/>
      <c r="S462">
        <f>ROUND((Source!FX113/100)*((ROUND(Source!AF113*Source!I113, 2)+ROUND(Source!AE113*Source!I113, 2))), 2)</f>
        <v>0</v>
      </c>
      <c r="T462">
        <f>Source!X113</f>
        <v>0</v>
      </c>
      <c r="U462">
        <f>ROUND((Source!FY113/100)*((ROUND(Source!AF113*Source!I113, 2)+ROUND(Source!AE113*Source!I113, 2))), 2)</f>
        <v>0</v>
      </c>
      <c r="V462">
        <f>Source!Y113</f>
        <v>0</v>
      </c>
      <c r="W462">
        <f>IF(Source!BI113&lt;=1,H462, 0)</f>
        <v>749.22</v>
      </c>
      <c r="X462">
        <f>IF(Source!BI113=2,H462, 0)</f>
        <v>0</v>
      </c>
      <c r="Y462">
        <f>IF(Source!BI113=3,H462, 0)</f>
        <v>0</v>
      </c>
      <c r="Z462">
        <f>IF(Source!BI113=4,H462, 0)</f>
        <v>0</v>
      </c>
    </row>
    <row r="463" spans="1:26" ht="15" x14ac:dyDescent="0.25">
      <c r="G463" s="87">
        <f>H454+H455+H457+H458+H459+SUM(H461:H462)</f>
        <v>1323.99</v>
      </c>
      <c r="H463" s="87"/>
      <c r="J463" s="87">
        <f>K454+K455+K457+K458+K459+SUM(K461:K462)</f>
        <v>9452.7800000000007</v>
      </c>
      <c r="K463" s="87"/>
      <c r="L463" s="44">
        <f>Source!U111</f>
        <v>24.55434</v>
      </c>
      <c r="O463" s="27">
        <f>G463</f>
        <v>1323.99</v>
      </c>
      <c r="P463" s="27">
        <f>J463</f>
        <v>9452.7800000000007</v>
      </c>
      <c r="Q463" s="27">
        <f>L463</f>
        <v>24.55434</v>
      </c>
      <c r="W463">
        <f>IF(Source!BI111&lt;=1,H454+H455+H457+H458+H459, 0)</f>
        <v>574.77</v>
      </c>
      <c r="X463">
        <f>IF(Source!BI111=2,H454+H455+H457+H458+H459, 0)</f>
        <v>0</v>
      </c>
      <c r="Y463">
        <f>IF(Source!BI111=3,H454+H455+H457+H458+H459, 0)</f>
        <v>0</v>
      </c>
      <c r="Z463">
        <f>IF(Source!BI111=4,H454+H455+H457+H458+H459, 0)</f>
        <v>0</v>
      </c>
    </row>
    <row r="464" spans="1:26" ht="28.5" x14ac:dyDescent="0.2">
      <c r="A464" s="49" t="str">
        <f>Source!E114</f>
        <v>43</v>
      </c>
      <c r="B464" s="50" t="str">
        <f>Source!F114</f>
        <v>62-42-1</v>
      </c>
      <c r="C464" s="50" t="str">
        <f>Source!G114</f>
        <v>Протравка цементной штукатурки нейтрализующим раствором</v>
      </c>
      <c r="D464" s="33" t="str">
        <f>Source!H114</f>
        <v>100 м2</v>
      </c>
      <c r="E464" s="11">
        <f>Source!I114</f>
        <v>0.33800000000000002</v>
      </c>
      <c r="F464" s="34">
        <f>Source!AL114+Source!AM114+Source!AO114</f>
        <v>37.1</v>
      </c>
      <c r="G464" s="35"/>
      <c r="H464" s="34"/>
      <c r="I464" s="35" t="str">
        <f>Source!BO114</f>
        <v/>
      </c>
      <c r="J464" s="35"/>
      <c r="K464" s="34"/>
      <c r="L464" s="36"/>
      <c r="S464">
        <f>ROUND((Source!FX114/100)*((ROUND(Source!AF114*Source!I114, 2)+ROUND(Source!AE114*Source!I114, 2))), 2)</f>
        <v>7.95</v>
      </c>
      <c r="T464">
        <f>Source!X114</f>
        <v>56.7</v>
      </c>
      <c r="U464">
        <f>ROUND((Source!FY114/100)*((ROUND(Source!AF114*Source!I114, 2)+ROUND(Source!AE114*Source!I114, 2))), 2)</f>
        <v>4.97</v>
      </c>
      <c r="V464">
        <f>Source!Y114</f>
        <v>35.44</v>
      </c>
    </row>
    <row r="465" spans="1:26" x14ac:dyDescent="0.2">
      <c r="C465" s="26" t="str">
        <f>"Объем: "&amp;Source!I114&amp;"=33,8/"&amp;"100"</f>
        <v>Объем: 0,338=33,8/100</v>
      </c>
    </row>
    <row r="466" spans="1:26" ht="14.25" x14ac:dyDescent="0.2">
      <c r="A466" s="49"/>
      <c r="B466" s="50"/>
      <c r="C466" s="50" t="s">
        <v>1783</v>
      </c>
      <c r="D466" s="33"/>
      <c r="E466" s="11"/>
      <c r="F466" s="34">
        <f>Source!AO114</f>
        <v>29.41</v>
      </c>
      <c r="G466" s="35" t="str">
        <f>Source!DG114</f>
        <v/>
      </c>
      <c r="H466" s="34">
        <f>ROUND(Source!AF114*Source!I114, 2)</f>
        <v>9.94</v>
      </c>
      <c r="I466" s="35"/>
      <c r="J466" s="35">
        <f>IF(Source!BA114&lt;&gt; 0, Source!BA114, 1)</f>
        <v>7.13</v>
      </c>
      <c r="K466" s="34">
        <f>Source!S114</f>
        <v>70.88</v>
      </c>
      <c r="L466" s="36"/>
      <c r="R466">
        <f>H466</f>
        <v>9.94</v>
      </c>
    </row>
    <row r="467" spans="1:26" ht="14.25" x14ac:dyDescent="0.2">
      <c r="A467" s="49"/>
      <c r="B467" s="50"/>
      <c r="C467" s="50" t="s">
        <v>1790</v>
      </c>
      <c r="D467" s="33"/>
      <c r="E467" s="11"/>
      <c r="F467" s="34">
        <f>Source!AL114</f>
        <v>7.69</v>
      </c>
      <c r="G467" s="35" t="str">
        <f>Source!DD114</f>
        <v/>
      </c>
      <c r="H467" s="34">
        <f>ROUND(Source!AC114*Source!I114, 2)</f>
        <v>2.6</v>
      </c>
      <c r="I467" s="35"/>
      <c r="J467" s="35">
        <f>IF(Source!BC114&lt;&gt; 0, Source!BC114, 1)</f>
        <v>7.13</v>
      </c>
      <c r="K467" s="34">
        <f>Source!P114</f>
        <v>18.53</v>
      </c>
      <c r="L467" s="36"/>
    </row>
    <row r="468" spans="1:26" ht="14.25" x14ac:dyDescent="0.2">
      <c r="A468" s="49"/>
      <c r="B468" s="50"/>
      <c r="C468" s="50" t="s">
        <v>1785</v>
      </c>
      <c r="D468" s="33" t="s">
        <v>1786</v>
      </c>
      <c r="E468" s="11">
        <f>Source!BZ114</f>
        <v>80</v>
      </c>
      <c r="F468" s="53"/>
      <c r="G468" s="35"/>
      <c r="H468" s="34">
        <f>SUM(S464:S470)</f>
        <v>7.95</v>
      </c>
      <c r="I468" s="38"/>
      <c r="J468" s="31">
        <f>Source!AT114</f>
        <v>80</v>
      </c>
      <c r="K468" s="34">
        <f>SUM(T464:T470)</f>
        <v>56.7</v>
      </c>
      <c r="L468" s="36"/>
    </row>
    <row r="469" spans="1:26" ht="14.25" x14ac:dyDescent="0.2">
      <c r="A469" s="49"/>
      <c r="B469" s="50"/>
      <c r="C469" s="50" t="s">
        <v>1787</v>
      </c>
      <c r="D469" s="33" t="s">
        <v>1786</v>
      </c>
      <c r="E469" s="11">
        <f>Source!CA114</f>
        <v>50</v>
      </c>
      <c r="F469" s="53"/>
      <c r="G469" s="35"/>
      <c r="H469" s="34">
        <f>SUM(U464:U470)</f>
        <v>4.97</v>
      </c>
      <c r="I469" s="38"/>
      <c r="J469" s="31">
        <f>Source!AU114</f>
        <v>50</v>
      </c>
      <c r="K469" s="34">
        <f>SUM(V464:V470)</f>
        <v>35.44</v>
      </c>
      <c r="L469" s="36"/>
    </row>
    <row r="470" spans="1:26" ht="14.25" x14ac:dyDescent="0.2">
      <c r="A470" s="51"/>
      <c r="B470" s="52"/>
      <c r="C470" s="52" t="s">
        <v>1788</v>
      </c>
      <c r="D470" s="39" t="s">
        <v>1789</v>
      </c>
      <c r="E470" s="40">
        <f>Source!AQ114</f>
        <v>3.77</v>
      </c>
      <c r="F470" s="41"/>
      <c r="G470" s="42" t="str">
        <f>Source!DI114</f>
        <v/>
      </c>
      <c r="H470" s="41"/>
      <c r="I470" s="42"/>
      <c r="J470" s="42"/>
      <c r="K470" s="41"/>
      <c r="L470" s="43">
        <f>Source!U114</f>
        <v>1.2742600000000002</v>
      </c>
    </row>
    <row r="471" spans="1:26" ht="15" x14ac:dyDescent="0.25">
      <c r="G471" s="87">
        <f>H466+H467+H468+H469</f>
        <v>25.459999999999997</v>
      </c>
      <c r="H471" s="87"/>
      <c r="J471" s="87">
        <f>K466+K467+K468+K469</f>
        <v>181.55</v>
      </c>
      <c r="K471" s="87"/>
      <c r="L471" s="44">
        <f>Source!U114</f>
        <v>1.2742600000000002</v>
      </c>
      <c r="O471" s="27">
        <f>G471</f>
        <v>25.459999999999997</v>
      </c>
      <c r="P471" s="27">
        <f>J471</f>
        <v>181.55</v>
      </c>
      <c r="Q471" s="27">
        <f>L471</f>
        <v>1.2742600000000002</v>
      </c>
      <c r="W471">
        <f>IF(Source!BI114&lt;=1,H466+H467+H468+H469, 0)</f>
        <v>25.459999999999997</v>
      </c>
      <c r="X471">
        <f>IF(Source!BI114=2,H466+H467+H468+H469, 0)</f>
        <v>0</v>
      </c>
      <c r="Y471">
        <f>IF(Source!BI114=3,H466+H467+H468+H469, 0)</f>
        <v>0</v>
      </c>
      <c r="Z471">
        <f>IF(Source!BI114=4,H466+H467+H468+H469, 0)</f>
        <v>0</v>
      </c>
    </row>
    <row r="472" spans="1:26" ht="14.25" x14ac:dyDescent="0.2">
      <c r="A472" s="49" t="str">
        <f>Source!E115</f>
        <v>44</v>
      </c>
      <c r="B472" s="50" t="str">
        <f>Source!F115</f>
        <v>53-14-1</v>
      </c>
      <c r="C472" s="50" t="str">
        <f>Source!G115</f>
        <v>Расшивка швов потолка</v>
      </c>
      <c r="D472" s="33" t="str">
        <f>Source!H115</f>
        <v>10 м</v>
      </c>
      <c r="E472" s="11">
        <f>Source!I115</f>
        <v>4.8</v>
      </c>
      <c r="F472" s="34">
        <f>Source!AL115+Source!AM115+Source!AO115</f>
        <v>24.33</v>
      </c>
      <c r="G472" s="35"/>
      <c r="H472" s="34"/>
      <c r="I472" s="35" t="str">
        <f>Source!BO115</f>
        <v/>
      </c>
      <c r="J472" s="35"/>
      <c r="K472" s="34"/>
      <c r="L472" s="36"/>
      <c r="S472">
        <f>ROUND((Source!FX115/100)*((ROUND(Source!AF115*Source!I115, 2)+ROUND(Source!AE115*Source!I115, 2))), 2)</f>
        <v>100.35</v>
      </c>
      <c r="T472">
        <f>Source!X115</f>
        <v>715.51</v>
      </c>
      <c r="U472">
        <f>ROUND((Source!FY115/100)*((ROUND(Source!AF115*Source!I115, 2)+ROUND(Source!AE115*Source!I115, 2))), 2)</f>
        <v>81.680000000000007</v>
      </c>
      <c r="V472">
        <f>Source!Y115</f>
        <v>582.39</v>
      </c>
    </row>
    <row r="473" spans="1:26" x14ac:dyDescent="0.2">
      <c r="C473" s="26" t="str">
        <f>"Объем: "&amp;Source!I115&amp;"=48/"&amp;"10"</f>
        <v>Объем: 4,8=48/10</v>
      </c>
    </row>
    <row r="474" spans="1:26" ht="14.25" x14ac:dyDescent="0.2">
      <c r="A474" s="49"/>
      <c r="B474" s="50"/>
      <c r="C474" s="50" t="s">
        <v>1783</v>
      </c>
      <c r="D474" s="33"/>
      <c r="E474" s="11"/>
      <c r="F474" s="34">
        <f>Source!AO115</f>
        <v>24.31</v>
      </c>
      <c r="G474" s="35" t="str">
        <f>Source!DG115</f>
        <v/>
      </c>
      <c r="H474" s="34">
        <f>ROUND(Source!AF115*Source!I115, 2)</f>
        <v>116.69</v>
      </c>
      <c r="I474" s="35"/>
      <c r="J474" s="35">
        <f>IF(Source!BA115&lt;&gt; 0, Source!BA115, 1)</f>
        <v>7.13</v>
      </c>
      <c r="K474" s="34">
        <f>Source!S115</f>
        <v>831.99</v>
      </c>
      <c r="L474" s="36"/>
      <c r="R474">
        <f>H474</f>
        <v>116.69</v>
      </c>
    </row>
    <row r="475" spans="1:26" ht="14.25" x14ac:dyDescent="0.2">
      <c r="A475" s="49"/>
      <c r="B475" s="50"/>
      <c r="C475" s="50" t="s">
        <v>1790</v>
      </c>
      <c r="D475" s="33"/>
      <c r="E475" s="11"/>
      <c r="F475" s="34">
        <f>Source!AL115</f>
        <v>0.02</v>
      </c>
      <c r="G475" s="35" t="str">
        <f>Source!DD115</f>
        <v/>
      </c>
      <c r="H475" s="34">
        <f>ROUND(Source!AC115*Source!I115, 2)</f>
        <v>0.1</v>
      </c>
      <c r="I475" s="35"/>
      <c r="J475" s="35">
        <f>IF(Source!BC115&lt;&gt; 0, Source!BC115, 1)</f>
        <v>7.13</v>
      </c>
      <c r="K475" s="34">
        <f>Source!P115</f>
        <v>0.68</v>
      </c>
      <c r="L475" s="36"/>
    </row>
    <row r="476" spans="1:26" ht="14.25" x14ac:dyDescent="0.2">
      <c r="A476" s="49"/>
      <c r="B476" s="50"/>
      <c r="C476" s="50" t="s">
        <v>1785</v>
      </c>
      <c r="D476" s="33" t="s">
        <v>1786</v>
      </c>
      <c r="E476" s="11">
        <f>Source!BZ115</f>
        <v>86</v>
      </c>
      <c r="F476" s="53"/>
      <c r="G476" s="35"/>
      <c r="H476" s="34">
        <f>SUM(S472:S480)</f>
        <v>100.35</v>
      </c>
      <c r="I476" s="38"/>
      <c r="J476" s="31">
        <f>Source!AT115</f>
        <v>86</v>
      </c>
      <c r="K476" s="34">
        <f>SUM(T472:T480)</f>
        <v>715.51</v>
      </c>
      <c r="L476" s="36"/>
    </row>
    <row r="477" spans="1:26" ht="14.25" x14ac:dyDescent="0.2">
      <c r="A477" s="49"/>
      <c r="B477" s="50"/>
      <c r="C477" s="50" t="s">
        <v>1787</v>
      </c>
      <c r="D477" s="33" t="s">
        <v>1786</v>
      </c>
      <c r="E477" s="11">
        <f>Source!CA115</f>
        <v>70</v>
      </c>
      <c r="F477" s="53"/>
      <c r="G477" s="35"/>
      <c r="H477" s="34">
        <f>SUM(U472:U480)</f>
        <v>81.680000000000007</v>
      </c>
      <c r="I477" s="38"/>
      <c r="J477" s="31">
        <f>Source!AU115</f>
        <v>70</v>
      </c>
      <c r="K477" s="34">
        <f>SUM(V472:V480)</f>
        <v>582.39</v>
      </c>
      <c r="L477" s="36"/>
    </row>
    <row r="478" spans="1:26" ht="14.25" x14ac:dyDescent="0.2">
      <c r="A478" s="49"/>
      <c r="B478" s="50"/>
      <c r="C478" s="50" t="s">
        <v>1788</v>
      </c>
      <c r="D478" s="33" t="s">
        <v>1789</v>
      </c>
      <c r="E478" s="11">
        <f>Source!AQ115</f>
        <v>2.71</v>
      </c>
      <c r="F478" s="34"/>
      <c r="G478" s="35" t="str">
        <f>Source!DI115</f>
        <v/>
      </c>
      <c r="H478" s="34"/>
      <c r="I478" s="35"/>
      <c r="J478" s="35"/>
      <c r="K478" s="34"/>
      <c r="L478" s="45">
        <f>Source!U115</f>
        <v>13.007999999999999</v>
      </c>
    </row>
    <row r="479" spans="1:26" ht="14.25" x14ac:dyDescent="0.2">
      <c r="A479" s="49" t="str">
        <f>Source!E116</f>
        <v>44,1</v>
      </c>
      <c r="B479" s="50" t="str">
        <f>Source!F116</f>
        <v>04.3.01.09</v>
      </c>
      <c r="C479" s="50" t="str">
        <f>Source!G116</f>
        <v>Раствор цементный</v>
      </c>
      <c r="D479" s="33" t="str">
        <f>Source!H116</f>
        <v>м3</v>
      </c>
      <c r="E479" s="11">
        <f>Source!I116</f>
        <v>9.6000000000000002E-2</v>
      </c>
      <c r="F479" s="34">
        <f>Source!AL116+Source!AM116+Source!AO116</f>
        <v>0</v>
      </c>
      <c r="G479" s="48" t="s">
        <v>6</v>
      </c>
      <c r="H479" s="34">
        <f>ROUND(Source!AC116*Source!I116, 2)+ROUND(Source!AD116*Source!I116, 2)+ROUND(Source!AF116*Source!I116, 2)</f>
        <v>0</v>
      </c>
      <c r="I479" s="35"/>
      <c r="J479" s="35">
        <f>IF(Source!BC116&lt;&gt; 0, Source!BC116, 1)</f>
        <v>7.13</v>
      </c>
      <c r="K479" s="34">
        <f>Source!O116</f>
        <v>0</v>
      </c>
      <c r="L479" s="36"/>
      <c r="S479">
        <f>ROUND((Source!FX116/100)*((ROUND(Source!AF116*Source!I116, 2)+ROUND(Source!AE116*Source!I116, 2))), 2)</f>
        <v>0</v>
      </c>
      <c r="T479">
        <f>Source!X116</f>
        <v>0</v>
      </c>
      <c r="U479">
        <f>ROUND((Source!FY116/100)*((ROUND(Source!AF116*Source!I116, 2)+ROUND(Source!AE116*Source!I116, 2))), 2)</f>
        <v>0</v>
      </c>
      <c r="V479">
        <f>Source!Y116</f>
        <v>0</v>
      </c>
      <c r="W479">
        <f>IF(Source!BI116&lt;=1,H479, 0)</f>
        <v>0</v>
      </c>
      <c r="X479">
        <f>IF(Source!BI116=2,H479, 0)</f>
        <v>0</v>
      </c>
      <c r="Y479">
        <f>IF(Source!BI116=3,H479, 0)</f>
        <v>0</v>
      </c>
      <c r="Z479">
        <f>IF(Source!BI116=4,H479, 0)</f>
        <v>0</v>
      </c>
    </row>
    <row r="480" spans="1:26" ht="42.75" x14ac:dyDescent="0.2">
      <c r="A480" s="51" t="str">
        <f>Source!E117</f>
        <v>44,2</v>
      </c>
      <c r="B480" s="52" t="str">
        <f>Source!F117</f>
        <v>04.3.02.13-0103</v>
      </c>
      <c r="C480" s="52" t="str">
        <f>Source!G117</f>
        <v>Смесь сухая штукатурная цементно-песчаная "БИРСС 11" (марка М150), бездобавочная</v>
      </c>
      <c r="D480" s="39" t="str">
        <f>Source!H117</f>
        <v>т</v>
      </c>
      <c r="E480" s="40">
        <f>Source!I117</f>
        <v>0.1152</v>
      </c>
      <c r="F480" s="41">
        <f>Source!AL117+Source!AM117+Source!AO117</f>
        <v>728.14</v>
      </c>
      <c r="G480" s="46" t="s">
        <v>6</v>
      </c>
      <c r="H480" s="41">
        <f>ROUND(Source!AC117*Source!I117, 2)+ROUND(Source!AD117*Source!I117, 2)+ROUND(Source!AF117*Source!I117, 2)</f>
        <v>83.88</v>
      </c>
      <c r="I480" s="42"/>
      <c r="J480" s="42">
        <f>IF(Source!BC117&lt;&gt; 0, Source!BC117, 1)</f>
        <v>7.13</v>
      </c>
      <c r="K480" s="41">
        <f>Source!O117</f>
        <v>598.08000000000004</v>
      </c>
      <c r="L480" s="47"/>
      <c r="S480">
        <f>ROUND((Source!FX117/100)*((ROUND(Source!AF117*Source!I117, 2)+ROUND(Source!AE117*Source!I117, 2))), 2)</f>
        <v>0</v>
      </c>
      <c r="T480">
        <f>Source!X117</f>
        <v>0</v>
      </c>
      <c r="U480">
        <f>ROUND((Source!FY117/100)*((ROUND(Source!AF117*Source!I117, 2)+ROUND(Source!AE117*Source!I117, 2))), 2)</f>
        <v>0</v>
      </c>
      <c r="V480">
        <f>Source!Y117</f>
        <v>0</v>
      </c>
      <c r="W480">
        <f>IF(Source!BI117&lt;=1,H480, 0)</f>
        <v>83.88</v>
      </c>
      <c r="X480">
        <f>IF(Source!BI117=2,H480, 0)</f>
        <v>0</v>
      </c>
      <c r="Y480">
        <f>IF(Source!BI117=3,H480, 0)</f>
        <v>0</v>
      </c>
      <c r="Z480">
        <f>IF(Source!BI117=4,H480, 0)</f>
        <v>0</v>
      </c>
    </row>
    <row r="481" spans="1:26" ht="15" x14ac:dyDescent="0.25">
      <c r="G481" s="87">
        <f>H474+H475+H476+H477+SUM(H479:H480)</f>
        <v>382.7</v>
      </c>
      <c r="H481" s="87"/>
      <c r="J481" s="87">
        <f>K474+K475+K476+K477+SUM(K479:K480)</f>
        <v>2728.6499999999996</v>
      </c>
      <c r="K481" s="87"/>
      <c r="L481" s="44">
        <f>Source!U115</f>
        <v>13.007999999999999</v>
      </c>
      <c r="O481" s="27">
        <f>G481</f>
        <v>382.7</v>
      </c>
      <c r="P481" s="27">
        <f>J481</f>
        <v>2728.6499999999996</v>
      </c>
      <c r="Q481" s="27">
        <f>L481</f>
        <v>13.007999999999999</v>
      </c>
      <c r="W481">
        <f>IF(Source!BI115&lt;=1,H474+H475+H476+H477, 0)</f>
        <v>298.82</v>
      </c>
      <c r="X481">
        <f>IF(Source!BI115=2,H474+H475+H476+H477, 0)</f>
        <v>0</v>
      </c>
      <c r="Y481">
        <f>IF(Source!BI115=3,H474+H475+H476+H477, 0)</f>
        <v>0</v>
      </c>
      <c r="Z481">
        <f>IF(Source!BI115=4,H474+H475+H476+H477, 0)</f>
        <v>0</v>
      </c>
    </row>
    <row r="482" spans="1:26" ht="71.25" x14ac:dyDescent="0.2">
      <c r="A482" s="49" t="str">
        <f>Source!E118</f>
        <v>45</v>
      </c>
      <c r="B482" s="50" t="str">
        <f>Source!F118</f>
        <v>15-04-030-4</v>
      </c>
      <c r="C482" s="50" t="str">
        <f>Source!G118</f>
        <v>Масляная окраска металлических поверхностей решеток, переплетов, труб диаметром менее 50 мм и т.п., количество окрасок 2</v>
      </c>
      <c r="D482" s="33" t="str">
        <f>Source!H118</f>
        <v>100 м2 окрашиваемой поверхности</v>
      </c>
      <c r="E482" s="11">
        <f>Source!I118</f>
        <v>0.15054999999999999</v>
      </c>
      <c r="F482" s="34">
        <f>Source!AL118+Source!AM118+Source!AO118</f>
        <v>1107.48</v>
      </c>
      <c r="G482" s="35"/>
      <c r="H482" s="34"/>
      <c r="I482" s="35" t="str">
        <f>Source!BO118</f>
        <v/>
      </c>
      <c r="J482" s="35"/>
      <c r="K482" s="34"/>
      <c r="L482" s="36"/>
      <c r="S482">
        <f>ROUND((Source!FX118/100)*((ROUND(Source!AF118*Source!I118, 2)+ROUND(Source!AE118*Source!I118, 2))), 2)</f>
        <v>103.03</v>
      </c>
      <c r="T482">
        <f>Source!X118</f>
        <v>738.51</v>
      </c>
      <c r="U482">
        <f>ROUND((Source!FY118/100)*((ROUND(Source!AF118*Source!I118, 2)+ROUND(Source!AE118*Source!I118, 2))), 2)</f>
        <v>50.97</v>
      </c>
      <c r="V482">
        <f>Source!Y118</f>
        <v>365.37</v>
      </c>
    </row>
    <row r="483" spans="1:26" x14ac:dyDescent="0.2">
      <c r="C483" s="26" t="str">
        <f>"Объем: "&amp;Source!I118&amp;"=15,055/"&amp;"100"</f>
        <v>Объем: 0,15055=15,055/100</v>
      </c>
    </row>
    <row r="484" spans="1:26" ht="14.25" x14ac:dyDescent="0.2">
      <c r="A484" s="49"/>
      <c r="B484" s="50"/>
      <c r="C484" s="50" t="s">
        <v>1783</v>
      </c>
      <c r="D484" s="33"/>
      <c r="E484" s="11"/>
      <c r="F484" s="34">
        <f>Source!AO118</f>
        <v>629.59</v>
      </c>
      <c r="G484" s="35" t="str">
        <f>Source!DG118</f>
        <v>)*1,15</v>
      </c>
      <c r="H484" s="34">
        <f>ROUND(Source!AF118*Source!I118, 2)</f>
        <v>109</v>
      </c>
      <c r="I484" s="35"/>
      <c r="J484" s="35">
        <f>IF(Source!BA118&lt;&gt; 0, Source!BA118, 1)</f>
        <v>7.13</v>
      </c>
      <c r="K484" s="34">
        <f>Source!S118</f>
        <v>777.19</v>
      </c>
      <c r="L484" s="36"/>
      <c r="R484">
        <f>H484</f>
        <v>109</v>
      </c>
    </row>
    <row r="485" spans="1:26" ht="14.25" x14ac:dyDescent="0.2">
      <c r="A485" s="49"/>
      <c r="B485" s="50"/>
      <c r="C485" s="50" t="s">
        <v>449</v>
      </c>
      <c r="D485" s="33"/>
      <c r="E485" s="11"/>
      <c r="F485" s="34">
        <f>Source!AM118</f>
        <v>2.93</v>
      </c>
      <c r="G485" s="35" t="str">
        <f>Source!DE118</f>
        <v>)*1,25</v>
      </c>
      <c r="H485" s="34">
        <f>ROUND(Source!AD118*Source!I118, 2)</f>
        <v>0.55000000000000004</v>
      </c>
      <c r="I485" s="35"/>
      <c r="J485" s="35">
        <f>IF(Source!BB118&lt;&gt; 0, Source!BB118, 1)</f>
        <v>7.13</v>
      </c>
      <c r="K485" s="34">
        <f>Source!Q118</f>
        <v>3.94</v>
      </c>
      <c r="L485" s="36"/>
    </row>
    <row r="486" spans="1:26" ht="14.25" x14ac:dyDescent="0.2">
      <c r="A486" s="49"/>
      <c r="B486" s="50"/>
      <c r="C486" s="50" t="s">
        <v>1784</v>
      </c>
      <c r="D486" s="33"/>
      <c r="E486" s="11"/>
      <c r="F486" s="34">
        <f>Source!AN118</f>
        <v>0.14000000000000001</v>
      </c>
      <c r="G486" s="35" t="str">
        <f>Source!DF118</f>
        <v>)*1,25</v>
      </c>
      <c r="H486" s="37">
        <f>ROUND(Source!AE118*Source!I118, 2)</f>
        <v>0.03</v>
      </c>
      <c r="I486" s="35"/>
      <c r="J486" s="35">
        <f>IF(Source!BS118&lt;&gt; 0, Source!BS118, 1)</f>
        <v>7.13</v>
      </c>
      <c r="K486" s="37">
        <f>Source!R118</f>
        <v>0.19</v>
      </c>
      <c r="L486" s="36"/>
      <c r="R486">
        <f>H486</f>
        <v>0.03</v>
      </c>
    </row>
    <row r="487" spans="1:26" ht="14.25" x14ac:dyDescent="0.2">
      <c r="A487" s="49"/>
      <c r="B487" s="50"/>
      <c r="C487" s="50" t="s">
        <v>1790</v>
      </c>
      <c r="D487" s="33"/>
      <c r="E487" s="11"/>
      <c r="F487" s="34">
        <f>Source!AL118</f>
        <v>474.96</v>
      </c>
      <c r="G487" s="35" t="str">
        <f>Source!DD118</f>
        <v/>
      </c>
      <c r="H487" s="34">
        <f>ROUND(Source!AC118*Source!I118, 2)</f>
        <v>71.510000000000005</v>
      </c>
      <c r="I487" s="35"/>
      <c r="J487" s="35">
        <f>IF(Source!BC118&lt;&gt; 0, Source!BC118, 1)</f>
        <v>7.13</v>
      </c>
      <c r="K487" s="34">
        <f>Source!P118</f>
        <v>509.83</v>
      </c>
      <c r="L487" s="36"/>
    </row>
    <row r="488" spans="1:26" ht="14.25" x14ac:dyDescent="0.2">
      <c r="A488" s="49"/>
      <c r="B488" s="50"/>
      <c r="C488" s="50" t="s">
        <v>1785</v>
      </c>
      <c r="D488" s="33" t="s">
        <v>1786</v>
      </c>
      <c r="E488" s="11">
        <f>Source!BZ118</f>
        <v>105</v>
      </c>
      <c r="F488" s="81" t="str">
        <f>CONCATENATE(" )", Source!DL118, Source!FT118, "=", Source!FX118)</f>
        <v xml:space="preserve"> )*0,9=94,5</v>
      </c>
      <c r="G488" s="88"/>
      <c r="H488" s="34">
        <f>SUM(S482:S490)</f>
        <v>103.03</v>
      </c>
      <c r="I488" s="38"/>
      <c r="J488" s="31">
        <f>Source!AT118</f>
        <v>95</v>
      </c>
      <c r="K488" s="34">
        <f>SUM(T482:T490)</f>
        <v>738.51</v>
      </c>
      <c r="L488" s="36"/>
    </row>
    <row r="489" spans="1:26" ht="14.25" x14ac:dyDescent="0.2">
      <c r="A489" s="49"/>
      <c r="B489" s="50"/>
      <c r="C489" s="50" t="s">
        <v>1787</v>
      </c>
      <c r="D489" s="33" t="s">
        <v>1786</v>
      </c>
      <c r="E489" s="11">
        <f>Source!CA118</f>
        <v>55</v>
      </c>
      <c r="F489" s="81" t="str">
        <f>CONCATENATE(" )", Source!DM118, Source!FU118, "=", Source!FY118)</f>
        <v xml:space="preserve"> )*0,85=46,75</v>
      </c>
      <c r="G489" s="88"/>
      <c r="H489" s="34">
        <f>SUM(U482:U490)</f>
        <v>50.97</v>
      </c>
      <c r="I489" s="38"/>
      <c r="J489" s="31">
        <f>Source!AU118</f>
        <v>47</v>
      </c>
      <c r="K489" s="34">
        <f>SUM(V482:V490)</f>
        <v>365.37</v>
      </c>
      <c r="L489" s="36"/>
    </row>
    <row r="490" spans="1:26" ht="14.25" x14ac:dyDescent="0.2">
      <c r="A490" s="51"/>
      <c r="B490" s="52"/>
      <c r="C490" s="52" t="s">
        <v>1788</v>
      </c>
      <c r="D490" s="39" t="s">
        <v>1789</v>
      </c>
      <c r="E490" s="40">
        <f>Source!AQ118</f>
        <v>71.06</v>
      </c>
      <c r="F490" s="41"/>
      <c r="G490" s="42" t="str">
        <f>Source!DI118</f>
        <v>)*1,15</v>
      </c>
      <c r="H490" s="41"/>
      <c r="I490" s="42"/>
      <c r="J490" s="42"/>
      <c r="K490" s="41"/>
      <c r="L490" s="43">
        <f>Source!U118</f>
        <v>12.302795449999998</v>
      </c>
    </row>
    <row r="491" spans="1:26" ht="15" x14ac:dyDescent="0.25">
      <c r="G491" s="87">
        <f>H484+H485+H487+H488+H489</f>
        <v>335.06000000000006</v>
      </c>
      <c r="H491" s="87"/>
      <c r="J491" s="87">
        <f>K484+K485+K487+K488+K489</f>
        <v>2394.84</v>
      </c>
      <c r="K491" s="87"/>
      <c r="L491" s="44">
        <f>Source!U118</f>
        <v>12.302795449999998</v>
      </c>
      <c r="O491" s="27">
        <f>G491</f>
        <v>335.06000000000006</v>
      </c>
      <c r="P491" s="27">
        <f>J491</f>
        <v>2394.84</v>
      </c>
      <c r="Q491" s="27">
        <f>L491</f>
        <v>12.302795449999998</v>
      </c>
      <c r="W491">
        <f>IF(Source!BI118&lt;=1,H484+H485+H487+H488+H489, 0)</f>
        <v>335.06000000000006</v>
      </c>
      <c r="X491">
        <f>IF(Source!BI118=2,H484+H485+H487+H488+H489, 0)</f>
        <v>0</v>
      </c>
      <c r="Y491">
        <f>IF(Source!BI118=3,H484+H485+H487+H488+H489, 0)</f>
        <v>0</v>
      </c>
      <c r="Z491">
        <f>IF(Source!BI118=4,H484+H485+H487+H488+H489, 0)</f>
        <v>0</v>
      </c>
    </row>
    <row r="492" spans="1:26" ht="28.5" x14ac:dyDescent="0.2">
      <c r="A492" s="49" t="str">
        <f>Source!E119</f>
        <v>46</v>
      </c>
      <c r="B492" s="50" t="str">
        <f>Source!F119</f>
        <v>69-15-1</v>
      </c>
      <c r="C492" s="50" t="str">
        <f>Source!G119</f>
        <v>Затаривание строительного мусора в мешки</v>
      </c>
      <c r="D492" s="33" t="str">
        <f>Source!H119</f>
        <v>т</v>
      </c>
      <c r="E492" s="11">
        <f>Source!I119</f>
        <v>12.34</v>
      </c>
      <c r="F492" s="34">
        <f>Source!AL119+Source!AM119+Source!AO119</f>
        <v>23.81</v>
      </c>
      <c r="G492" s="35"/>
      <c r="H492" s="34"/>
      <c r="I492" s="35" t="str">
        <f>Source!BO119</f>
        <v/>
      </c>
      <c r="J492" s="35"/>
      <c r="K492" s="34"/>
      <c r="L492" s="36"/>
      <c r="S492">
        <f>ROUND((Source!FX119/100)*((ROUND(Source!AF119*Source!I119, 2)+ROUND(Source!AE119*Source!I119, 2))), 2)</f>
        <v>71.319999999999993</v>
      </c>
      <c r="T492">
        <f>Source!X119</f>
        <v>508.53</v>
      </c>
      <c r="U492">
        <f>ROUND((Source!FY119/100)*((ROUND(Source!AF119*Source!I119, 2)+ROUND(Source!AE119*Source!I119, 2))), 2)</f>
        <v>45.72</v>
      </c>
      <c r="V492">
        <f>Source!Y119</f>
        <v>325.98</v>
      </c>
    </row>
    <row r="493" spans="1:26" ht="14.25" x14ac:dyDescent="0.2">
      <c r="A493" s="49"/>
      <c r="B493" s="50"/>
      <c r="C493" s="50" t="s">
        <v>1783</v>
      </c>
      <c r="D493" s="33"/>
      <c r="E493" s="11"/>
      <c r="F493" s="34">
        <f>Source!AO119</f>
        <v>7.41</v>
      </c>
      <c r="G493" s="35" t="str">
        <f>Source!DG119</f>
        <v/>
      </c>
      <c r="H493" s="34">
        <f>ROUND(Source!AF119*Source!I119, 2)</f>
        <v>91.44</v>
      </c>
      <c r="I493" s="35"/>
      <c r="J493" s="35">
        <f>IF(Source!BA119&lt;&gt; 0, Source!BA119, 1)</f>
        <v>7.13</v>
      </c>
      <c r="K493" s="34">
        <f>Source!S119</f>
        <v>651.96</v>
      </c>
      <c r="L493" s="36"/>
      <c r="R493">
        <f>H493</f>
        <v>91.44</v>
      </c>
    </row>
    <row r="494" spans="1:26" ht="14.25" x14ac:dyDescent="0.2">
      <c r="A494" s="49"/>
      <c r="B494" s="50"/>
      <c r="C494" s="50" t="s">
        <v>1790</v>
      </c>
      <c r="D494" s="33"/>
      <c r="E494" s="11"/>
      <c r="F494" s="34">
        <f>Source!AL119</f>
        <v>16.399999999999999</v>
      </c>
      <c r="G494" s="35" t="str">
        <f>Source!DD119</f>
        <v/>
      </c>
      <c r="H494" s="34">
        <f>ROUND(Source!AC119*Source!I119, 2)</f>
        <v>202.38</v>
      </c>
      <c r="I494" s="35"/>
      <c r="J494" s="35">
        <f>IF(Source!BC119&lt;&gt; 0, Source!BC119, 1)</f>
        <v>7.13</v>
      </c>
      <c r="K494" s="34">
        <f>Source!P119</f>
        <v>1442.94</v>
      </c>
      <c r="L494" s="36"/>
    </row>
    <row r="495" spans="1:26" ht="14.25" x14ac:dyDescent="0.2">
      <c r="A495" s="49"/>
      <c r="B495" s="50"/>
      <c r="C495" s="50" t="s">
        <v>1785</v>
      </c>
      <c r="D495" s="33" t="s">
        <v>1786</v>
      </c>
      <c r="E495" s="11">
        <f>Source!BZ119</f>
        <v>78</v>
      </c>
      <c r="F495" s="53"/>
      <c r="G495" s="35"/>
      <c r="H495" s="34">
        <f>SUM(S492:S497)</f>
        <v>71.319999999999993</v>
      </c>
      <c r="I495" s="38"/>
      <c r="J495" s="31">
        <f>Source!AT119</f>
        <v>78</v>
      </c>
      <c r="K495" s="34">
        <f>SUM(T492:T497)</f>
        <v>508.53</v>
      </c>
      <c r="L495" s="36"/>
    </row>
    <row r="496" spans="1:26" ht="14.25" x14ac:dyDescent="0.2">
      <c r="A496" s="49"/>
      <c r="B496" s="50"/>
      <c r="C496" s="50" t="s">
        <v>1787</v>
      </c>
      <c r="D496" s="33" t="s">
        <v>1786</v>
      </c>
      <c r="E496" s="11">
        <f>Source!CA119</f>
        <v>50</v>
      </c>
      <c r="F496" s="53"/>
      <c r="G496" s="35"/>
      <c r="H496" s="34">
        <f>SUM(U492:U497)</f>
        <v>45.72</v>
      </c>
      <c r="I496" s="38"/>
      <c r="J496" s="31">
        <f>Source!AU119</f>
        <v>50</v>
      </c>
      <c r="K496" s="34">
        <f>SUM(V492:V497)</f>
        <v>325.98</v>
      </c>
      <c r="L496" s="36"/>
    </row>
    <row r="497" spans="1:26" ht="14.25" x14ac:dyDescent="0.2">
      <c r="A497" s="51"/>
      <c r="B497" s="52"/>
      <c r="C497" s="52" t="s">
        <v>1788</v>
      </c>
      <c r="D497" s="39" t="s">
        <v>1789</v>
      </c>
      <c r="E497" s="40">
        <f>Source!AQ119</f>
        <v>1.03</v>
      </c>
      <c r="F497" s="41"/>
      <c r="G497" s="42" t="str">
        <f>Source!DI119</f>
        <v/>
      </c>
      <c r="H497" s="41"/>
      <c r="I497" s="42"/>
      <c r="J497" s="42"/>
      <c r="K497" s="41"/>
      <c r="L497" s="43">
        <f>Source!U119</f>
        <v>12.7102</v>
      </c>
    </row>
    <row r="498" spans="1:26" ht="15" x14ac:dyDescent="0.25">
      <c r="G498" s="87">
        <f>H493+H494+H495+H496</f>
        <v>410.86</v>
      </c>
      <c r="H498" s="87"/>
      <c r="J498" s="87">
        <f>K493+K494+K495+K496</f>
        <v>2929.4100000000003</v>
      </c>
      <c r="K498" s="87"/>
      <c r="L498" s="44">
        <f>Source!U119</f>
        <v>12.7102</v>
      </c>
      <c r="O498" s="27">
        <f>G498</f>
        <v>410.86</v>
      </c>
      <c r="P498" s="27">
        <f>J498</f>
        <v>2929.4100000000003</v>
      </c>
      <c r="Q498" s="27">
        <f>L498</f>
        <v>12.7102</v>
      </c>
      <c r="W498">
        <f>IF(Source!BI119&lt;=1,H493+H494+H495+H496, 0)</f>
        <v>410.86</v>
      </c>
      <c r="X498">
        <f>IF(Source!BI119=2,H493+H494+H495+H496, 0)</f>
        <v>0</v>
      </c>
      <c r="Y498">
        <f>IF(Source!BI119=3,H493+H494+H495+H496, 0)</f>
        <v>0</v>
      </c>
      <c r="Z498">
        <f>IF(Source!BI119=4,H493+H494+H495+H496, 0)</f>
        <v>0</v>
      </c>
    </row>
    <row r="499" spans="1:26" ht="42.75" x14ac:dyDescent="0.2">
      <c r="A499" s="51" t="str">
        <f>Source!E120</f>
        <v>47</v>
      </c>
      <c r="B499" s="52" t="str">
        <f>Source!F120</f>
        <v>т01-01-01-041</v>
      </c>
      <c r="C499" s="52" t="str">
        <f>Source!G120</f>
        <v>Погрузочные работы при автомобильных перевозках мусора строительного с погрузкой вручную</v>
      </c>
      <c r="D499" s="39" t="str">
        <f>Source!H120</f>
        <v>1 Т ГРУЗА</v>
      </c>
      <c r="E499" s="40">
        <f>Source!I120</f>
        <v>12.34</v>
      </c>
      <c r="F499" s="41">
        <f>Source!AK120</f>
        <v>42.98</v>
      </c>
      <c r="G499" s="42" t="str">
        <f>Source!DC120</f>
        <v/>
      </c>
      <c r="H499" s="41">
        <f>ROUND(Source!AB120*Source!I120, 2)</f>
        <v>530.37</v>
      </c>
      <c r="I499" s="42" t="str">
        <f>Source!BO120</f>
        <v/>
      </c>
      <c r="J499" s="42">
        <f>Source!AZ120</f>
        <v>7.13</v>
      </c>
      <c r="K499" s="41">
        <f>Source!GM120</f>
        <v>3781.56</v>
      </c>
      <c r="L499" s="47"/>
      <c r="S499">
        <f>ROUND((Source!FX120/100)*((ROUND(0*Source!I120, 2)+ROUND(0*Source!I120, 2))), 2)</f>
        <v>0</v>
      </c>
      <c r="T499">
        <f>Source!X120</f>
        <v>0</v>
      </c>
      <c r="U499">
        <f>ROUND((Source!FY120/100)*((ROUND(0*Source!I120, 2)+ROUND(0*Source!I120, 2))), 2)</f>
        <v>0</v>
      </c>
      <c r="V499">
        <f>Source!Y120</f>
        <v>0</v>
      </c>
    </row>
    <row r="500" spans="1:26" ht="15" x14ac:dyDescent="0.25">
      <c r="G500" s="87">
        <f>H499</f>
        <v>530.37</v>
      </c>
      <c r="H500" s="87"/>
      <c r="J500" s="87">
        <f>K499</f>
        <v>3781.56</v>
      </c>
      <c r="K500" s="87"/>
      <c r="L500" s="44">
        <f>Source!U120</f>
        <v>0</v>
      </c>
      <c r="O500" s="27">
        <f>G500</f>
        <v>530.37</v>
      </c>
      <c r="P500" s="27">
        <f>J500</f>
        <v>3781.56</v>
      </c>
      <c r="Q500" s="27">
        <f>L500</f>
        <v>0</v>
      </c>
      <c r="W500">
        <f>IF(Source!BI120&lt;=1,H499, 0)</f>
        <v>530.37</v>
      </c>
      <c r="X500">
        <f>IF(Source!BI120=2,H499, 0)</f>
        <v>0</v>
      </c>
      <c r="Y500">
        <f>IF(Source!BI120=3,H499, 0)</f>
        <v>0</v>
      </c>
      <c r="Z500">
        <f>IF(Source!BI120=4,H499, 0)</f>
        <v>0</v>
      </c>
    </row>
    <row r="501" spans="1:26" ht="57" x14ac:dyDescent="0.2">
      <c r="A501" s="51" t="str">
        <f>Source!E121</f>
        <v>48</v>
      </c>
      <c r="B501" s="52" t="str">
        <f>Source!F121</f>
        <v>т03-01-01-070</v>
      </c>
      <c r="C501" s="52" t="str">
        <f>Source!G121</f>
        <v>Перевозка грузов I класса автомобилями бортовыми грузоподъемностью до 15 т на расстояние до 70 км</v>
      </c>
      <c r="D501" s="39" t="str">
        <f>Source!H121</f>
        <v>1 Т ГРУЗА</v>
      </c>
      <c r="E501" s="40">
        <f>Source!I121</f>
        <v>12.34</v>
      </c>
      <c r="F501" s="41">
        <f>Source!AK121</f>
        <v>29.16</v>
      </c>
      <c r="G501" s="42" t="str">
        <f>Source!DC121</f>
        <v/>
      </c>
      <c r="H501" s="41">
        <f>ROUND(Source!AB121*Source!I121, 2)</f>
        <v>359.83</v>
      </c>
      <c r="I501" s="42" t="str">
        <f>Source!BO121</f>
        <v/>
      </c>
      <c r="J501" s="42">
        <f>Source!AZ121</f>
        <v>7.13</v>
      </c>
      <c r="K501" s="41">
        <f>Source!GM121</f>
        <v>2565.62</v>
      </c>
      <c r="L501" s="47"/>
      <c r="S501">
        <f>ROUND((Source!FX121/100)*((ROUND(0*Source!I121, 2)+ROUND(0*Source!I121, 2))), 2)</f>
        <v>0</v>
      </c>
      <c r="T501">
        <f>Source!X121</f>
        <v>0</v>
      </c>
      <c r="U501">
        <f>ROUND((Source!FY121/100)*((ROUND(0*Source!I121, 2)+ROUND(0*Source!I121, 2))), 2)</f>
        <v>0</v>
      </c>
      <c r="V501">
        <f>Source!Y121</f>
        <v>0</v>
      </c>
    </row>
    <row r="502" spans="1:26" ht="15" x14ac:dyDescent="0.25">
      <c r="G502" s="87">
        <f>H501</f>
        <v>359.83</v>
      </c>
      <c r="H502" s="87"/>
      <c r="J502" s="87">
        <f>K501</f>
        <v>2565.62</v>
      </c>
      <c r="K502" s="87"/>
      <c r="L502" s="44">
        <f>Source!U121</f>
        <v>0</v>
      </c>
      <c r="O502" s="27">
        <f>G502</f>
        <v>359.83</v>
      </c>
      <c r="P502" s="27">
        <f>J502</f>
        <v>2565.62</v>
      </c>
      <c r="Q502" s="27">
        <f>L502</f>
        <v>0</v>
      </c>
      <c r="W502">
        <f>IF(Source!BI121&lt;=1,H501, 0)</f>
        <v>359.83</v>
      </c>
      <c r="X502">
        <f>IF(Source!BI121=2,H501, 0)</f>
        <v>0</v>
      </c>
      <c r="Y502">
        <f>IF(Source!BI121=3,H501, 0)</f>
        <v>0</v>
      </c>
      <c r="Z502">
        <f>IF(Source!BI121=4,H501, 0)</f>
        <v>0</v>
      </c>
    </row>
    <row r="504" spans="1:26" ht="15" x14ac:dyDescent="0.25">
      <c r="A504" s="91" t="str">
        <f>CONCATENATE("Итого по разделу: ",IF(Source!G123&lt;&gt;"Новый раздел", Source!G123, ""))</f>
        <v>Итого по разделу: Общестроительные работы</v>
      </c>
      <c r="B504" s="91"/>
      <c r="C504" s="91"/>
      <c r="D504" s="91"/>
      <c r="E504" s="91"/>
      <c r="F504" s="91"/>
      <c r="G504" s="92">
        <f>SUM(O33:O503)</f>
        <v>185481.46</v>
      </c>
      <c r="H504" s="92"/>
      <c r="I504" s="30"/>
      <c r="J504" s="92">
        <f>SUM(P33:P503)</f>
        <v>1323088.1500000004</v>
      </c>
      <c r="K504" s="92"/>
      <c r="L504" s="44">
        <f>SUM(Q33:Q503)</f>
        <v>1892.74346055</v>
      </c>
    </row>
    <row r="506" spans="1:26" ht="16.5" x14ac:dyDescent="0.25">
      <c r="A506" s="89" t="str">
        <f>CONCATENATE("Раздел: ",IF(Source!G155&lt;&gt;"Новый раздел", Source!G155, ""))</f>
        <v>Раздел: Система электроснабжения</v>
      </c>
      <c r="B506" s="89"/>
      <c r="C506" s="89"/>
      <c r="D506" s="89"/>
      <c r="E506" s="89"/>
      <c r="F506" s="89"/>
      <c r="G506" s="89"/>
      <c r="H506" s="89"/>
      <c r="I506" s="89"/>
      <c r="J506" s="89"/>
      <c r="K506" s="89"/>
      <c r="L506" s="89"/>
    </row>
    <row r="507" spans="1:26" ht="28.5" x14ac:dyDescent="0.2">
      <c r="A507" s="49" t="str">
        <f>Source!E159</f>
        <v>49</v>
      </c>
      <c r="B507" s="50" t="str">
        <f>Source!F159</f>
        <v>м08-02-370-02</v>
      </c>
      <c r="C507" s="50" t="str">
        <f>Source!G159</f>
        <v>Демонтаж  электрощитов  на модулей</v>
      </c>
      <c r="D507" s="33" t="str">
        <f>Source!H159</f>
        <v>ШТ</v>
      </c>
      <c r="E507" s="11">
        <f>Source!I159</f>
        <v>2</v>
      </c>
      <c r="F507" s="34">
        <f>Source!AL159+Source!AM159+Source!AO159</f>
        <v>33.42</v>
      </c>
      <c r="G507" s="35"/>
      <c r="H507" s="34"/>
      <c r="I507" s="35" t="str">
        <f>Source!BO159</f>
        <v/>
      </c>
      <c r="J507" s="35"/>
      <c r="K507" s="34"/>
      <c r="L507" s="36"/>
      <c r="S507">
        <f>ROUND((Source!FX159/100)*((ROUND(Source!AF159*Source!I159, 2)+ROUND(Source!AE159*Source!I159, 2))), 2)</f>
        <v>6.82</v>
      </c>
      <c r="T507">
        <f>Source!X159</f>
        <v>48.64</v>
      </c>
      <c r="U507">
        <f>ROUND((Source!FY159/100)*((ROUND(Source!AF159*Source!I159, 2)+ROUND(Source!AE159*Source!I159, 2))), 2)</f>
        <v>4.67</v>
      </c>
      <c r="V507">
        <f>Source!Y159</f>
        <v>33.28</v>
      </c>
    </row>
    <row r="508" spans="1:26" ht="14.25" x14ac:dyDescent="0.2">
      <c r="A508" s="49"/>
      <c r="B508" s="50"/>
      <c r="C508" s="50" t="s">
        <v>1783</v>
      </c>
      <c r="D508" s="33"/>
      <c r="E508" s="11"/>
      <c r="F508" s="34">
        <f>Source!AO159</f>
        <v>9.4499999999999993</v>
      </c>
      <c r="G508" s="35" t="str">
        <f>Source!DG159</f>
        <v>)*0,3</v>
      </c>
      <c r="H508" s="34">
        <f>ROUND(Source!AF159*Source!I159, 2)</f>
        <v>5.68</v>
      </c>
      <c r="I508" s="35"/>
      <c r="J508" s="35">
        <f>IF(Source!BA159&lt;&gt; 0, Source!BA159, 1)</f>
        <v>7.13</v>
      </c>
      <c r="K508" s="34">
        <f>Source!S159</f>
        <v>40.5</v>
      </c>
      <c r="L508" s="36"/>
      <c r="R508">
        <f>H508</f>
        <v>5.68</v>
      </c>
    </row>
    <row r="509" spans="1:26" ht="14.25" x14ac:dyDescent="0.2">
      <c r="A509" s="49"/>
      <c r="B509" s="50"/>
      <c r="C509" s="50" t="s">
        <v>449</v>
      </c>
      <c r="D509" s="33"/>
      <c r="E509" s="11"/>
      <c r="F509" s="34">
        <f>Source!AM159</f>
        <v>17.77</v>
      </c>
      <c r="G509" s="35" t="str">
        <f>Source!DE159</f>
        <v>)*0,3</v>
      </c>
      <c r="H509" s="34">
        <f>ROUND(Source!AD159*Source!I159, 2)</f>
        <v>10.66</v>
      </c>
      <c r="I509" s="35"/>
      <c r="J509" s="35">
        <f>IF(Source!BB159&lt;&gt; 0, Source!BB159, 1)</f>
        <v>7.13</v>
      </c>
      <c r="K509" s="34">
        <f>Source!Q159</f>
        <v>76.010000000000005</v>
      </c>
      <c r="L509" s="36"/>
    </row>
    <row r="510" spans="1:26" ht="14.25" x14ac:dyDescent="0.2">
      <c r="A510" s="49"/>
      <c r="B510" s="50"/>
      <c r="C510" s="50" t="s">
        <v>1784</v>
      </c>
      <c r="D510" s="33"/>
      <c r="E510" s="11"/>
      <c r="F510" s="34">
        <f>Source!AN159</f>
        <v>2.5099999999999998</v>
      </c>
      <c r="G510" s="35" t="str">
        <f>Source!DF159</f>
        <v>)*0,3</v>
      </c>
      <c r="H510" s="37">
        <f>ROUND(Source!AE159*Source!I159, 2)</f>
        <v>1.5</v>
      </c>
      <c r="I510" s="35"/>
      <c r="J510" s="35">
        <f>IF(Source!BS159&lt;&gt; 0, Source!BS159, 1)</f>
        <v>7.13</v>
      </c>
      <c r="K510" s="37">
        <f>Source!R159</f>
        <v>10.7</v>
      </c>
      <c r="L510" s="36"/>
      <c r="R510">
        <f>H510</f>
        <v>1.5</v>
      </c>
    </row>
    <row r="511" spans="1:26" ht="14.25" x14ac:dyDescent="0.2">
      <c r="A511" s="49"/>
      <c r="B511" s="50"/>
      <c r="C511" s="50" t="s">
        <v>1785</v>
      </c>
      <c r="D511" s="33" t="s">
        <v>1786</v>
      </c>
      <c r="E511" s="11">
        <f>Source!BZ159</f>
        <v>95</v>
      </c>
      <c r="F511" s="53"/>
      <c r="G511" s="35"/>
      <c r="H511" s="34">
        <f>SUM(S507:S513)</f>
        <v>6.82</v>
      </c>
      <c r="I511" s="38"/>
      <c r="J511" s="31">
        <f>Source!AT159</f>
        <v>95</v>
      </c>
      <c r="K511" s="34">
        <f>SUM(T507:T513)</f>
        <v>48.64</v>
      </c>
      <c r="L511" s="36"/>
    </row>
    <row r="512" spans="1:26" ht="14.25" x14ac:dyDescent="0.2">
      <c r="A512" s="49"/>
      <c r="B512" s="50"/>
      <c r="C512" s="50" t="s">
        <v>1787</v>
      </c>
      <c r="D512" s="33" t="s">
        <v>1786</v>
      </c>
      <c r="E512" s="11">
        <f>Source!CA159</f>
        <v>65</v>
      </c>
      <c r="F512" s="53"/>
      <c r="G512" s="35"/>
      <c r="H512" s="34">
        <f>SUM(U507:U513)</f>
        <v>4.67</v>
      </c>
      <c r="I512" s="38"/>
      <c r="J512" s="31">
        <f>Source!AU159</f>
        <v>65</v>
      </c>
      <c r="K512" s="34">
        <f>SUM(V507:V513)</f>
        <v>33.28</v>
      </c>
      <c r="L512" s="36"/>
    </row>
    <row r="513" spans="1:26" ht="14.25" x14ac:dyDescent="0.2">
      <c r="A513" s="51"/>
      <c r="B513" s="52"/>
      <c r="C513" s="52" t="s">
        <v>1788</v>
      </c>
      <c r="D513" s="39" t="s">
        <v>1789</v>
      </c>
      <c r="E513" s="40">
        <f>Source!AQ159</f>
        <v>0.9</v>
      </c>
      <c r="F513" s="41"/>
      <c r="G513" s="42" t="str">
        <f>Source!DI159</f>
        <v>)*0,3</v>
      </c>
      <c r="H513" s="41"/>
      <c r="I513" s="42"/>
      <c r="J513" s="42"/>
      <c r="K513" s="41"/>
      <c r="L513" s="43">
        <f>Source!U159</f>
        <v>0.54</v>
      </c>
    </row>
    <row r="514" spans="1:26" ht="15" x14ac:dyDescent="0.25">
      <c r="G514" s="87">
        <f>H508+H509+H511+H512</f>
        <v>27.83</v>
      </c>
      <c r="H514" s="87"/>
      <c r="J514" s="87">
        <f>K508+K509+K511+K512</f>
        <v>198.43</v>
      </c>
      <c r="K514" s="87"/>
      <c r="L514" s="44">
        <f>Source!U159</f>
        <v>0.54</v>
      </c>
      <c r="O514" s="27">
        <f>G514</f>
        <v>27.83</v>
      </c>
      <c r="P514" s="27">
        <f>J514</f>
        <v>198.43</v>
      </c>
      <c r="Q514" s="27">
        <f>L514</f>
        <v>0.54</v>
      </c>
      <c r="W514">
        <f>IF(Source!BI159&lt;=1,H508+H509+H511+H512, 0)</f>
        <v>0</v>
      </c>
      <c r="X514">
        <f>IF(Source!BI159=2,H508+H509+H511+H512, 0)</f>
        <v>27.83</v>
      </c>
      <c r="Y514">
        <f>IF(Source!BI159=3,H508+H509+H511+H512, 0)</f>
        <v>0</v>
      </c>
      <c r="Z514">
        <f>IF(Source!BI159=4,H508+H509+H511+H512, 0)</f>
        <v>0</v>
      </c>
    </row>
    <row r="515" spans="1:26" ht="14.25" x14ac:dyDescent="0.2">
      <c r="A515" s="49" t="str">
        <f>Source!E160</f>
        <v>50</v>
      </c>
      <c r="B515" s="50" t="str">
        <f>Source!F160</f>
        <v>67-4-6</v>
      </c>
      <c r="C515" s="50" t="str">
        <f>Source!G160</f>
        <v>Демонтаж электросчетчиков</v>
      </c>
      <c r="D515" s="33" t="str">
        <f>Source!H160</f>
        <v>100 ШТ</v>
      </c>
      <c r="E515" s="11">
        <f>Source!I160</f>
        <v>0.02</v>
      </c>
      <c r="F515" s="34">
        <f>Source!AL160+Source!AM160+Source!AO160</f>
        <v>221.57999999999998</v>
      </c>
      <c r="G515" s="35"/>
      <c r="H515" s="34"/>
      <c r="I515" s="35" t="str">
        <f>Source!BO160</f>
        <v/>
      </c>
      <c r="J515" s="35"/>
      <c r="K515" s="34"/>
      <c r="L515" s="36"/>
      <c r="S515">
        <f>ROUND((Source!FX160/100)*((ROUND(Source!AF160*Source!I160, 2)+ROUND(Source!AE160*Source!I160, 2))), 2)</f>
        <v>3.75</v>
      </c>
      <c r="T515">
        <f>Source!X160</f>
        <v>26.72</v>
      </c>
      <c r="U515">
        <f>ROUND((Source!FY160/100)*((ROUND(Source!AF160*Source!I160, 2)+ROUND(Source!AE160*Source!I160, 2))), 2)</f>
        <v>2.87</v>
      </c>
      <c r="V515">
        <f>Source!Y160</f>
        <v>20.43</v>
      </c>
    </row>
    <row r="516" spans="1:26" x14ac:dyDescent="0.2">
      <c r="C516" s="26" t="str">
        <f>"Объем: "&amp;Source!I160&amp;"=2/"&amp;"100"</f>
        <v>Объем: 0,02=2/100</v>
      </c>
    </row>
    <row r="517" spans="1:26" ht="14.25" x14ac:dyDescent="0.2">
      <c r="A517" s="49"/>
      <c r="B517" s="50"/>
      <c r="C517" s="50" t="s">
        <v>1783</v>
      </c>
      <c r="D517" s="33"/>
      <c r="E517" s="11"/>
      <c r="F517" s="34">
        <f>Source!AO160</f>
        <v>219.39</v>
      </c>
      <c r="G517" s="35" t="str">
        <f>Source!DG160</f>
        <v/>
      </c>
      <c r="H517" s="34">
        <f>ROUND(Source!AF160*Source!I160, 2)</f>
        <v>4.3899999999999997</v>
      </c>
      <c r="I517" s="35"/>
      <c r="J517" s="35">
        <f>IF(Source!BA160&lt;&gt; 0, Source!BA160, 1)</f>
        <v>7.13</v>
      </c>
      <c r="K517" s="34">
        <f>Source!S160</f>
        <v>31.29</v>
      </c>
      <c r="L517" s="36"/>
      <c r="R517">
        <f>H517</f>
        <v>4.3899999999999997</v>
      </c>
    </row>
    <row r="518" spans="1:26" ht="14.25" x14ac:dyDescent="0.2">
      <c r="A518" s="49"/>
      <c r="B518" s="50"/>
      <c r="C518" s="50" t="s">
        <v>449</v>
      </c>
      <c r="D518" s="33"/>
      <c r="E518" s="11"/>
      <c r="F518" s="34">
        <f>Source!AM160</f>
        <v>2.19</v>
      </c>
      <c r="G518" s="35" t="str">
        <f>Source!DE160</f>
        <v/>
      </c>
      <c r="H518" s="34">
        <f>ROUND(Source!AD160*Source!I160, 2)</f>
        <v>0.04</v>
      </c>
      <c r="I518" s="35"/>
      <c r="J518" s="35">
        <f>IF(Source!BB160&lt;&gt; 0, Source!BB160, 1)</f>
        <v>7.13</v>
      </c>
      <c r="K518" s="34">
        <f>Source!Q160</f>
        <v>0.31</v>
      </c>
      <c r="L518" s="36"/>
    </row>
    <row r="519" spans="1:26" ht="14.25" x14ac:dyDescent="0.2">
      <c r="A519" s="49"/>
      <c r="B519" s="50"/>
      <c r="C519" s="50" t="s">
        <v>1784</v>
      </c>
      <c r="D519" s="33"/>
      <c r="E519" s="11"/>
      <c r="F519" s="34">
        <f>Source!AN160</f>
        <v>0.95</v>
      </c>
      <c r="G519" s="35" t="str">
        <f>Source!DF160</f>
        <v/>
      </c>
      <c r="H519" s="37">
        <f>ROUND(Source!AE160*Source!I160, 2)</f>
        <v>0.02</v>
      </c>
      <c r="I519" s="35"/>
      <c r="J519" s="35">
        <f>IF(Source!BS160&lt;&gt; 0, Source!BS160, 1)</f>
        <v>7.13</v>
      </c>
      <c r="K519" s="37">
        <f>Source!R160</f>
        <v>0.14000000000000001</v>
      </c>
      <c r="L519" s="36"/>
      <c r="R519">
        <f>H519</f>
        <v>0.02</v>
      </c>
    </row>
    <row r="520" spans="1:26" ht="14.25" x14ac:dyDescent="0.2">
      <c r="A520" s="49"/>
      <c r="B520" s="50"/>
      <c r="C520" s="50" t="s">
        <v>1785</v>
      </c>
      <c r="D520" s="33" t="s">
        <v>1786</v>
      </c>
      <c r="E520" s="11">
        <f>Source!BZ160</f>
        <v>85</v>
      </c>
      <c r="F520" s="53"/>
      <c r="G520" s="35"/>
      <c r="H520" s="34">
        <f>SUM(S515:S522)</f>
        <v>3.75</v>
      </c>
      <c r="I520" s="38"/>
      <c r="J520" s="31">
        <f>Source!AT160</f>
        <v>85</v>
      </c>
      <c r="K520" s="34">
        <f>SUM(T515:T522)</f>
        <v>26.72</v>
      </c>
      <c r="L520" s="36"/>
    </row>
    <row r="521" spans="1:26" ht="14.25" x14ac:dyDescent="0.2">
      <c r="A521" s="49"/>
      <c r="B521" s="50"/>
      <c r="C521" s="50" t="s">
        <v>1787</v>
      </c>
      <c r="D521" s="33" t="s">
        <v>1786</v>
      </c>
      <c r="E521" s="11">
        <f>Source!CA160</f>
        <v>65</v>
      </c>
      <c r="F521" s="53"/>
      <c r="G521" s="35"/>
      <c r="H521" s="34">
        <f>SUM(U515:U522)</f>
        <v>2.87</v>
      </c>
      <c r="I521" s="38"/>
      <c r="J521" s="31">
        <f>Source!AU160</f>
        <v>65</v>
      </c>
      <c r="K521" s="34">
        <f>SUM(V515:V522)</f>
        <v>20.43</v>
      </c>
      <c r="L521" s="36"/>
    </row>
    <row r="522" spans="1:26" ht="14.25" x14ac:dyDescent="0.2">
      <c r="A522" s="51"/>
      <c r="B522" s="52"/>
      <c r="C522" s="52" t="s">
        <v>1788</v>
      </c>
      <c r="D522" s="39" t="s">
        <v>1789</v>
      </c>
      <c r="E522" s="40">
        <f>Source!AQ160</f>
        <v>25.72</v>
      </c>
      <c r="F522" s="41"/>
      <c r="G522" s="42" t="str">
        <f>Source!DI160</f>
        <v/>
      </c>
      <c r="H522" s="41"/>
      <c r="I522" s="42"/>
      <c r="J522" s="42"/>
      <c r="K522" s="41"/>
      <c r="L522" s="43">
        <f>Source!U160</f>
        <v>0.51439999999999997</v>
      </c>
    </row>
    <row r="523" spans="1:26" ht="15" x14ac:dyDescent="0.25">
      <c r="G523" s="87">
        <f>H517+H518+H520+H521</f>
        <v>11.05</v>
      </c>
      <c r="H523" s="87"/>
      <c r="J523" s="87">
        <f>K517+K518+K520+K521</f>
        <v>78.75</v>
      </c>
      <c r="K523" s="87"/>
      <c r="L523" s="44">
        <f>Source!U160</f>
        <v>0.51439999999999997</v>
      </c>
      <c r="O523" s="27">
        <f>G523</f>
        <v>11.05</v>
      </c>
      <c r="P523" s="27">
        <f>J523</f>
        <v>78.75</v>
      </c>
      <c r="Q523" s="27">
        <f>L523</f>
        <v>0.51439999999999997</v>
      </c>
      <c r="W523">
        <f>IF(Source!BI160&lt;=1,H517+H518+H520+H521, 0)</f>
        <v>11.05</v>
      </c>
      <c r="X523">
        <f>IF(Source!BI160=2,H517+H518+H520+H521, 0)</f>
        <v>0</v>
      </c>
      <c r="Y523">
        <f>IF(Source!BI160=3,H517+H518+H520+H521, 0)</f>
        <v>0</v>
      </c>
      <c r="Z523">
        <f>IF(Source!BI160=4,H517+H518+H520+H521, 0)</f>
        <v>0</v>
      </c>
    </row>
    <row r="524" spans="1:26" ht="14.25" x14ac:dyDescent="0.2">
      <c r="A524" s="49" t="str">
        <f>Source!E161</f>
        <v>51</v>
      </c>
      <c r="B524" s="50" t="str">
        <f>Source!F161</f>
        <v>67-4-1</v>
      </c>
      <c r="C524" s="50" t="str">
        <f>Source!G161</f>
        <v>Демонтаж выключателей, розеток</v>
      </c>
      <c r="D524" s="33" t="str">
        <f>Source!H161</f>
        <v>100 ШТ</v>
      </c>
      <c r="E524" s="11">
        <f>Source!I161</f>
        <v>0.59</v>
      </c>
      <c r="F524" s="34">
        <f>Source!AL161+Source!AM161+Source!AO161</f>
        <v>45.55</v>
      </c>
      <c r="G524" s="35"/>
      <c r="H524" s="34"/>
      <c r="I524" s="35" t="str">
        <f>Source!BO161</f>
        <v/>
      </c>
      <c r="J524" s="35"/>
      <c r="K524" s="34"/>
      <c r="L524" s="36"/>
      <c r="S524">
        <f>ROUND((Source!FX161/100)*((ROUND(Source!AF161*Source!I161, 2)+ROUND(Source!AE161*Source!I161, 2))), 2)</f>
        <v>22.84</v>
      </c>
      <c r="T524">
        <f>Source!X161</f>
        <v>162.88</v>
      </c>
      <c r="U524">
        <f>ROUND((Source!FY161/100)*((ROUND(Source!AF161*Source!I161, 2)+ROUND(Source!AE161*Source!I161, 2))), 2)</f>
        <v>17.47</v>
      </c>
      <c r="V524">
        <f>Source!Y161</f>
        <v>124.55</v>
      </c>
    </row>
    <row r="525" spans="1:26" x14ac:dyDescent="0.2">
      <c r="C525" s="26" t="str">
        <f>"Объем: "&amp;Source!I161&amp;"=59/"&amp;"100"</f>
        <v>Объем: 0,59=59/100</v>
      </c>
    </row>
    <row r="526" spans="1:26" ht="14.25" x14ac:dyDescent="0.2">
      <c r="A526" s="49"/>
      <c r="B526" s="50"/>
      <c r="C526" s="50" t="s">
        <v>1783</v>
      </c>
      <c r="D526" s="33"/>
      <c r="E526" s="11"/>
      <c r="F526" s="34">
        <f>Source!AO161</f>
        <v>45.55</v>
      </c>
      <c r="G526" s="35" t="str">
        <f>Source!DG161</f>
        <v/>
      </c>
      <c r="H526" s="34">
        <f>ROUND(Source!AF161*Source!I161, 2)</f>
        <v>26.87</v>
      </c>
      <c r="I526" s="35"/>
      <c r="J526" s="35">
        <f>IF(Source!BA161&lt;&gt; 0, Source!BA161, 1)</f>
        <v>7.13</v>
      </c>
      <c r="K526" s="34">
        <f>Source!S161</f>
        <v>191.62</v>
      </c>
      <c r="L526" s="36"/>
      <c r="R526">
        <f>H526</f>
        <v>26.87</v>
      </c>
    </row>
    <row r="527" spans="1:26" ht="14.25" x14ac:dyDescent="0.2">
      <c r="A527" s="49"/>
      <c r="B527" s="50"/>
      <c r="C527" s="50" t="s">
        <v>1785</v>
      </c>
      <c r="D527" s="33" t="s">
        <v>1786</v>
      </c>
      <c r="E527" s="11">
        <f>Source!BZ161</f>
        <v>85</v>
      </c>
      <c r="F527" s="53"/>
      <c r="G527" s="35"/>
      <c r="H527" s="34">
        <f>SUM(S524:S529)</f>
        <v>22.84</v>
      </c>
      <c r="I527" s="38"/>
      <c r="J527" s="31">
        <f>Source!AT161</f>
        <v>85</v>
      </c>
      <c r="K527" s="34">
        <f>SUM(T524:T529)</f>
        <v>162.88</v>
      </c>
      <c r="L527" s="36"/>
    </row>
    <row r="528" spans="1:26" ht="14.25" x14ac:dyDescent="0.2">
      <c r="A528" s="49"/>
      <c r="B528" s="50"/>
      <c r="C528" s="50" t="s">
        <v>1787</v>
      </c>
      <c r="D528" s="33" t="s">
        <v>1786</v>
      </c>
      <c r="E528" s="11">
        <f>Source!CA161</f>
        <v>65</v>
      </c>
      <c r="F528" s="53"/>
      <c r="G528" s="35"/>
      <c r="H528" s="34">
        <f>SUM(U524:U529)</f>
        <v>17.47</v>
      </c>
      <c r="I528" s="38"/>
      <c r="J528" s="31">
        <f>Source!AU161</f>
        <v>65</v>
      </c>
      <c r="K528" s="34">
        <f>SUM(V524:V529)</f>
        <v>124.55</v>
      </c>
      <c r="L528" s="36"/>
    </row>
    <row r="529" spans="1:26" ht="14.25" x14ac:dyDescent="0.2">
      <c r="A529" s="51"/>
      <c r="B529" s="52"/>
      <c r="C529" s="52" t="s">
        <v>1788</v>
      </c>
      <c r="D529" s="39" t="s">
        <v>1789</v>
      </c>
      <c r="E529" s="40">
        <f>Source!AQ161</f>
        <v>5.84</v>
      </c>
      <c r="F529" s="41"/>
      <c r="G529" s="42" t="str">
        <f>Source!DI161</f>
        <v/>
      </c>
      <c r="H529" s="41"/>
      <c r="I529" s="42"/>
      <c r="J529" s="42"/>
      <c r="K529" s="41"/>
      <c r="L529" s="43">
        <f>Source!U161</f>
        <v>3.4455999999999998</v>
      </c>
    </row>
    <row r="530" spans="1:26" ht="15" x14ac:dyDescent="0.25">
      <c r="G530" s="87">
        <f>H526+H527+H528</f>
        <v>67.180000000000007</v>
      </c>
      <c r="H530" s="87"/>
      <c r="J530" s="87">
        <f>K526+K527+K528</f>
        <v>479.05</v>
      </c>
      <c r="K530" s="87"/>
      <c r="L530" s="44">
        <f>Source!U161</f>
        <v>3.4455999999999998</v>
      </c>
      <c r="O530" s="27">
        <f>G530</f>
        <v>67.180000000000007</v>
      </c>
      <c r="P530" s="27">
        <f>J530</f>
        <v>479.05</v>
      </c>
      <c r="Q530" s="27">
        <f>L530</f>
        <v>3.4455999999999998</v>
      </c>
      <c r="W530">
        <f>IF(Source!BI161&lt;=1,H526+H527+H528, 0)</f>
        <v>67.180000000000007</v>
      </c>
      <c r="X530">
        <f>IF(Source!BI161=2,H526+H527+H528, 0)</f>
        <v>0</v>
      </c>
      <c r="Y530">
        <f>IF(Source!BI161=3,H526+H527+H528, 0)</f>
        <v>0</v>
      </c>
      <c r="Z530">
        <f>IF(Source!BI161=4,H526+H527+H528, 0)</f>
        <v>0</v>
      </c>
    </row>
    <row r="531" spans="1:26" ht="57" x14ac:dyDescent="0.2">
      <c r="A531" s="49" t="str">
        <f>Source!E162</f>
        <v>52</v>
      </c>
      <c r="B531" s="50" t="str">
        <f>Source!F162</f>
        <v>м08-03-526-01</v>
      </c>
      <c r="C531" s="50" t="str">
        <f>Source!G162</f>
        <v>Демонтаж автоматов  одно-, двух-, трехполюсный, устанавливаемый на конструкции на стене или колонне, на ток до 25 А</v>
      </c>
      <c r="D531" s="33" t="str">
        <f>Source!H162</f>
        <v>ШТ</v>
      </c>
      <c r="E531" s="11">
        <f>Source!I162</f>
        <v>2</v>
      </c>
      <c r="F531" s="34">
        <f>Source!AL162+Source!AM162+Source!AO162</f>
        <v>35.980000000000004</v>
      </c>
      <c r="G531" s="35"/>
      <c r="H531" s="34"/>
      <c r="I531" s="35" t="str">
        <f>Source!BO162</f>
        <v/>
      </c>
      <c r="J531" s="35"/>
      <c r="K531" s="34"/>
      <c r="L531" s="36"/>
      <c r="S531">
        <f>ROUND((Source!FX162/100)*((ROUND(Source!AF162*Source!I162, 2)+ROUND(Source!AE162*Source!I162, 2))), 2)</f>
        <v>8.4600000000000009</v>
      </c>
      <c r="T531">
        <f>Source!X162</f>
        <v>60.29</v>
      </c>
      <c r="U531">
        <f>ROUND((Source!FY162/100)*((ROUND(Source!AF162*Source!I162, 2)+ROUND(Source!AE162*Source!I162, 2))), 2)</f>
        <v>5.79</v>
      </c>
      <c r="V531">
        <f>Source!Y162</f>
        <v>41.25</v>
      </c>
    </row>
    <row r="532" spans="1:26" ht="14.25" x14ac:dyDescent="0.2">
      <c r="A532" s="49"/>
      <c r="B532" s="50"/>
      <c r="C532" s="50" t="s">
        <v>1783</v>
      </c>
      <c r="D532" s="33"/>
      <c r="E532" s="11"/>
      <c r="F532" s="34">
        <f>Source!AO162</f>
        <v>14.84</v>
      </c>
      <c r="G532" s="35" t="str">
        <f>Source!DG162</f>
        <v>)*0,3</v>
      </c>
      <c r="H532" s="34">
        <f>ROUND(Source!AF162*Source!I162, 2)</f>
        <v>8.9</v>
      </c>
      <c r="I532" s="35"/>
      <c r="J532" s="35">
        <f>IF(Source!BA162&lt;&gt; 0, Source!BA162, 1)</f>
        <v>7.13</v>
      </c>
      <c r="K532" s="34">
        <f>Source!S162</f>
        <v>63.46</v>
      </c>
      <c r="L532" s="36"/>
      <c r="R532">
        <f>H532</f>
        <v>8.9</v>
      </c>
    </row>
    <row r="533" spans="1:26" ht="14.25" x14ac:dyDescent="0.2">
      <c r="A533" s="49"/>
      <c r="B533" s="50"/>
      <c r="C533" s="50" t="s">
        <v>449</v>
      </c>
      <c r="D533" s="33"/>
      <c r="E533" s="11"/>
      <c r="F533" s="34">
        <f>Source!AM162</f>
        <v>1.05</v>
      </c>
      <c r="G533" s="35" t="str">
        <f>Source!DE162</f>
        <v>)*0,3</v>
      </c>
      <c r="H533" s="34">
        <f>ROUND(Source!AD162*Source!I162, 2)</f>
        <v>0.64</v>
      </c>
      <c r="I533" s="35"/>
      <c r="J533" s="35">
        <f>IF(Source!BB162&lt;&gt; 0, Source!BB162, 1)</f>
        <v>7.13</v>
      </c>
      <c r="K533" s="34">
        <f>Source!Q162</f>
        <v>4.5599999999999996</v>
      </c>
      <c r="L533" s="36"/>
    </row>
    <row r="534" spans="1:26" ht="14.25" x14ac:dyDescent="0.2">
      <c r="A534" s="49"/>
      <c r="B534" s="50"/>
      <c r="C534" s="50" t="s">
        <v>1785</v>
      </c>
      <c r="D534" s="33" t="s">
        <v>1786</v>
      </c>
      <c r="E534" s="11">
        <f>Source!BZ162</f>
        <v>95</v>
      </c>
      <c r="F534" s="53"/>
      <c r="G534" s="35"/>
      <c r="H534" s="34">
        <f>SUM(S531:S536)</f>
        <v>8.4600000000000009</v>
      </c>
      <c r="I534" s="38"/>
      <c r="J534" s="31">
        <f>Source!AT162</f>
        <v>95</v>
      </c>
      <c r="K534" s="34">
        <f>SUM(T531:T536)</f>
        <v>60.29</v>
      </c>
      <c r="L534" s="36"/>
    </row>
    <row r="535" spans="1:26" ht="14.25" x14ac:dyDescent="0.2">
      <c r="A535" s="49"/>
      <c r="B535" s="50"/>
      <c r="C535" s="50" t="s">
        <v>1787</v>
      </c>
      <c r="D535" s="33" t="s">
        <v>1786</v>
      </c>
      <c r="E535" s="11">
        <f>Source!CA162</f>
        <v>65</v>
      </c>
      <c r="F535" s="53"/>
      <c r="G535" s="35"/>
      <c r="H535" s="34">
        <f>SUM(U531:U536)</f>
        <v>5.79</v>
      </c>
      <c r="I535" s="38"/>
      <c r="J535" s="31">
        <f>Source!AU162</f>
        <v>65</v>
      </c>
      <c r="K535" s="34">
        <f>SUM(V531:V536)</f>
        <v>41.25</v>
      </c>
      <c r="L535" s="36"/>
    </row>
    <row r="536" spans="1:26" ht="14.25" x14ac:dyDescent="0.2">
      <c r="A536" s="51"/>
      <c r="B536" s="52"/>
      <c r="C536" s="52" t="s">
        <v>1788</v>
      </c>
      <c r="D536" s="39" t="s">
        <v>1789</v>
      </c>
      <c r="E536" s="40">
        <f>Source!AQ162</f>
        <v>1.56</v>
      </c>
      <c r="F536" s="41"/>
      <c r="G536" s="42" t="str">
        <f>Source!DI162</f>
        <v>)*0,3</v>
      </c>
      <c r="H536" s="41"/>
      <c r="I536" s="42"/>
      <c r="J536" s="42"/>
      <c r="K536" s="41"/>
      <c r="L536" s="43">
        <f>Source!U162</f>
        <v>0.93599999999999994</v>
      </c>
    </row>
    <row r="537" spans="1:26" ht="15" x14ac:dyDescent="0.25">
      <c r="G537" s="87">
        <f>H532+H533+H534+H535</f>
        <v>23.79</v>
      </c>
      <c r="H537" s="87"/>
      <c r="J537" s="87">
        <f>K532+K533+K534+K535</f>
        <v>169.56</v>
      </c>
      <c r="K537" s="87"/>
      <c r="L537" s="44">
        <f>Source!U162</f>
        <v>0.93599999999999994</v>
      </c>
      <c r="O537" s="27">
        <f>G537</f>
        <v>23.79</v>
      </c>
      <c r="P537" s="27">
        <f>J537</f>
        <v>169.56</v>
      </c>
      <c r="Q537" s="27">
        <f>L537</f>
        <v>0.93599999999999994</v>
      </c>
      <c r="W537">
        <f>IF(Source!BI162&lt;=1,H532+H533+H534+H535, 0)</f>
        <v>0</v>
      </c>
      <c r="X537">
        <f>IF(Source!BI162=2,H532+H533+H534+H535, 0)</f>
        <v>23.79</v>
      </c>
      <c r="Y537">
        <f>IF(Source!BI162=3,H532+H533+H534+H535, 0)</f>
        <v>0</v>
      </c>
      <c r="Z537">
        <f>IF(Source!BI162=4,H532+H533+H534+H535, 0)</f>
        <v>0</v>
      </c>
    </row>
    <row r="538" spans="1:26" ht="42.75" x14ac:dyDescent="0.2">
      <c r="A538" s="49" t="str">
        <f>Source!E163</f>
        <v>53</v>
      </c>
      <c r="B538" s="50" t="str">
        <f>Source!F163</f>
        <v>м10-01-053-01</v>
      </c>
      <c r="C538" s="50" t="str">
        <f>Source!G163</f>
        <v>Демонтаж  кабеля или провода питания на провододержателях сечением 6 мм2</v>
      </c>
      <c r="D538" s="33" t="str">
        <f>Source!H163</f>
        <v>100 м</v>
      </c>
      <c r="E538" s="11">
        <f>Source!I163</f>
        <v>0.08</v>
      </c>
      <c r="F538" s="34">
        <f>Source!AL163+Source!AM163+Source!AO163</f>
        <v>165.97</v>
      </c>
      <c r="G538" s="35"/>
      <c r="H538" s="34"/>
      <c r="I538" s="35" t="str">
        <f>Source!BO163</f>
        <v/>
      </c>
      <c r="J538" s="35"/>
      <c r="K538" s="34"/>
      <c r="L538" s="36"/>
      <c r="S538">
        <f>ROUND((Source!FX163/100)*((ROUND(Source!AF163*Source!I163, 2)+ROUND(Source!AE163*Source!I163, 2))), 2)</f>
        <v>2.37</v>
      </c>
      <c r="T538">
        <f>Source!X163</f>
        <v>16.87</v>
      </c>
      <c r="U538">
        <f>ROUND((Source!FY163/100)*((ROUND(Source!AF163*Source!I163, 2)+ROUND(Source!AE163*Source!I163, 2))), 2)</f>
        <v>1.78</v>
      </c>
      <c r="V538">
        <f>Source!Y163</f>
        <v>12.65</v>
      </c>
    </row>
    <row r="539" spans="1:26" ht="14.25" x14ac:dyDescent="0.2">
      <c r="A539" s="49"/>
      <c r="B539" s="50"/>
      <c r="C539" s="50" t="s">
        <v>1783</v>
      </c>
      <c r="D539" s="33"/>
      <c r="E539" s="11"/>
      <c r="F539" s="34">
        <f>Source!AO163</f>
        <v>118.33</v>
      </c>
      <c r="G539" s="35" t="str">
        <f>Source!DG163</f>
        <v>)*0,3</v>
      </c>
      <c r="H539" s="34">
        <f>ROUND(Source!AF163*Source!I163, 2)</f>
        <v>2.84</v>
      </c>
      <c r="I539" s="35"/>
      <c r="J539" s="35">
        <f>IF(Source!BA163&lt;&gt; 0, Source!BA163, 1)</f>
        <v>7.13</v>
      </c>
      <c r="K539" s="34">
        <f>Source!S163</f>
        <v>20.25</v>
      </c>
      <c r="L539" s="36"/>
      <c r="R539">
        <f>H539</f>
        <v>2.84</v>
      </c>
    </row>
    <row r="540" spans="1:26" ht="14.25" x14ac:dyDescent="0.2">
      <c r="A540" s="49"/>
      <c r="B540" s="50"/>
      <c r="C540" s="50" t="s">
        <v>449</v>
      </c>
      <c r="D540" s="33"/>
      <c r="E540" s="11"/>
      <c r="F540" s="34">
        <f>Source!AM163</f>
        <v>44.1</v>
      </c>
      <c r="G540" s="35" t="str">
        <f>Source!DE163</f>
        <v>)*0,3</v>
      </c>
      <c r="H540" s="34">
        <f>ROUND(Source!AD163*Source!I163, 2)</f>
        <v>1.06</v>
      </c>
      <c r="I540" s="35"/>
      <c r="J540" s="35">
        <f>IF(Source!BB163&lt;&gt; 0, Source!BB163, 1)</f>
        <v>7.13</v>
      </c>
      <c r="K540" s="34">
        <f>Source!Q163</f>
        <v>7.55</v>
      </c>
      <c r="L540" s="36"/>
    </row>
    <row r="541" spans="1:26" ht="14.25" x14ac:dyDescent="0.2">
      <c r="A541" s="49"/>
      <c r="B541" s="50"/>
      <c r="C541" s="50" t="s">
        <v>1784</v>
      </c>
      <c r="D541" s="33"/>
      <c r="E541" s="11"/>
      <c r="F541" s="34">
        <f>Source!AN163</f>
        <v>4.93</v>
      </c>
      <c r="G541" s="35" t="str">
        <f>Source!DF163</f>
        <v>)*0,3</v>
      </c>
      <c r="H541" s="37">
        <f>ROUND(Source!AE163*Source!I163, 2)</f>
        <v>0.12</v>
      </c>
      <c r="I541" s="35"/>
      <c r="J541" s="35">
        <f>IF(Source!BS163&lt;&gt; 0, Source!BS163, 1)</f>
        <v>7.13</v>
      </c>
      <c r="K541" s="37">
        <f>Source!R163</f>
        <v>0.84</v>
      </c>
      <c r="L541" s="36"/>
      <c r="R541">
        <f>H541</f>
        <v>0.12</v>
      </c>
    </row>
    <row r="542" spans="1:26" ht="14.25" x14ac:dyDescent="0.2">
      <c r="A542" s="49"/>
      <c r="B542" s="50"/>
      <c r="C542" s="50" t="s">
        <v>1785</v>
      </c>
      <c r="D542" s="33" t="s">
        <v>1786</v>
      </c>
      <c r="E542" s="11">
        <f>Source!BZ163</f>
        <v>80</v>
      </c>
      <c r="F542" s="53"/>
      <c r="G542" s="35"/>
      <c r="H542" s="34">
        <f>SUM(S538:S544)</f>
        <v>2.37</v>
      </c>
      <c r="I542" s="38"/>
      <c r="J542" s="31">
        <f>Source!AT163</f>
        <v>80</v>
      </c>
      <c r="K542" s="34">
        <f>SUM(T538:T544)</f>
        <v>16.87</v>
      </c>
      <c r="L542" s="36"/>
    </row>
    <row r="543" spans="1:26" ht="14.25" x14ac:dyDescent="0.2">
      <c r="A543" s="49"/>
      <c r="B543" s="50"/>
      <c r="C543" s="50" t="s">
        <v>1787</v>
      </c>
      <c r="D543" s="33" t="s">
        <v>1786</v>
      </c>
      <c r="E543" s="11">
        <f>Source!CA163</f>
        <v>60</v>
      </c>
      <c r="F543" s="53"/>
      <c r="G543" s="35"/>
      <c r="H543" s="34">
        <f>SUM(U538:U544)</f>
        <v>1.78</v>
      </c>
      <c r="I543" s="38"/>
      <c r="J543" s="31">
        <f>Source!AU163</f>
        <v>60</v>
      </c>
      <c r="K543" s="34">
        <f>SUM(V538:V544)</f>
        <v>12.65</v>
      </c>
      <c r="L543" s="36"/>
    </row>
    <row r="544" spans="1:26" ht="14.25" x14ac:dyDescent="0.2">
      <c r="A544" s="51"/>
      <c r="B544" s="52"/>
      <c r="C544" s="52" t="s">
        <v>1788</v>
      </c>
      <c r="D544" s="39" t="s">
        <v>1789</v>
      </c>
      <c r="E544" s="40">
        <f>Source!AQ163</f>
        <v>12.3</v>
      </c>
      <c r="F544" s="41"/>
      <c r="G544" s="42" t="str">
        <f>Source!DI163</f>
        <v>)*0,3</v>
      </c>
      <c r="H544" s="41"/>
      <c r="I544" s="42"/>
      <c r="J544" s="42"/>
      <c r="K544" s="41"/>
      <c r="L544" s="43">
        <f>Source!U163</f>
        <v>0.29520000000000002</v>
      </c>
    </row>
    <row r="545" spans="1:26" ht="15" x14ac:dyDescent="0.25">
      <c r="G545" s="87">
        <f>H539+H540+H542+H543</f>
        <v>8.0499999999999989</v>
      </c>
      <c r="H545" s="87"/>
      <c r="J545" s="87">
        <f>K539+K540+K542+K543</f>
        <v>57.32</v>
      </c>
      <c r="K545" s="87"/>
      <c r="L545" s="44">
        <f>Source!U163</f>
        <v>0.29520000000000002</v>
      </c>
      <c r="O545" s="27">
        <f>G545</f>
        <v>8.0499999999999989</v>
      </c>
      <c r="P545" s="27">
        <f>J545</f>
        <v>57.32</v>
      </c>
      <c r="Q545" s="27">
        <f>L545</f>
        <v>0.29520000000000002</v>
      </c>
      <c r="W545">
        <f>IF(Source!BI163&lt;=1,H539+H540+H542+H543, 0)</f>
        <v>0</v>
      </c>
      <c r="X545">
        <f>IF(Source!BI163=2,H539+H540+H542+H543, 0)</f>
        <v>8.0499999999999989</v>
      </c>
      <c r="Y545">
        <f>IF(Source!BI163=3,H539+H540+H542+H543, 0)</f>
        <v>0</v>
      </c>
      <c r="Z545">
        <f>IF(Source!BI163=4,H539+H540+H542+H543, 0)</f>
        <v>0</v>
      </c>
    </row>
    <row r="546" spans="1:26" ht="28.5" x14ac:dyDescent="0.2">
      <c r="A546" s="49" t="str">
        <f>Source!E164</f>
        <v>54</v>
      </c>
      <c r="B546" s="50" t="str">
        <f>Source!F164</f>
        <v>м10-04-066-05</v>
      </c>
      <c r="C546" s="50" t="str">
        <f>Source!G164</f>
        <v>Демонтаж звонков</v>
      </c>
      <c r="D546" s="33" t="str">
        <f>Source!H164</f>
        <v>ШТ</v>
      </c>
      <c r="E546" s="11">
        <f>Source!I164</f>
        <v>1</v>
      </c>
      <c r="F546" s="34">
        <f>Source!AL164+Source!AM164+Source!AO164</f>
        <v>9.69</v>
      </c>
      <c r="G546" s="35"/>
      <c r="H546" s="34"/>
      <c r="I546" s="35" t="str">
        <f>Source!BO164</f>
        <v/>
      </c>
      <c r="J546" s="35"/>
      <c r="K546" s="34"/>
      <c r="L546" s="36"/>
      <c r="S546">
        <f>ROUND((Source!FX164/100)*((ROUND(Source!AF164*Source!I164, 2)+ROUND(Source!AE164*Source!I164, 2))), 2)</f>
        <v>2.5</v>
      </c>
      <c r="T546">
        <f>Source!X164</f>
        <v>17.84</v>
      </c>
      <c r="U546">
        <f>ROUND((Source!FY164/100)*((ROUND(Source!AF164*Source!I164, 2)+ROUND(Source!AE164*Source!I164, 2))), 2)</f>
        <v>1.77</v>
      </c>
      <c r="V546">
        <f>Source!Y164</f>
        <v>12.6</v>
      </c>
    </row>
    <row r="547" spans="1:26" ht="14.25" x14ac:dyDescent="0.2">
      <c r="A547" s="49"/>
      <c r="B547" s="50"/>
      <c r="C547" s="50" t="s">
        <v>1783</v>
      </c>
      <c r="D547" s="33"/>
      <c r="E547" s="11"/>
      <c r="F547" s="34">
        <f>Source!AO164</f>
        <v>9.07</v>
      </c>
      <c r="G547" s="35" t="str">
        <f>Source!DG164</f>
        <v>)*0,3</v>
      </c>
      <c r="H547" s="34">
        <f>ROUND(Source!AF164*Source!I164, 2)</f>
        <v>2.72</v>
      </c>
      <c r="I547" s="35"/>
      <c r="J547" s="35">
        <f>IF(Source!BA164&lt;&gt; 0, Source!BA164, 1)</f>
        <v>7.13</v>
      </c>
      <c r="K547" s="34">
        <f>Source!S164</f>
        <v>19.39</v>
      </c>
      <c r="L547" s="36"/>
      <c r="R547">
        <f>H547</f>
        <v>2.72</v>
      </c>
    </row>
    <row r="548" spans="1:26" ht="14.25" x14ac:dyDescent="0.2">
      <c r="A548" s="49"/>
      <c r="B548" s="50"/>
      <c r="C548" s="50" t="s">
        <v>1785</v>
      </c>
      <c r="D548" s="33" t="s">
        <v>1786</v>
      </c>
      <c r="E548" s="11">
        <f>Source!BZ164</f>
        <v>92</v>
      </c>
      <c r="F548" s="53"/>
      <c r="G548" s="35"/>
      <c r="H548" s="34">
        <f>SUM(S546:S550)</f>
        <v>2.5</v>
      </c>
      <c r="I548" s="38"/>
      <c r="J548" s="31">
        <f>Source!AT164</f>
        <v>92</v>
      </c>
      <c r="K548" s="34">
        <f>SUM(T546:T550)</f>
        <v>17.84</v>
      </c>
      <c r="L548" s="36"/>
    </row>
    <row r="549" spans="1:26" ht="14.25" x14ac:dyDescent="0.2">
      <c r="A549" s="49"/>
      <c r="B549" s="50"/>
      <c r="C549" s="50" t="s">
        <v>1787</v>
      </c>
      <c r="D549" s="33" t="s">
        <v>1786</v>
      </c>
      <c r="E549" s="11">
        <f>Source!CA164</f>
        <v>65</v>
      </c>
      <c r="F549" s="53"/>
      <c r="G549" s="35"/>
      <c r="H549" s="34">
        <f>SUM(U546:U550)</f>
        <v>1.77</v>
      </c>
      <c r="I549" s="38"/>
      <c r="J549" s="31">
        <f>Source!AU164</f>
        <v>65</v>
      </c>
      <c r="K549" s="34">
        <f>SUM(V546:V550)</f>
        <v>12.6</v>
      </c>
      <c r="L549" s="36"/>
    </row>
    <row r="550" spans="1:26" ht="14.25" x14ac:dyDescent="0.2">
      <c r="A550" s="51"/>
      <c r="B550" s="52"/>
      <c r="C550" s="52" t="s">
        <v>1788</v>
      </c>
      <c r="D550" s="39" t="s">
        <v>1789</v>
      </c>
      <c r="E550" s="40">
        <f>Source!AQ164</f>
        <v>1</v>
      </c>
      <c r="F550" s="41"/>
      <c r="G550" s="42" t="str">
        <f>Source!DI164</f>
        <v>)*0,3</v>
      </c>
      <c r="H550" s="41"/>
      <c r="I550" s="42"/>
      <c r="J550" s="42"/>
      <c r="K550" s="41"/>
      <c r="L550" s="43">
        <f>Source!U164</f>
        <v>0.3</v>
      </c>
    </row>
    <row r="551" spans="1:26" ht="15" x14ac:dyDescent="0.25">
      <c r="G551" s="87">
        <f>H547+H548+H549</f>
        <v>6.99</v>
      </c>
      <c r="H551" s="87"/>
      <c r="J551" s="87">
        <f>K547+K548+K549</f>
        <v>49.830000000000005</v>
      </c>
      <c r="K551" s="87"/>
      <c r="L551" s="44">
        <f>Source!U164</f>
        <v>0.3</v>
      </c>
      <c r="O551" s="27">
        <f>G551</f>
        <v>6.99</v>
      </c>
      <c r="P551" s="27">
        <f>J551</f>
        <v>49.830000000000005</v>
      </c>
      <c r="Q551" s="27">
        <f>L551</f>
        <v>0.3</v>
      </c>
      <c r="W551">
        <f>IF(Source!BI164&lt;=1,H547+H548+H549, 0)</f>
        <v>0</v>
      </c>
      <c r="X551">
        <f>IF(Source!BI164=2,H547+H548+H549, 0)</f>
        <v>6.99</v>
      </c>
      <c r="Y551">
        <f>IF(Source!BI164=3,H547+H548+H549, 0)</f>
        <v>0</v>
      </c>
      <c r="Z551">
        <f>IF(Source!BI164=4,H547+H548+H549, 0)</f>
        <v>0</v>
      </c>
    </row>
    <row r="552" spans="1:26" ht="14.25" x14ac:dyDescent="0.2">
      <c r="A552" s="49" t="str">
        <f>Source!E165</f>
        <v>55</v>
      </c>
      <c r="B552" s="50" t="str">
        <f>Source!F165</f>
        <v>67-3-1</v>
      </c>
      <c r="C552" s="50" t="str">
        <f>Source!G165</f>
        <v>Демонтаж кабеля</v>
      </c>
      <c r="D552" s="33" t="str">
        <f>Source!H165</f>
        <v>100 м</v>
      </c>
      <c r="E552" s="11">
        <f>Source!I165</f>
        <v>0.56000000000000005</v>
      </c>
      <c r="F552" s="34">
        <f>Source!AL165+Source!AM165+Source!AO165</f>
        <v>75.5</v>
      </c>
      <c r="G552" s="35"/>
      <c r="H552" s="34"/>
      <c r="I552" s="35" t="str">
        <f>Source!BO165</f>
        <v/>
      </c>
      <c r="J552" s="35"/>
      <c r="K552" s="34"/>
      <c r="L552" s="36"/>
      <c r="S552">
        <f>ROUND((Source!FX165/100)*((ROUND(Source!AF165*Source!I165, 2)+ROUND(Source!AE165*Source!I165, 2))), 2)</f>
        <v>35.86</v>
      </c>
      <c r="T552">
        <f>Source!X165</f>
        <v>255.66</v>
      </c>
      <c r="U552">
        <f>ROUND((Source!FY165/100)*((ROUND(Source!AF165*Source!I165, 2)+ROUND(Source!AE165*Source!I165, 2))), 2)</f>
        <v>27.42</v>
      </c>
      <c r="V552">
        <f>Source!Y165</f>
        <v>195.51</v>
      </c>
    </row>
    <row r="553" spans="1:26" x14ac:dyDescent="0.2">
      <c r="C553" s="26" t="str">
        <f>"Объем: "&amp;Source!I165&amp;"=56/"&amp;"100"</f>
        <v>Объем: 0,56=56/100</v>
      </c>
    </row>
    <row r="554" spans="1:26" ht="14.25" x14ac:dyDescent="0.2">
      <c r="A554" s="49"/>
      <c r="B554" s="50"/>
      <c r="C554" s="50" t="s">
        <v>1783</v>
      </c>
      <c r="D554" s="33"/>
      <c r="E554" s="11"/>
      <c r="F554" s="34">
        <f>Source!AO165</f>
        <v>75.19</v>
      </c>
      <c r="G554" s="35" t="str">
        <f>Source!DG165</f>
        <v/>
      </c>
      <c r="H554" s="34">
        <f>ROUND(Source!AF165*Source!I165, 2)</f>
        <v>42.11</v>
      </c>
      <c r="I554" s="35"/>
      <c r="J554" s="35">
        <f>IF(Source!BA165&lt;&gt; 0, Source!BA165, 1)</f>
        <v>7.13</v>
      </c>
      <c r="K554" s="34">
        <f>Source!S165</f>
        <v>300.22000000000003</v>
      </c>
      <c r="L554" s="36"/>
      <c r="R554">
        <f>H554</f>
        <v>42.11</v>
      </c>
    </row>
    <row r="555" spans="1:26" ht="14.25" x14ac:dyDescent="0.2">
      <c r="A555" s="49"/>
      <c r="B555" s="50"/>
      <c r="C555" s="50" t="s">
        <v>449</v>
      </c>
      <c r="D555" s="33"/>
      <c r="E555" s="11"/>
      <c r="F555" s="34">
        <f>Source!AM165</f>
        <v>0.31</v>
      </c>
      <c r="G555" s="35" t="str">
        <f>Source!DE165</f>
        <v/>
      </c>
      <c r="H555" s="34">
        <f>ROUND(Source!AD165*Source!I165, 2)</f>
        <v>0.17</v>
      </c>
      <c r="I555" s="35"/>
      <c r="J555" s="35">
        <f>IF(Source!BB165&lt;&gt; 0, Source!BB165, 1)</f>
        <v>7.13</v>
      </c>
      <c r="K555" s="34">
        <f>Source!Q165</f>
        <v>1.24</v>
      </c>
      <c r="L555" s="36"/>
    </row>
    <row r="556" spans="1:26" ht="14.25" x14ac:dyDescent="0.2">
      <c r="A556" s="49"/>
      <c r="B556" s="50"/>
      <c r="C556" s="50" t="s">
        <v>1784</v>
      </c>
      <c r="D556" s="33"/>
      <c r="E556" s="11"/>
      <c r="F556" s="34">
        <f>Source!AN165</f>
        <v>0.14000000000000001</v>
      </c>
      <c r="G556" s="35" t="str">
        <f>Source!DF165</f>
        <v/>
      </c>
      <c r="H556" s="37">
        <f>ROUND(Source!AE165*Source!I165, 2)</f>
        <v>0.08</v>
      </c>
      <c r="I556" s="35"/>
      <c r="J556" s="35">
        <f>IF(Source!BS165&lt;&gt; 0, Source!BS165, 1)</f>
        <v>7.13</v>
      </c>
      <c r="K556" s="37">
        <f>Source!R165</f>
        <v>0.56000000000000005</v>
      </c>
      <c r="L556" s="36"/>
      <c r="R556">
        <f>H556</f>
        <v>0.08</v>
      </c>
    </row>
    <row r="557" spans="1:26" ht="14.25" x14ac:dyDescent="0.2">
      <c r="A557" s="49"/>
      <c r="B557" s="50"/>
      <c r="C557" s="50" t="s">
        <v>1785</v>
      </c>
      <c r="D557" s="33" t="s">
        <v>1786</v>
      </c>
      <c r="E557" s="11">
        <f>Source!BZ165</f>
        <v>85</v>
      </c>
      <c r="F557" s="53"/>
      <c r="G557" s="35"/>
      <c r="H557" s="34">
        <f>SUM(S552:S559)</f>
        <v>35.86</v>
      </c>
      <c r="I557" s="38"/>
      <c r="J557" s="31">
        <f>Source!AT165</f>
        <v>85</v>
      </c>
      <c r="K557" s="34">
        <f>SUM(T552:T559)</f>
        <v>255.66</v>
      </c>
      <c r="L557" s="36"/>
    </row>
    <row r="558" spans="1:26" ht="14.25" x14ac:dyDescent="0.2">
      <c r="A558" s="49"/>
      <c r="B558" s="50"/>
      <c r="C558" s="50" t="s">
        <v>1787</v>
      </c>
      <c r="D558" s="33" t="s">
        <v>1786</v>
      </c>
      <c r="E558" s="11">
        <f>Source!CA165</f>
        <v>65</v>
      </c>
      <c r="F558" s="53"/>
      <c r="G558" s="35"/>
      <c r="H558" s="34">
        <f>SUM(U552:U559)</f>
        <v>27.42</v>
      </c>
      <c r="I558" s="38"/>
      <c r="J558" s="31">
        <f>Source!AU165</f>
        <v>65</v>
      </c>
      <c r="K558" s="34">
        <f>SUM(V552:V559)</f>
        <v>195.51</v>
      </c>
      <c r="L558" s="36"/>
    </row>
    <row r="559" spans="1:26" ht="14.25" x14ac:dyDescent="0.2">
      <c r="A559" s="51"/>
      <c r="B559" s="52"/>
      <c r="C559" s="52" t="s">
        <v>1788</v>
      </c>
      <c r="D559" s="39" t="s">
        <v>1789</v>
      </c>
      <c r="E559" s="40">
        <f>Source!AQ165</f>
        <v>9.64</v>
      </c>
      <c r="F559" s="41"/>
      <c r="G559" s="42" t="str">
        <f>Source!DI165</f>
        <v/>
      </c>
      <c r="H559" s="41"/>
      <c r="I559" s="42"/>
      <c r="J559" s="42"/>
      <c r="K559" s="41"/>
      <c r="L559" s="43">
        <f>Source!U165</f>
        <v>5.3984000000000005</v>
      </c>
    </row>
    <row r="560" spans="1:26" ht="15" x14ac:dyDescent="0.25">
      <c r="G560" s="87">
        <f>H554+H555+H557+H558</f>
        <v>105.56</v>
      </c>
      <c r="H560" s="87"/>
      <c r="J560" s="87">
        <f>K554+K555+K557+K558</f>
        <v>752.63</v>
      </c>
      <c r="K560" s="87"/>
      <c r="L560" s="44">
        <f>Source!U165</f>
        <v>5.3984000000000005</v>
      </c>
      <c r="O560" s="27">
        <f>G560</f>
        <v>105.56</v>
      </c>
      <c r="P560" s="27">
        <f>J560</f>
        <v>752.63</v>
      </c>
      <c r="Q560" s="27">
        <f>L560</f>
        <v>5.3984000000000005</v>
      </c>
      <c r="W560">
        <f>IF(Source!BI165&lt;=1,H554+H555+H557+H558, 0)</f>
        <v>105.56</v>
      </c>
      <c r="X560">
        <f>IF(Source!BI165=2,H554+H555+H557+H558, 0)</f>
        <v>0</v>
      </c>
      <c r="Y560">
        <f>IF(Source!BI165=3,H554+H555+H557+H558, 0)</f>
        <v>0</v>
      </c>
      <c r="Z560">
        <f>IF(Source!BI165=4,H554+H555+H557+H558, 0)</f>
        <v>0</v>
      </c>
    </row>
    <row r="561" spans="1:26" ht="28.5" x14ac:dyDescent="0.2">
      <c r="A561" s="49" t="str">
        <f>Source!E166</f>
        <v>56</v>
      </c>
      <c r="B561" s="50" t="str">
        <f>Source!F166</f>
        <v>67-4-3</v>
      </c>
      <c r="C561" s="50" t="str">
        <f>Source!G166</f>
        <v>Демонтаж светильников с лампами накаливания</v>
      </c>
      <c r="D561" s="33" t="str">
        <f>Source!H166</f>
        <v>100 ШТ</v>
      </c>
      <c r="E561" s="11">
        <f>Source!I166</f>
        <v>0.08</v>
      </c>
      <c r="F561" s="34">
        <f>Source!AL166+Source!AM166+Source!AO166</f>
        <v>50.239999999999995</v>
      </c>
      <c r="G561" s="35"/>
      <c r="H561" s="34"/>
      <c r="I561" s="35" t="str">
        <f>Source!BO166</f>
        <v/>
      </c>
      <c r="J561" s="35"/>
      <c r="K561" s="34"/>
      <c r="L561" s="36"/>
      <c r="S561">
        <f>ROUND((Source!FX166/100)*((ROUND(Source!AF166*Source!I166, 2)+ROUND(Source!AE166*Source!I166, 2))), 2)</f>
        <v>3.37</v>
      </c>
      <c r="T561">
        <f>Source!X166</f>
        <v>24.1</v>
      </c>
      <c r="U561">
        <f>ROUND((Source!FY166/100)*((ROUND(Source!AF166*Source!I166, 2)+ROUND(Source!AE166*Source!I166, 2))), 2)</f>
        <v>2.58</v>
      </c>
      <c r="V561">
        <f>Source!Y166</f>
        <v>18.43</v>
      </c>
    </row>
    <row r="562" spans="1:26" x14ac:dyDescent="0.2">
      <c r="C562" s="26" t="str">
        <f>"Объем: "&amp;Source!I166&amp;"=8/"&amp;"100"</f>
        <v>Объем: 0,08=8/100</v>
      </c>
    </row>
    <row r="563" spans="1:26" ht="14.25" x14ac:dyDescent="0.2">
      <c r="A563" s="49"/>
      <c r="B563" s="50"/>
      <c r="C563" s="50" t="s">
        <v>1783</v>
      </c>
      <c r="D563" s="33"/>
      <c r="E563" s="11"/>
      <c r="F563" s="34">
        <f>Source!AO166</f>
        <v>49.3</v>
      </c>
      <c r="G563" s="35" t="str">
        <f>Source!DG166</f>
        <v/>
      </c>
      <c r="H563" s="34">
        <f>ROUND(Source!AF166*Source!I166, 2)</f>
        <v>3.94</v>
      </c>
      <c r="I563" s="35"/>
      <c r="J563" s="35">
        <f>IF(Source!BA166&lt;&gt; 0, Source!BA166, 1)</f>
        <v>7.13</v>
      </c>
      <c r="K563" s="34">
        <f>Source!S166</f>
        <v>28.12</v>
      </c>
      <c r="L563" s="36"/>
      <c r="R563">
        <f>H563</f>
        <v>3.94</v>
      </c>
    </row>
    <row r="564" spans="1:26" ht="14.25" x14ac:dyDescent="0.2">
      <c r="A564" s="49"/>
      <c r="B564" s="50"/>
      <c r="C564" s="50" t="s">
        <v>449</v>
      </c>
      <c r="D564" s="33"/>
      <c r="E564" s="11"/>
      <c r="F564" s="34">
        <f>Source!AM166</f>
        <v>0.94</v>
      </c>
      <c r="G564" s="35" t="str">
        <f>Source!DE166</f>
        <v/>
      </c>
      <c r="H564" s="34">
        <f>ROUND(Source!AD166*Source!I166, 2)</f>
        <v>0.08</v>
      </c>
      <c r="I564" s="35"/>
      <c r="J564" s="35">
        <f>IF(Source!BB166&lt;&gt; 0, Source!BB166, 1)</f>
        <v>7.13</v>
      </c>
      <c r="K564" s="34">
        <f>Source!Q166</f>
        <v>0.54</v>
      </c>
      <c r="L564" s="36"/>
    </row>
    <row r="565" spans="1:26" ht="14.25" x14ac:dyDescent="0.2">
      <c r="A565" s="49"/>
      <c r="B565" s="50"/>
      <c r="C565" s="50" t="s">
        <v>1784</v>
      </c>
      <c r="D565" s="33"/>
      <c r="E565" s="11"/>
      <c r="F565" s="34">
        <f>Source!AN166</f>
        <v>0.41</v>
      </c>
      <c r="G565" s="35" t="str">
        <f>Source!DF166</f>
        <v/>
      </c>
      <c r="H565" s="37">
        <f>ROUND(Source!AE166*Source!I166, 2)</f>
        <v>0.03</v>
      </c>
      <c r="I565" s="35"/>
      <c r="J565" s="35">
        <f>IF(Source!BS166&lt;&gt; 0, Source!BS166, 1)</f>
        <v>7.13</v>
      </c>
      <c r="K565" s="37">
        <f>Source!R166</f>
        <v>0.23</v>
      </c>
      <c r="L565" s="36"/>
      <c r="R565">
        <f>H565</f>
        <v>0.03</v>
      </c>
    </row>
    <row r="566" spans="1:26" ht="14.25" x14ac:dyDescent="0.2">
      <c r="A566" s="49"/>
      <c r="B566" s="50"/>
      <c r="C566" s="50" t="s">
        <v>1785</v>
      </c>
      <c r="D566" s="33" t="s">
        <v>1786</v>
      </c>
      <c r="E566" s="11">
        <f>Source!BZ166</f>
        <v>85</v>
      </c>
      <c r="F566" s="53"/>
      <c r="G566" s="35"/>
      <c r="H566" s="34">
        <f>SUM(S561:S568)</f>
        <v>3.37</v>
      </c>
      <c r="I566" s="38"/>
      <c r="J566" s="31">
        <f>Source!AT166</f>
        <v>85</v>
      </c>
      <c r="K566" s="34">
        <f>SUM(T561:T568)</f>
        <v>24.1</v>
      </c>
      <c r="L566" s="36"/>
    </row>
    <row r="567" spans="1:26" ht="14.25" x14ac:dyDescent="0.2">
      <c r="A567" s="49"/>
      <c r="B567" s="50"/>
      <c r="C567" s="50" t="s">
        <v>1787</v>
      </c>
      <c r="D567" s="33" t="s">
        <v>1786</v>
      </c>
      <c r="E567" s="11">
        <f>Source!CA166</f>
        <v>65</v>
      </c>
      <c r="F567" s="53"/>
      <c r="G567" s="35"/>
      <c r="H567" s="34">
        <f>SUM(U561:U568)</f>
        <v>2.58</v>
      </c>
      <c r="I567" s="38"/>
      <c r="J567" s="31">
        <f>Source!AU166</f>
        <v>65</v>
      </c>
      <c r="K567" s="34">
        <f>SUM(V561:V568)</f>
        <v>18.43</v>
      </c>
      <c r="L567" s="36"/>
    </row>
    <row r="568" spans="1:26" ht="14.25" x14ac:dyDescent="0.2">
      <c r="A568" s="51"/>
      <c r="B568" s="52"/>
      <c r="C568" s="52" t="s">
        <v>1788</v>
      </c>
      <c r="D568" s="39" t="s">
        <v>1789</v>
      </c>
      <c r="E568" s="40">
        <f>Source!AQ166</f>
        <v>6.32</v>
      </c>
      <c r="F568" s="41"/>
      <c r="G568" s="42" t="str">
        <f>Source!DI166</f>
        <v/>
      </c>
      <c r="H568" s="41"/>
      <c r="I568" s="42"/>
      <c r="J568" s="42"/>
      <c r="K568" s="41"/>
      <c r="L568" s="43">
        <f>Source!U166</f>
        <v>0.50560000000000005</v>
      </c>
    </row>
    <row r="569" spans="1:26" ht="15" x14ac:dyDescent="0.25">
      <c r="G569" s="87">
        <f>H563+H564+H566+H567</f>
        <v>9.9699999999999989</v>
      </c>
      <c r="H569" s="87"/>
      <c r="J569" s="87">
        <f>K563+K564+K566+K567</f>
        <v>71.19</v>
      </c>
      <c r="K569" s="87"/>
      <c r="L569" s="44">
        <f>Source!U166</f>
        <v>0.50560000000000005</v>
      </c>
      <c r="O569" s="27">
        <f>G569</f>
        <v>9.9699999999999989</v>
      </c>
      <c r="P569" s="27">
        <f>J569</f>
        <v>71.19</v>
      </c>
      <c r="Q569" s="27">
        <f>L569</f>
        <v>0.50560000000000005</v>
      </c>
      <c r="W569">
        <f>IF(Source!BI166&lt;=1,H563+H564+H566+H567, 0)</f>
        <v>9.9699999999999989</v>
      </c>
      <c r="X569">
        <f>IF(Source!BI166=2,H563+H564+H566+H567, 0)</f>
        <v>0</v>
      </c>
      <c r="Y569">
        <f>IF(Source!BI166=3,H563+H564+H566+H567, 0)</f>
        <v>0</v>
      </c>
      <c r="Z569">
        <f>IF(Source!BI166=4,H563+H564+H566+H567, 0)</f>
        <v>0</v>
      </c>
    </row>
    <row r="570" spans="1:26" ht="28.5" x14ac:dyDescent="0.2">
      <c r="A570" s="49" t="str">
        <f>Source!E167</f>
        <v>57</v>
      </c>
      <c r="B570" s="50" t="str">
        <f>Source!F167</f>
        <v>67-4-5</v>
      </c>
      <c r="C570" s="50" t="str">
        <f>Source!G167</f>
        <v>Демонтаж светильников для люминесцентных ламп</v>
      </c>
      <c r="D570" s="33" t="str">
        <f>Source!H167</f>
        <v>100 ШТ</v>
      </c>
      <c r="E570" s="11">
        <f>Source!I167</f>
        <v>0.35</v>
      </c>
      <c r="F570" s="34">
        <f>Source!AL167+Source!AM167+Source!AO167</f>
        <v>145.97999999999999</v>
      </c>
      <c r="G570" s="35"/>
      <c r="H570" s="34"/>
      <c r="I570" s="35" t="str">
        <f>Source!BO167</f>
        <v/>
      </c>
      <c r="J570" s="35"/>
      <c r="K570" s="34"/>
      <c r="L570" s="36"/>
      <c r="S570">
        <f>ROUND((Source!FX167/100)*((ROUND(Source!AF167*Source!I167, 2)+ROUND(Source!AE167*Source!I167, 2))), 2)</f>
        <v>43.01</v>
      </c>
      <c r="T570">
        <f>Source!X167</f>
        <v>306.64</v>
      </c>
      <c r="U570">
        <f>ROUND((Source!FY167/100)*((ROUND(Source!AF167*Source!I167, 2)+ROUND(Source!AE167*Source!I167, 2))), 2)</f>
        <v>32.89</v>
      </c>
      <c r="V570">
        <f>Source!Y167</f>
        <v>234.49</v>
      </c>
    </row>
    <row r="571" spans="1:26" x14ac:dyDescent="0.2">
      <c r="C571" s="26" t="str">
        <f>"Объем: "&amp;Source!I167&amp;"=35/"&amp;"100"</f>
        <v>Объем: 0,35=35/100</v>
      </c>
    </row>
    <row r="572" spans="1:26" ht="14.25" x14ac:dyDescent="0.2">
      <c r="A572" s="49"/>
      <c r="B572" s="50"/>
      <c r="C572" s="50" t="s">
        <v>1783</v>
      </c>
      <c r="D572" s="33"/>
      <c r="E572" s="11"/>
      <c r="F572" s="34">
        <f>Source!AO167</f>
        <v>143.47999999999999</v>
      </c>
      <c r="G572" s="35" t="str">
        <f>Source!DG167</f>
        <v/>
      </c>
      <c r="H572" s="34">
        <f>ROUND(Source!AF167*Source!I167, 2)</f>
        <v>50.22</v>
      </c>
      <c r="I572" s="35"/>
      <c r="J572" s="35">
        <f>IF(Source!BA167&lt;&gt; 0, Source!BA167, 1)</f>
        <v>7.13</v>
      </c>
      <c r="K572" s="34">
        <f>Source!S167</f>
        <v>358.05</v>
      </c>
      <c r="L572" s="36"/>
      <c r="R572">
        <f>H572</f>
        <v>50.22</v>
      </c>
    </row>
    <row r="573" spans="1:26" ht="14.25" x14ac:dyDescent="0.2">
      <c r="A573" s="49"/>
      <c r="B573" s="50"/>
      <c r="C573" s="50" t="s">
        <v>449</v>
      </c>
      <c r="D573" s="33"/>
      <c r="E573" s="11"/>
      <c r="F573" s="34">
        <f>Source!AM167</f>
        <v>2.5</v>
      </c>
      <c r="G573" s="35" t="str">
        <f>Source!DE167</f>
        <v/>
      </c>
      <c r="H573" s="34">
        <f>ROUND(Source!AD167*Source!I167, 2)</f>
        <v>0.88</v>
      </c>
      <c r="I573" s="35"/>
      <c r="J573" s="35">
        <f>IF(Source!BB167&lt;&gt; 0, Source!BB167, 1)</f>
        <v>7.13</v>
      </c>
      <c r="K573" s="34">
        <f>Source!Q167</f>
        <v>6.24</v>
      </c>
      <c r="L573" s="36"/>
    </row>
    <row r="574" spans="1:26" ht="14.25" x14ac:dyDescent="0.2">
      <c r="A574" s="49"/>
      <c r="B574" s="50"/>
      <c r="C574" s="50" t="s">
        <v>1784</v>
      </c>
      <c r="D574" s="33"/>
      <c r="E574" s="11"/>
      <c r="F574" s="34">
        <f>Source!AN167</f>
        <v>1.08</v>
      </c>
      <c r="G574" s="35" t="str">
        <f>Source!DF167</f>
        <v/>
      </c>
      <c r="H574" s="37">
        <f>ROUND(Source!AE167*Source!I167, 2)</f>
        <v>0.38</v>
      </c>
      <c r="I574" s="35"/>
      <c r="J574" s="35">
        <f>IF(Source!BS167&lt;&gt; 0, Source!BS167, 1)</f>
        <v>7.13</v>
      </c>
      <c r="K574" s="37">
        <f>Source!R167</f>
        <v>2.7</v>
      </c>
      <c r="L574" s="36"/>
      <c r="R574">
        <f>H574</f>
        <v>0.38</v>
      </c>
    </row>
    <row r="575" spans="1:26" ht="14.25" x14ac:dyDescent="0.2">
      <c r="A575" s="49"/>
      <c r="B575" s="50"/>
      <c r="C575" s="50" t="s">
        <v>1785</v>
      </c>
      <c r="D575" s="33" t="s">
        <v>1786</v>
      </c>
      <c r="E575" s="11">
        <f>Source!BZ167</f>
        <v>85</v>
      </c>
      <c r="F575" s="53"/>
      <c r="G575" s="35"/>
      <c r="H575" s="34">
        <f>SUM(S570:S577)</f>
        <v>43.01</v>
      </c>
      <c r="I575" s="38"/>
      <c r="J575" s="31">
        <f>Source!AT167</f>
        <v>85</v>
      </c>
      <c r="K575" s="34">
        <f>SUM(T570:T577)</f>
        <v>306.64</v>
      </c>
      <c r="L575" s="36"/>
    </row>
    <row r="576" spans="1:26" ht="14.25" x14ac:dyDescent="0.2">
      <c r="A576" s="49"/>
      <c r="B576" s="50"/>
      <c r="C576" s="50" t="s">
        <v>1787</v>
      </c>
      <c r="D576" s="33" t="s">
        <v>1786</v>
      </c>
      <c r="E576" s="11">
        <f>Source!CA167</f>
        <v>65</v>
      </c>
      <c r="F576" s="53"/>
      <c r="G576" s="35"/>
      <c r="H576" s="34">
        <f>SUM(U570:U577)</f>
        <v>32.89</v>
      </c>
      <c r="I576" s="38"/>
      <c r="J576" s="31">
        <f>Source!AU167</f>
        <v>65</v>
      </c>
      <c r="K576" s="34">
        <f>SUM(V570:V577)</f>
        <v>234.49</v>
      </c>
      <c r="L576" s="36"/>
    </row>
    <row r="577" spans="1:26" ht="14.25" x14ac:dyDescent="0.2">
      <c r="A577" s="51"/>
      <c r="B577" s="52"/>
      <c r="C577" s="52" t="s">
        <v>1788</v>
      </c>
      <c r="D577" s="39" t="s">
        <v>1789</v>
      </c>
      <c r="E577" s="40">
        <f>Source!AQ167</f>
        <v>17.89</v>
      </c>
      <c r="F577" s="41"/>
      <c r="G577" s="42" t="str">
        <f>Source!DI167</f>
        <v/>
      </c>
      <c r="H577" s="41"/>
      <c r="I577" s="42"/>
      <c r="J577" s="42"/>
      <c r="K577" s="41"/>
      <c r="L577" s="43">
        <f>Source!U167</f>
        <v>6.2614999999999998</v>
      </c>
    </row>
    <row r="578" spans="1:26" ht="15" x14ac:dyDescent="0.25">
      <c r="G578" s="87">
        <f>H572+H573+H575+H576</f>
        <v>127</v>
      </c>
      <c r="H578" s="87"/>
      <c r="J578" s="87">
        <f>K572+K573+K575+K576</f>
        <v>905.42000000000007</v>
      </c>
      <c r="K578" s="87"/>
      <c r="L578" s="44">
        <f>Source!U167</f>
        <v>6.2614999999999998</v>
      </c>
      <c r="O578" s="27">
        <f>G578</f>
        <v>127</v>
      </c>
      <c r="P578" s="27">
        <f>J578</f>
        <v>905.42000000000007</v>
      </c>
      <c r="Q578" s="27">
        <f>L578</f>
        <v>6.2614999999999998</v>
      </c>
      <c r="W578">
        <f>IF(Source!BI167&lt;=1,H572+H573+H575+H576, 0)</f>
        <v>127</v>
      </c>
      <c r="X578">
        <f>IF(Source!BI167=2,H572+H573+H575+H576, 0)</f>
        <v>0</v>
      </c>
      <c r="Y578">
        <f>IF(Source!BI167=3,H572+H573+H575+H576, 0)</f>
        <v>0</v>
      </c>
      <c r="Z578">
        <f>IF(Source!BI167=4,H572+H573+H575+H576, 0)</f>
        <v>0</v>
      </c>
    </row>
    <row r="579" spans="1:26" ht="57" x14ac:dyDescent="0.2">
      <c r="A579" s="49" t="str">
        <f>Source!E168</f>
        <v>58</v>
      </c>
      <c r="B579" s="50" t="str">
        <f>Source!F168</f>
        <v>м08-03-594-07</v>
      </c>
      <c r="C579" s="50" t="str">
        <f>Source!G168</f>
        <v>Установка светильников  отдельно устанавливаемых на подвесах (штангах) с количеством ламп в светильнике 2</v>
      </c>
      <c r="D579" s="33" t="str">
        <f>Source!H168</f>
        <v>100 ШТ</v>
      </c>
      <c r="E579" s="11">
        <f>Source!I168</f>
        <v>0.12</v>
      </c>
      <c r="F579" s="34">
        <f>Source!AL168+Source!AM168+Source!AO168</f>
        <v>1363.94</v>
      </c>
      <c r="G579" s="35"/>
      <c r="H579" s="34"/>
      <c r="I579" s="35" t="str">
        <f>Source!BO168</f>
        <v/>
      </c>
      <c r="J579" s="35"/>
      <c r="K579" s="34"/>
      <c r="L579" s="36"/>
      <c r="S579">
        <f>ROUND((Source!FX168/100)*((ROUND(Source!AF168*Source!I168, 2)+ROUND(Source!AE168*Source!I168, 2))), 2)</f>
        <v>134.75</v>
      </c>
      <c r="T579">
        <f>Source!X168</f>
        <v>960.8</v>
      </c>
      <c r="U579">
        <f>ROUND((Source!FY168/100)*((ROUND(Source!AF168*Source!I168, 2)+ROUND(Source!AE168*Source!I168, 2))), 2)</f>
        <v>92.2</v>
      </c>
      <c r="V579">
        <f>Source!Y168</f>
        <v>657.39</v>
      </c>
    </row>
    <row r="580" spans="1:26" x14ac:dyDescent="0.2">
      <c r="C580" s="26" t="str">
        <f>"Объем: "&amp;Source!I168&amp;"=12/"&amp;"100"</f>
        <v>Объем: 0,12=12/100</v>
      </c>
    </row>
    <row r="581" spans="1:26" ht="14.25" x14ac:dyDescent="0.2">
      <c r="A581" s="49"/>
      <c r="B581" s="50"/>
      <c r="C581" s="50" t="s">
        <v>1783</v>
      </c>
      <c r="D581" s="33"/>
      <c r="E581" s="11"/>
      <c r="F581" s="34">
        <f>Source!AO168</f>
        <v>1174.53</v>
      </c>
      <c r="G581" s="35" t="str">
        <f>Source!DG168</f>
        <v/>
      </c>
      <c r="H581" s="34">
        <f>ROUND(Source!AF168*Source!I168, 2)</f>
        <v>140.94</v>
      </c>
      <c r="I581" s="35"/>
      <c r="J581" s="35">
        <f>IF(Source!BA168&lt;&gt; 0, Source!BA168, 1)</f>
        <v>7.13</v>
      </c>
      <c r="K581" s="34">
        <f>Source!S168</f>
        <v>1004.93</v>
      </c>
      <c r="L581" s="36"/>
      <c r="R581">
        <f>H581</f>
        <v>140.94</v>
      </c>
    </row>
    <row r="582" spans="1:26" ht="14.25" x14ac:dyDescent="0.2">
      <c r="A582" s="49"/>
      <c r="B582" s="50"/>
      <c r="C582" s="50" t="s">
        <v>449</v>
      </c>
      <c r="D582" s="33"/>
      <c r="E582" s="11"/>
      <c r="F582" s="34">
        <f>Source!AM168</f>
        <v>53.31</v>
      </c>
      <c r="G582" s="35" t="str">
        <f>Source!DE168</f>
        <v/>
      </c>
      <c r="H582" s="34">
        <f>ROUND(Source!AD168*Source!I168, 2)</f>
        <v>6.4</v>
      </c>
      <c r="I582" s="35"/>
      <c r="J582" s="35">
        <f>IF(Source!BB168&lt;&gt; 0, Source!BB168, 1)</f>
        <v>7.13</v>
      </c>
      <c r="K582" s="34">
        <f>Source!Q168</f>
        <v>45.61</v>
      </c>
      <c r="L582" s="36"/>
    </row>
    <row r="583" spans="1:26" ht="14.25" x14ac:dyDescent="0.2">
      <c r="A583" s="49"/>
      <c r="B583" s="50"/>
      <c r="C583" s="50" t="s">
        <v>1784</v>
      </c>
      <c r="D583" s="33"/>
      <c r="E583" s="11"/>
      <c r="F583" s="34">
        <f>Source!AN168</f>
        <v>7.53</v>
      </c>
      <c r="G583" s="35" t="str">
        <f>Source!DF168</f>
        <v/>
      </c>
      <c r="H583" s="37">
        <f>ROUND(Source!AE168*Source!I168, 2)</f>
        <v>0.9</v>
      </c>
      <c r="I583" s="35"/>
      <c r="J583" s="35">
        <f>IF(Source!BS168&lt;&gt; 0, Source!BS168, 1)</f>
        <v>7.13</v>
      </c>
      <c r="K583" s="37">
        <f>Source!R168</f>
        <v>6.44</v>
      </c>
      <c r="L583" s="36"/>
      <c r="R583">
        <f>H583</f>
        <v>0.9</v>
      </c>
    </row>
    <row r="584" spans="1:26" ht="14.25" x14ac:dyDescent="0.2">
      <c r="A584" s="49"/>
      <c r="B584" s="50"/>
      <c r="C584" s="50" t="s">
        <v>1790</v>
      </c>
      <c r="D584" s="33"/>
      <c r="E584" s="11"/>
      <c r="F584" s="34">
        <f>Source!AL168</f>
        <v>136.1</v>
      </c>
      <c r="G584" s="35" t="str">
        <f>Source!DD168</f>
        <v/>
      </c>
      <c r="H584" s="34">
        <f>ROUND(Source!AC168*Source!I168, 2)</f>
        <v>16.329999999999998</v>
      </c>
      <c r="I584" s="35"/>
      <c r="J584" s="35">
        <f>IF(Source!BC168&lt;&gt; 0, Source!BC168, 1)</f>
        <v>7.13</v>
      </c>
      <c r="K584" s="34">
        <f>Source!P168</f>
        <v>116.45</v>
      </c>
      <c r="L584" s="36"/>
    </row>
    <row r="585" spans="1:26" ht="14.25" x14ac:dyDescent="0.2">
      <c r="A585" s="49"/>
      <c r="B585" s="50"/>
      <c r="C585" s="50" t="s">
        <v>1785</v>
      </c>
      <c r="D585" s="33" t="s">
        <v>1786</v>
      </c>
      <c r="E585" s="11">
        <f>Source!BZ168</f>
        <v>95</v>
      </c>
      <c r="F585" s="53"/>
      <c r="G585" s="35"/>
      <c r="H585" s="34">
        <f>SUM(S579:S589)</f>
        <v>134.75</v>
      </c>
      <c r="I585" s="38"/>
      <c r="J585" s="31">
        <f>Source!AT168</f>
        <v>95</v>
      </c>
      <c r="K585" s="34">
        <f>SUM(T579:T589)</f>
        <v>960.8</v>
      </c>
      <c r="L585" s="36"/>
    </row>
    <row r="586" spans="1:26" ht="14.25" x14ac:dyDescent="0.2">
      <c r="A586" s="49"/>
      <c r="B586" s="50"/>
      <c r="C586" s="50" t="s">
        <v>1787</v>
      </c>
      <c r="D586" s="33" t="s">
        <v>1786</v>
      </c>
      <c r="E586" s="11">
        <f>Source!CA168</f>
        <v>65</v>
      </c>
      <c r="F586" s="53"/>
      <c r="G586" s="35"/>
      <c r="H586" s="34">
        <f>SUM(U579:U589)</f>
        <v>92.2</v>
      </c>
      <c r="I586" s="38"/>
      <c r="J586" s="31">
        <f>Source!AU168</f>
        <v>65</v>
      </c>
      <c r="K586" s="34">
        <f>SUM(V579:V589)</f>
        <v>657.39</v>
      </c>
      <c r="L586" s="36"/>
    </row>
    <row r="587" spans="1:26" ht="14.25" x14ac:dyDescent="0.2">
      <c r="A587" s="49"/>
      <c r="B587" s="50"/>
      <c r="C587" s="50" t="s">
        <v>1788</v>
      </c>
      <c r="D587" s="33" t="s">
        <v>1789</v>
      </c>
      <c r="E587" s="11">
        <f>Source!AQ168</f>
        <v>118.4</v>
      </c>
      <c r="F587" s="34"/>
      <c r="G587" s="35" t="str">
        <f>Source!DI168</f>
        <v/>
      </c>
      <c r="H587" s="34"/>
      <c r="I587" s="35"/>
      <c r="J587" s="35"/>
      <c r="K587" s="34"/>
      <c r="L587" s="45">
        <f>Source!U168</f>
        <v>14.208</v>
      </c>
    </row>
    <row r="588" spans="1:26" ht="57" x14ac:dyDescent="0.2">
      <c r="A588" s="49" t="str">
        <f>Source!E169</f>
        <v>58,1</v>
      </c>
      <c r="B588" s="50" t="str">
        <f>Source!F169</f>
        <v>20.3.03.04-0161</v>
      </c>
      <c r="C588" s="50" t="str">
        <f>Source!G169</f>
        <v>Светильники внутреннего освещения с люминесцентными лампами пылевлагозащитные Svetresurs 343-502-02</v>
      </c>
      <c r="D588" s="33" t="str">
        <f>Source!H169</f>
        <v>шт.</v>
      </c>
      <c r="E588" s="11">
        <f>Source!I169</f>
        <v>8</v>
      </c>
      <c r="F588" s="34">
        <f>Source!AL169+Source!AM169+Source!AO169</f>
        <v>324.5</v>
      </c>
      <c r="G588" s="48" t="s">
        <v>6</v>
      </c>
      <c r="H588" s="34">
        <f>ROUND(Source!AC169*Source!I169, 2)+ROUND(Source!AD169*Source!I169, 2)+ROUND(Source!AF169*Source!I169, 2)</f>
        <v>2596</v>
      </c>
      <c r="I588" s="35"/>
      <c r="J588" s="35">
        <f>IF(Source!BC169&lt;&gt; 0, Source!BC169, 1)</f>
        <v>7.13</v>
      </c>
      <c r="K588" s="34">
        <f>Source!O169</f>
        <v>18509.48</v>
      </c>
      <c r="L588" s="36"/>
      <c r="S588">
        <f>ROUND((Source!FX169/100)*((ROUND(Source!AF169*Source!I169, 2)+ROUND(Source!AE169*Source!I169, 2))), 2)</f>
        <v>0</v>
      </c>
      <c r="T588">
        <f>Source!X169</f>
        <v>0</v>
      </c>
      <c r="U588">
        <f>ROUND((Source!FY169/100)*((ROUND(Source!AF169*Source!I169, 2)+ROUND(Source!AE169*Source!I169, 2))), 2)</f>
        <v>0</v>
      </c>
      <c r="V588">
        <f>Source!Y169</f>
        <v>0</v>
      </c>
      <c r="W588">
        <f>IF(Source!BI169&lt;=1,H588, 0)</f>
        <v>0</v>
      </c>
      <c r="X588">
        <f>IF(Source!BI169=2,H588, 0)</f>
        <v>2596</v>
      </c>
      <c r="Y588">
        <f>IF(Source!BI169=3,H588, 0)</f>
        <v>0</v>
      </c>
      <c r="Z588">
        <f>IF(Source!BI169=4,H588, 0)</f>
        <v>0</v>
      </c>
    </row>
    <row r="589" spans="1:26" ht="28.5" x14ac:dyDescent="0.2">
      <c r="A589" s="51" t="str">
        <f>Source!E170</f>
        <v>58,2</v>
      </c>
      <c r="B589" s="52" t="str">
        <f>Source!F170</f>
        <v>20.3.03.04-0072</v>
      </c>
      <c r="C589" s="52" t="str">
        <f>Source!G170</f>
        <v>Светильник ЛСП 3902 2х36Вт IP65</v>
      </c>
      <c r="D589" s="39" t="str">
        <f>Source!H170</f>
        <v>шт.</v>
      </c>
      <c r="E589" s="40">
        <f>Source!I170</f>
        <v>4</v>
      </c>
      <c r="F589" s="41">
        <f>Source!AL170+Source!AM170+Source!AO170</f>
        <v>101.96</v>
      </c>
      <c r="G589" s="46" t="s">
        <v>6</v>
      </c>
      <c r="H589" s="41">
        <f>ROUND(Source!AC170*Source!I170, 2)+ROUND(Source!AD170*Source!I170, 2)+ROUND(Source!AF170*Source!I170, 2)</f>
        <v>407.84</v>
      </c>
      <c r="I589" s="42"/>
      <c r="J589" s="42">
        <f>IF(Source!BC170&lt;&gt; 0, Source!BC170, 1)</f>
        <v>7.13</v>
      </c>
      <c r="K589" s="41">
        <f>Source!O170</f>
        <v>2907.9</v>
      </c>
      <c r="L589" s="47"/>
      <c r="S589">
        <f>ROUND((Source!FX170/100)*((ROUND(Source!AF170*Source!I170, 2)+ROUND(Source!AE170*Source!I170, 2))), 2)</f>
        <v>0</v>
      </c>
      <c r="T589">
        <f>Source!X170</f>
        <v>0</v>
      </c>
      <c r="U589">
        <f>ROUND((Source!FY170/100)*((ROUND(Source!AF170*Source!I170, 2)+ROUND(Source!AE170*Source!I170, 2))), 2)</f>
        <v>0</v>
      </c>
      <c r="V589">
        <f>Source!Y170</f>
        <v>0</v>
      </c>
      <c r="W589">
        <f>IF(Source!BI170&lt;=1,H589, 0)</f>
        <v>0</v>
      </c>
      <c r="X589">
        <f>IF(Source!BI170=2,H589, 0)</f>
        <v>407.84</v>
      </c>
      <c r="Y589">
        <f>IF(Source!BI170=3,H589, 0)</f>
        <v>0</v>
      </c>
      <c r="Z589">
        <f>IF(Source!BI170=4,H589, 0)</f>
        <v>0</v>
      </c>
    </row>
    <row r="590" spans="1:26" ht="15" x14ac:dyDescent="0.25">
      <c r="G590" s="87">
        <f>H581+H582+H584+H585+H586+SUM(H588:H589)</f>
        <v>3394.46</v>
      </c>
      <c r="H590" s="87"/>
      <c r="J590" s="87">
        <f>K581+K582+K584+K585+K586+SUM(K588:K589)</f>
        <v>24202.560000000001</v>
      </c>
      <c r="K590" s="87"/>
      <c r="L590" s="44">
        <f>Source!U168</f>
        <v>14.208</v>
      </c>
      <c r="O590" s="27">
        <f>G590</f>
        <v>3394.46</v>
      </c>
      <c r="P590" s="27">
        <f>J590</f>
        <v>24202.560000000001</v>
      </c>
      <c r="Q590" s="27">
        <f>L590</f>
        <v>14.208</v>
      </c>
      <c r="W590">
        <f>IF(Source!BI168&lt;=1,H581+H582+H584+H585+H586, 0)</f>
        <v>0</v>
      </c>
      <c r="X590">
        <f>IF(Source!BI168=2,H581+H582+H584+H585+H586, 0)</f>
        <v>390.62</v>
      </c>
      <c r="Y590">
        <f>IF(Source!BI168=3,H581+H582+H584+H585+H586, 0)</f>
        <v>0</v>
      </c>
      <c r="Z590">
        <f>IF(Source!BI168=4,H581+H582+H584+H585+H586, 0)</f>
        <v>0</v>
      </c>
    </row>
    <row r="591" spans="1:26" ht="57" x14ac:dyDescent="0.2">
      <c r="A591" s="49" t="str">
        <f>Source!E171</f>
        <v>59</v>
      </c>
      <c r="B591" s="50" t="str">
        <f>Source!F171</f>
        <v>м08-03-594-08</v>
      </c>
      <c r="C591" s="50" t="str">
        <f>Source!G171</f>
        <v>Установка светильников  отдельно устанавливаемых на подвесах (штангах) с количеством ламп в светильнике до 4</v>
      </c>
      <c r="D591" s="33" t="str">
        <f>Source!H171</f>
        <v>100 ШТ</v>
      </c>
      <c r="E591" s="11">
        <f>Source!I171</f>
        <v>0.34</v>
      </c>
      <c r="F591" s="34">
        <f>Source!AL171+Source!AM171+Source!AO171</f>
        <v>1663.44</v>
      </c>
      <c r="G591" s="35"/>
      <c r="H591" s="34"/>
      <c r="I591" s="35" t="str">
        <f>Source!BO171</f>
        <v/>
      </c>
      <c r="J591" s="35"/>
      <c r="K591" s="34"/>
      <c r="L591" s="36"/>
      <c r="S591">
        <f>ROUND((Source!FX171/100)*((ROUND(Source!AF171*Source!I171, 2)+ROUND(Source!AE171*Source!I171, 2))), 2)</f>
        <v>476.64</v>
      </c>
      <c r="T591">
        <f>Source!X171</f>
        <v>3398.49</v>
      </c>
      <c r="U591">
        <f>ROUND((Source!FY171/100)*((ROUND(Source!AF171*Source!I171, 2)+ROUND(Source!AE171*Source!I171, 2))), 2)</f>
        <v>326.12</v>
      </c>
      <c r="V591">
        <f>Source!Y171</f>
        <v>2325.2800000000002</v>
      </c>
    </row>
    <row r="592" spans="1:26" x14ac:dyDescent="0.2">
      <c r="C592" s="26" t="str">
        <f>"Объем: "&amp;Source!I171&amp;"=34/"&amp;"100"</f>
        <v>Объем: 0,34=34/100</v>
      </c>
    </row>
    <row r="593" spans="1:26" ht="14.25" x14ac:dyDescent="0.2">
      <c r="A593" s="49"/>
      <c r="B593" s="50"/>
      <c r="C593" s="50" t="s">
        <v>1783</v>
      </c>
      <c r="D593" s="33"/>
      <c r="E593" s="11"/>
      <c r="F593" s="34">
        <f>Source!AO171</f>
        <v>1468.16</v>
      </c>
      <c r="G593" s="35" t="str">
        <f>Source!DG171</f>
        <v/>
      </c>
      <c r="H593" s="34">
        <f>ROUND(Source!AF171*Source!I171, 2)</f>
        <v>499.17</v>
      </c>
      <c r="I593" s="35"/>
      <c r="J593" s="35">
        <f>IF(Source!BA171&lt;&gt; 0, Source!BA171, 1)</f>
        <v>7.13</v>
      </c>
      <c r="K593" s="34">
        <f>Source!S171</f>
        <v>3559.11</v>
      </c>
      <c r="L593" s="36"/>
      <c r="R593">
        <f>H593</f>
        <v>499.17</v>
      </c>
    </row>
    <row r="594" spans="1:26" ht="14.25" x14ac:dyDescent="0.2">
      <c r="A594" s="49"/>
      <c r="B594" s="50"/>
      <c r="C594" s="50" t="s">
        <v>449</v>
      </c>
      <c r="D594" s="33"/>
      <c r="E594" s="11"/>
      <c r="F594" s="34">
        <f>Source!AM171</f>
        <v>53.31</v>
      </c>
      <c r="G594" s="35" t="str">
        <f>Source!DE171</f>
        <v/>
      </c>
      <c r="H594" s="34">
        <f>ROUND(Source!AD171*Source!I171, 2)</f>
        <v>18.13</v>
      </c>
      <c r="I594" s="35"/>
      <c r="J594" s="35">
        <f>IF(Source!BB171&lt;&gt; 0, Source!BB171, 1)</f>
        <v>7.13</v>
      </c>
      <c r="K594" s="34">
        <f>Source!Q171</f>
        <v>129.22999999999999</v>
      </c>
      <c r="L594" s="36"/>
    </row>
    <row r="595" spans="1:26" ht="14.25" x14ac:dyDescent="0.2">
      <c r="A595" s="49"/>
      <c r="B595" s="50"/>
      <c r="C595" s="50" t="s">
        <v>1784</v>
      </c>
      <c r="D595" s="33"/>
      <c r="E595" s="11"/>
      <c r="F595" s="34">
        <f>Source!AN171</f>
        <v>7.53</v>
      </c>
      <c r="G595" s="35" t="str">
        <f>Source!DF171</f>
        <v/>
      </c>
      <c r="H595" s="37">
        <f>ROUND(Source!AE171*Source!I171, 2)</f>
        <v>2.56</v>
      </c>
      <c r="I595" s="35"/>
      <c r="J595" s="35">
        <f>IF(Source!BS171&lt;&gt; 0, Source!BS171, 1)</f>
        <v>7.13</v>
      </c>
      <c r="K595" s="37">
        <f>Source!R171</f>
        <v>18.25</v>
      </c>
      <c r="L595" s="36"/>
      <c r="R595">
        <f>H595</f>
        <v>2.56</v>
      </c>
    </row>
    <row r="596" spans="1:26" ht="14.25" x14ac:dyDescent="0.2">
      <c r="A596" s="49"/>
      <c r="B596" s="50"/>
      <c r="C596" s="50" t="s">
        <v>1790</v>
      </c>
      <c r="D596" s="33"/>
      <c r="E596" s="11"/>
      <c r="F596" s="34">
        <f>Source!AL171</f>
        <v>141.97</v>
      </c>
      <c r="G596" s="35" t="str">
        <f>Source!DD171</f>
        <v/>
      </c>
      <c r="H596" s="34">
        <f>ROUND(Source!AC171*Source!I171, 2)</f>
        <v>48.27</v>
      </c>
      <c r="I596" s="35"/>
      <c r="J596" s="35">
        <f>IF(Source!BC171&lt;&gt; 0, Source!BC171, 1)</f>
        <v>7.13</v>
      </c>
      <c r="K596" s="34">
        <f>Source!P171</f>
        <v>344.16</v>
      </c>
      <c r="L596" s="36"/>
    </row>
    <row r="597" spans="1:26" ht="14.25" x14ac:dyDescent="0.2">
      <c r="A597" s="49"/>
      <c r="B597" s="50"/>
      <c r="C597" s="50" t="s">
        <v>1785</v>
      </c>
      <c r="D597" s="33" t="s">
        <v>1786</v>
      </c>
      <c r="E597" s="11">
        <f>Source!BZ171</f>
        <v>95</v>
      </c>
      <c r="F597" s="53"/>
      <c r="G597" s="35"/>
      <c r="H597" s="34">
        <f>SUM(S591:S600)</f>
        <v>476.64</v>
      </c>
      <c r="I597" s="38"/>
      <c r="J597" s="31">
        <f>Source!AT171</f>
        <v>95</v>
      </c>
      <c r="K597" s="34">
        <f>SUM(T591:T600)</f>
        <v>3398.49</v>
      </c>
      <c r="L597" s="36"/>
    </row>
    <row r="598" spans="1:26" ht="14.25" x14ac:dyDescent="0.2">
      <c r="A598" s="49"/>
      <c r="B598" s="50"/>
      <c r="C598" s="50" t="s">
        <v>1787</v>
      </c>
      <c r="D598" s="33" t="s">
        <v>1786</v>
      </c>
      <c r="E598" s="11">
        <f>Source!CA171</f>
        <v>65</v>
      </c>
      <c r="F598" s="53"/>
      <c r="G598" s="35"/>
      <c r="H598" s="34">
        <f>SUM(U591:U600)</f>
        <v>326.12</v>
      </c>
      <c r="I598" s="38"/>
      <c r="J598" s="31">
        <f>Source!AU171</f>
        <v>65</v>
      </c>
      <c r="K598" s="34">
        <f>SUM(V591:V600)</f>
        <v>2325.2800000000002</v>
      </c>
      <c r="L598" s="36"/>
    </row>
    <row r="599" spans="1:26" ht="14.25" x14ac:dyDescent="0.2">
      <c r="A599" s="49"/>
      <c r="B599" s="50"/>
      <c r="C599" s="50" t="s">
        <v>1788</v>
      </c>
      <c r="D599" s="33" t="s">
        <v>1789</v>
      </c>
      <c r="E599" s="11">
        <f>Source!AQ171</f>
        <v>148</v>
      </c>
      <c r="F599" s="34"/>
      <c r="G599" s="35" t="str">
        <f>Source!DI171</f>
        <v/>
      </c>
      <c r="H599" s="34"/>
      <c r="I599" s="35"/>
      <c r="J599" s="35"/>
      <c r="K599" s="34"/>
      <c r="L599" s="45">
        <f>Source!U171</f>
        <v>50.32</v>
      </c>
    </row>
    <row r="600" spans="1:26" ht="42.75" x14ac:dyDescent="0.2">
      <c r="A600" s="51" t="str">
        <f>Source!E172</f>
        <v>59,1</v>
      </c>
      <c r="B600" s="52" t="str">
        <f>Source!F172</f>
        <v>20.3.03.04-0397</v>
      </c>
      <c r="C600" s="52" t="str">
        <f>Source!G172</f>
        <v>Светильники люминесцентные с опаловым рассеивателем потолочные типа OPL/S 418 с ЭМПРА</v>
      </c>
      <c r="D600" s="39" t="str">
        <f>Source!H172</f>
        <v>шт.</v>
      </c>
      <c r="E600" s="40">
        <f>Source!I172</f>
        <v>34</v>
      </c>
      <c r="F600" s="41">
        <f>Source!AL172+Source!AM172+Source!AO172</f>
        <v>341.02</v>
      </c>
      <c r="G600" s="46" t="s">
        <v>6</v>
      </c>
      <c r="H600" s="41">
        <f>ROUND(Source!AC172*Source!I172, 2)+ROUND(Source!AD172*Source!I172, 2)+ROUND(Source!AF172*Source!I172, 2)</f>
        <v>11594.68</v>
      </c>
      <c r="I600" s="42"/>
      <c r="J600" s="42">
        <f>IF(Source!BC172&lt;&gt; 0, Source!BC172, 1)</f>
        <v>7.13</v>
      </c>
      <c r="K600" s="41">
        <f>Source!O172</f>
        <v>82670.070000000007</v>
      </c>
      <c r="L600" s="47"/>
      <c r="S600">
        <f>ROUND((Source!FX172/100)*((ROUND(Source!AF172*Source!I172, 2)+ROUND(Source!AE172*Source!I172, 2))), 2)</f>
        <v>0</v>
      </c>
      <c r="T600">
        <f>Source!X172</f>
        <v>0</v>
      </c>
      <c r="U600">
        <f>ROUND((Source!FY172/100)*((ROUND(Source!AF172*Source!I172, 2)+ROUND(Source!AE172*Source!I172, 2))), 2)</f>
        <v>0</v>
      </c>
      <c r="V600">
        <f>Source!Y172</f>
        <v>0</v>
      </c>
      <c r="W600">
        <f>IF(Source!BI172&lt;=1,H600, 0)</f>
        <v>0</v>
      </c>
      <c r="X600">
        <f>IF(Source!BI172=2,H600, 0)</f>
        <v>11594.68</v>
      </c>
      <c r="Y600">
        <f>IF(Source!BI172=3,H600, 0)</f>
        <v>0</v>
      </c>
      <c r="Z600">
        <f>IF(Source!BI172=4,H600, 0)</f>
        <v>0</v>
      </c>
    </row>
    <row r="601" spans="1:26" ht="15" x14ac:dyDescent="0.25">
      <c r="G601" s="87">
        <f>H593+H594+H596+H597+H598+SUM(H600:H600)</f>
        <v>12963.01</v>
      </c>
      <c r="H601" s="87"/>
      <c r="J601" s="87">
        <f>K593+K594+K596+K597+K598+SUM(K600:K600)</f>
        <v>92426.340000000011</v>
      </c>
      <c r="K601" s="87"/>
      <c r="L601" s="44">
        <f>Source!U171</f>
        <v>50.32</v>
      </c>
      <c r="O601" s="27">
        <f>G601</f>
        <v>12963.01</v>
      </c>
      <c r="P601" s="27">
        <f>J601</f>
        <v>92426.340000000011</v>
      </c>
      <c r="Q601" s="27">
        <f>L601</f>
        <v>50.32</v>
      </c>
      <c r="W601">
        <f>IF(Source!BI171&lt;=1,H593+H594+H596+H597+H598, 0)</f>
        <v>0</v>
      </c>
      <c r="X601">
        <f>IF(Source!BI171=2,H593+H594+H596+H597+H598, 0)</f>
        <v>1368.33</v>
      </c>
      <c r="Y601">
        <f>IF(Source!BI171=3,H593+H594+H596+H597+H598, 0)</f>
        <v>0</v>
      </c>
      <c r="Z601">
        <f>IF(Source!BI171=4,H593+H594+H596+H597+H598, 0)</f>
        <v>0</v>
      </c>
    </row>
    <row r="602" spans="1:26" ht="28.5" x14ac:dyDescent="0.2">
      <c r="A602" s="49" t="str">
        <f>Source!E173</f>
        <v>60</v>
      </c>
      <c r="B602" s="50" t="str">
        <f>Source!F173</f>
        <v>м08-03-593-10</v>
      </c>
      <c r="C602" s="50" t="str">
        <f>Source!G173</f>
        <v>Установка световых настенных указателей</v>
      </c>
      <c r="D602" s="33" t="str">
        <f>Source!H173</f>
        <v>100 ШТ</v>
      </c>
      <c r="E602" s="11">
        <f>Source!I173</f>
        <v>0.03</v>
      </c>
      <c r="F602" s="34">
        <f>Source!AL173+Source!AM173+Source!AO173</f>
        <v>1335.26</v>
      </c>
      <c r="G602" s="35"/>
      <c r="H602" s="34"/>
      <c r="I602" s="35" t="str">
        <f>Source!BO173</f>
        <v/>
      </c>
      <c r="J602" s="35"/>
      <c r="K602" s="34"/>
      <c r="L602" s="36"/>
      <c r="S602">
        <f>ROUND((Source!FX173/100)*((ROUND(Source!AF173*Source!I173, 2)+ROUND(Source!AE173*Source!I173, 2))), 2)</f>
        <v>22.35</v>
      </c>
      <c r="T602">
        <f>Source!X173</f>
        <v>159.38</v>
      </c>
      <c r="U602">
        <f>ROUND((Source!FY173/100)*((ROUND(Source!AF173*Source!I173, 2)+ROUND(Source!AE173*Source!I173, 2))), 2)</f>
        <v>15.29</v>
      </c>
      <c r="V602">
        <f>Source!Y173</f>
        <v>109.05</v>
      </c>
    </row>
    <row r="603" spans="1:26" x14ac:dyDescent="0.2">
      <c r="C603" s="26" t="str">
        <f>"Объем: "&amp;Source!I173&amp;"=3/"&amp;"100"</f>
        <v>Объем: 0,03=3/100</v>
      </c>
    </row>
    <row r="604" spans="1:26" ht="14.25" x14ac:dyDescent="0.2">
      <c r="A604" s="49"/>
      <c r="B604" s="50"/>
      <c r="C604" s="50" t="s">
        <v>1783</v>
      </c>
      <c r="D604" s="33"/>
      <c r="E604" s="11"/>
      <c r="F604" s="34">
        <f>Source!AO173</f>
        <v>779.32</v>
      </c>
      <c r="G604" s="35" t="str">
        <f>Source!DG173</f>
        <v/>
      </c>
      <c r="H604" s="34">
        <f>ROUND(Source!AF173*Source!I173, 2)</f>
        <v>23.38</v>
      </c>
      <c r="I604" s="35"/>
      <c r="J604" s="35">
        <f>IF(Source!BA173&lt;&gt; 0, Source!BA173, 1)</f>
        <v>7.13</v>
      </c>
      <c r="K604" s="34">
        <f>Source!S173</f>
        <v>166.7</v>
      </c>
      <c r="L604" s="36"/>
      <c r="R604">
        <f>H604</f>
        <v>23.38</v>
      </c>
    </row>
    <row r="605" spans="1:26" ht="14.25" x14ac:dyDescent="0.2">
      <c r="A605" s="49"/>
      <c r="B605" s="50"/>
      <c r="C605" s="50" t="s">
        <v>449</v>
      </c>
      <c r="D605" s="33"/>
      <c r="E605" s="11"/>
      <c r="F605" s="34">
        <f>Source!AM173</f>
        <v>35.54</v>
      </c>
      <c r="G605" s="35" t="str">
        <f>Source!DE173</f>
        <v/>
      </c>
      <c r="H605" s="34">
        <f>ROUND(Source!AD173*Source!I173, 2)</f>
        <v>1.07</v>
      </c>
      <c r="I605" s="35"/>
      <c r="J605" s="35">
        <f>IF(Source!BB173&lt;&gt; 0, Source!BB173, 1)</f>
        <v>7.13</v>
      </c>
      <c r="K605" s="34">
        <f>Source!Q173</f>
        <v>7.6</v>
      </c>
      <c r="L605" s="36"/>
    </row>
    <row r="606" spans="1:26" ht="14.25" x14ac:dyDescent="0.2">
      <c r="A606" s="49"/>
      <c r="B606" s="50"/>
      <c r="C606" s="50" t="s">
        <v>1784</v>
      </c>
      <c r="D606" s="33"/>
      <c r="E606" s="11"/>
      <c r="F606" s="34">
        <f>Source!AN173</f>
        <v>5.0199999999999996</v>
      </c>
      <c r="G606" s="35" t="str">
        <f>Source!DF173</f>
        <v/>
      </c>
      <c r="H606" s="37">
        <f>ROUND(Source!AE173*Source!I173, 2)</f>
        <v>0.15</v>
      </c>
      <c r="I606" s="35"/>
      <c r="J606" s="35">
        <f>IF(Source!BS173&lt;&gt; 0, Source!BS173, 1)</f>
        <v>7.13</v>
      </c>
      <c r="K606" s="37">
        <f>Source!R173</f>
        <v>1.07</v>
      </c>
      <c r="L606" s="36"/>
      <c r="R606">
        <f>H606</f>
        <v>0.15</v>
      </c>
    </row>
    <row r="607" spans="1:26" ht="14.25" x14ac:dyDescent="0.2">
      <c r="A607" s="49"/>
      <c r="B607" s="50"/>
      <c r="C607" s="50" t="s">
        <v>1790</v>
      </c>
      <c r="D607" s="33"/>
      <c r="E607" s="11"/>
      <c r="F607" s="34">
        <f>Source!AL173</f>
        <v>520.4</v>
      </c>
      <c r="G607" s="35" t="str">
        <f>Source!DD173</f>
        <v/>
      </c>
      <c r="H607" s="34">
        <f>ROUND(Source!AC173*Source!I173, 2)</f>
        <v>15.61</v>
      </c>
      <c r="I607" s="35"/>
      <c r="J607" s="35">
        <f>IF(Source!BC173&lt;&gt; 0, Source!BC173, 1)</f>
        <v>7.13</v>
      </c>
      <c r="K607" s="34">
        <f>Source!P173</f>
        <v>111.31</v>
      </c>
      <c r="L607" s="36"/>
    </row>
    <row r="608" spans="1:26" ht="14.25" x14ac:dyDescent="0.2">
      <c r="A608" s="49"/>
      <c r="B608" s="50"/>
      <c r="C608" s="50" t="s">
        <v>1785</v>
      </c>
      <c r="D608" s="33" t="s">
        <v>1786</v>
      </c>
      <c r="E608" s="11">
        <f>Source!BZ173</f>
        <v>95</v>
      </c>
      <c r="F608" s="53"/>
      <c r="G608" s="35"/>
      <c r="H608" s="34">
        <f>SUM(S602:S611)</f>
        <v>22.35</v>
      </c>
      <c r="I608" s="38"/>
      <c r="J608" s="31">
        <f>Source!AT173</f>
        <v>95</v>
      </c>
      <c r="K608" s="34">
        <f>SUM(T602:T611)</f>
        <v>159.38</v>
      </c>
      <c r="L608" s="36"/>
    </row>
    <row r="609" spans="1:26" ht="14.25" x14ac:dyDescent="0.2">
      <c r="A609" s="49"/>
      <c r="B609" s="50"/>
      <c r="C609" s="50" t="s">
        <v>1787</v>
      </c>
      <c r="D609" s="33" t="s">
        <v>1786</v>
      </c>
      <c r="E609" s="11">
        <f>Source!CA173</f>
        <v>65</v>
      </c>
      <c r="F609" s="53"/>
      <c r="G609" s="35"/>
      <c r="H609" s="34">
        <f>SUM(U602:U611)</f>
        <v>15.29</v>
      </c>
      <c r="I609" s="38"/>
      <c r="J609" s="31">
        <f>Source!AU173</f>
        <v>65</v>
      </c>
      <c r="K609" s="34">
        <f>SUM(V602:V611)</f>
        <v>109.05</v>
      </c>
      <c r="L609" s="36"/>
    </row>
    <row r="610" spans="1:26" ht="14.25" x14ac:dyDescent="0.2">
      <c r="A610" s="49"/>
      <c r="B610" s="50"/>
      <c r="C610" s="50" t="s">
        <v>1788</v>
      </c>
      <c r="D610" s="33" t="s">
        <v>1789</v>
      </c>
      <c r="E610" s="11">
        <f>Source!AQ173</f>
        <v>78.56</v>
      </c>
      <c r="F610" s="34"/>
      <c r="G610" s="35" t="str">
        <f>Source!DI173</f>
        <v/>
      </c>
      <c r="H610" s="34"/>
      <c r="I610" s="35"/>
      <c r="J610" s="35"/>
      <c r="K610" s="34"/>
      <c r="L610" s="45">
        <f>Source!U173</f>
        <v>2.3567999999999998</v>
      </c>
    </row>
    <row r="611" spans="1:26" ht="28.5" x14ac:dyDescent="0.2">
      <c r="A611" s="51" t="str">
        <f>Source!E174</f>
        <v>60,1</v>
      </c>
      <c r="B611" s="52" t="str">
        <f>Source!F174</f>
        <v>20.3.04.07-0006</v>
      </c>
      <c r="C611" s="52" t="str">
        <f>Source!G174</f>
        <v>Указатель световой со светодиодами и аккумулятором, тип ДБО 02-1-005</v>
      </c>
      <c r="D611" s="39" t="str">
        <f>Source!H174</f>
        <v>шт.</v>
      </c>
      <c r="E611" s="40">
        <f>Source!I174</f>
        <v>3</v>
      </c>
      <c r="F611" s="41">
        <f>Source!AL174+Source!AM174+Source!AO174</f>
        <v>331.38</v>
      </c>
      <c r="G611" s="46" t="s">
        <v>6</v>
      </c>
      <c r="H611" s="41">
        <f>ROUND(Source!AC174*Source!I174, 2)+ROUND(Source!AD174*Source!I174, 2)+ROUND(Source!AF174*Source!I174, 2)</f>
        <v>994.14</v>
      </c>
      <c r="I611" s="42"/>
      <c r="J611" s="42">
        <f>IF(Source!BC174&lt;&gt; 0, Source!BC174, 1)</f>
        <v>7.13</v>
      </c>
      <c r="K611" s="41">
        <f>Source!O174</f>
        <v>7088.22</v>
      </c>
      <c r="L611" s="47"/>
      <c r="S611">
        <f>ROUND((Source!FX174/100)*((ROUND(Source!AF174*Source!I174, 2)+ROUND(Source!AE174*Source!I174, 2))), 2)</f>
        <v>0</v>
      </c>
      <c r="T611">
        <f>Source!X174</f>
        <v>0</v>
      </c>
      <c r="U611">
        <f>ROUND((Source!FY174/100)*((ROUND(Source!AF174*Source!I174, 2)+ROUND(Source!AE174*Source!I174, 2))), 2)</f>
        <v>0</v>
      </c>
      <c r="V611">
        <f>Source!Y174</f>
        <v>0</v>
      </c>
      <c r="W611">
        <f>IF(Source!BI174&lt;=1,H611, 0)</f>
        <v>0</v>
      </c>
      <c r="X611">
        <f>IF(Source!BI174=2,H611, 0)</f>
        <v>994.14</v>
      </c>
      <c r="Y611">
        <f>IF(Source!BI174=3,H611, 0)</f>
        <v>0</v>
      </c>
      <c r="Z611">
        <f>IF(Source!BI174=4,H611, 0)</f>
        <v>0</v>
      </c>
    </row>
    <row r="612" spans="1:26" ht="15" x14ac:dyDescent="0.25">
      <c r="G612" s="87">
        <f>H604+H605+H607+H608+H609+SUM(H611:H611)</f>
        <v>1071.8399999999999</v>
      </c>
      <c r="H612" s="87"/>
      <c r="J612" s="87">
        <f>K604+K605+K607+K608+K609+SUM(K611:K611)</f>
        <v>7642.26</v>
      </c>
      <c r="K612" s="87"/>
      <c r="L612" s="44">
        <f>Source!U173</f>
        <v>2.3567999999999998</v>
      </c>
      <c r="O612" s="27">
        <f>G612</f>
        <v>1071.8399999999999</v>
      </c>
      <c r="P612" s="27">
        <f>J612</f>
        <v>7642.26</v>
      </c>
      <c r="Q612" s="27">
        <f>L612</f>
        <v>2.3567999999999998</v>
      </c>
      <c r="W612">
        <f>IF(Source!BI173&lt;=1,H604+H605+H607+H608+H609, 0)</f>
        <v>0</v>
      </c>
      <c r="X612">
        <f>IF(Source!BI173=2,H604+H605+H607+H608+H609, 0)</f>
        <v>77.7</v>
      </c>
      <c r="Y612">
        <f>IF(Source!BI173=3,H604+H605+H607+H608+H609, 0)</f>
        <v>0</v>
      </c>
      <c r="Z612">
        <f>IF(Source!BI173=4,H604+H605+H607+H608+H609, 0)</f>
        <v>0</v>
      </c>
    </row>
    <row r="613" spans="1:26" ht="42.75" x14ac:dyDescent="0.2">
      <c r="A613" s="49" t="str">
        <f>Source!E175</f>
        <v>61</v>
      </c>
      <c r="B613" s="50" t="str">
        <f>Source!F175</f>
        <v>м08-03-591-08</v>
      </c>
      <c r="C613" s="50" t="str">
        <f>Source!G175</f>
        <v>Установка розеток штепсельных неутопленного типа при открытой проводке</v>
      </c>
      <c r="D613" s="33" t="str">
        <f>Source!H175</f>
        <v>100 ШТ</v>
      </c>
      <c r="E613" s="11">
        <f>Source!I175</f>
        <v>0.34</v>
      </c>
      <c r="F613" s="34">
        <f>Source!AL175+Source!AM175+Source!AO175</f>
        <v>453.92999999999995</v>
      </c>
      <c r="G613" s="35"/>
      <c r="H613" s="34"/>
      <c r="I613" s="35" t="str">
        <f>Source!BO175</f>
        <v/>
      </c>
      <c r="J613" s="35"/>
      <c r="K613" s="34"/>
      <c r="L613" s="36"/>
      <c r="S613">
        <f>ROUND((Source!FX175/100)*((ROUND(Source!AF175*Source!I175, 2)+ROUND(Source!AE175*Source!I175, 2))), 2)</f>
        <v>110.95</v>
      </c>
      <c r="T613">
        <f>Source!X175</f>
        <v>791.03</v>
      </c>
      <c r="U613">
        <f>ROUND((Source!FY175/100)*((ROUND(Source!AF175*Source!I175, 2)+ROUND(Source!AE175*Source!I175, 2))), 2)</f>
        <v>75.91</v>
      </c>
      <c r="V613">
        <f>Source!Y175</f>
        <v>541.23</v>
      </c>
    </row>
    <row r="614" spans="1:26" x14ac:dyDescent="0.2">
      <c r="C614" s="26" t="str">
        <f>"Объем: "&amp;Source!I175&amp;"=34/"&amp;"100"</f>
        <v>Объем: 0,34=34/100</v>
      </c>
    </row>
    <row r="615" spans="1:26" ht="14.25" x14ac:dyDescent="0.2">
      <c r="A615" s="49"/>
      <c r="B615" s="50"/>
      <c r="C615" s="50" t="s">
        <v>1783</v>
      </c>
      <c r="D615" s="33"/>
      <c r="E615" s="11"/>
      <c r="F615" s="34">
        <f>Source!AO175</f>
        <v>342.84</v>
      </c>
      <c r="G615" s="35" t="str">
        <f>Source!DG175</f>
        <v/>
      </c>
      <c r="H615" s="34">
        <f>ROUND(Source!AF175*Source!I175, 2)</f>
        <v>116.57</v>
      </c>
      <c r="I615" s="35"/>
      <c r="J615" s="35">
        <f>IF(Source!BA175&lt;&gt; 0, Source!BA175, 1)</f>
        <v>7.13</v>
      </c>
      <c r="K615" s="34">
        <f>Source!S175</f>
        <v>831.11</v>
      </c>
      <c r="L615" s="36"/>
      <c r="R615">
        <f>H615</f>
        <v>116.57</v>
      </c>
    </row>
    <row r="616" spans="1:26" ht="14.25" x14ac:dyDescent="0.2">
      <c r="A616" s="49"/>
      <c r="B616" s="50"/>
      <c r="C616" s="50" t="s">
        <v>449</v>
      </c>
      <c r="D616" s="33"/>
      <c r="E616" s="11"/>
      <c r="F616" s="34">
        <f>Source!AM175</f>
        <v>4.67</v>
      </c>
      <c r="G616" s="35" t="str">
        <f>Source!DE175</f>
        <v/>
      </c>
      <c r="H616" s="34">
        <f>ROUND(Source!AD175*Source!I175, 2)</f>
        <v>1.59</v>
      </c>
      <c r="I616" s="35"/>
      <c r="J616" s="35">
        <f>IF(Source!BB175&lt;&gt; 0, Source!BB175, 1)</f>
        <v>7.13</v>
      </c>
      <c r="K616" s="34">
        <f>Source!Q175</f>
        <v>11.32</v>
      </c>
      <c r="L616" s="36"/>
    </row>
    <row r="617" spans="1:26" ht="14.25" x14ac:dyDescent="0.2">
      <c r="A617" s="49"/>
      <c r="B617" s="50"/>
      <c r="C617" s="50" t="s">
        <v>1784</v>
      </c>
      <c r="D617" s="33"/>
      <c r="E617" s="11"/>
      <c r="F617" s="34">
        <f>Source!AN175</f>
        <v>0.64</v>
      </c>
      <c r="G617" s="35" t="str">
        <f>Source!DF175</f>
        <v/>
      </c>
      <c r="H617" s="37">
        <f>ROUND(Source!AE175*Source!I175, 2)</f>
        <v>0.22</v>
      </c>
      <c r="I617" s="35"/>
      <c r="J617" s="35">
        <f>IF(Source!BS175&lt;&gt; 0, Source!BS175, 1)</f>
        <v>7.13</v>
      </c>
      <c r="K617" s="37">
        <f>Source!R175</f>
        <v>1.55</v>
      </c>
      <c r="L617" s="36"/>
      <c r="R617">
        <f>H617</f>
        <v>0.22</v>
      </c>
    </row>
    <row r="618" spans="1:26" ht="14.25" x14ac:dyDescent="0.2">
      <c r="A618" s="49"/>
      <c r="B618" s="50"/>
      <c r="C618" s="50" t="s">
        <v>1790</v>
      </c>
      <c r="D618" s="33"/>
      <c r="E618" s="11"/>
      <c r="F618" s="34">
        <f>Source!AL175</f>
        <v>106.42</v>
      </c>
      <c r="G618" s="35" t="str">
        <f>Source!DD175</f>
        <v/>
      </c>
      <c r="H618" s="34">
        <f>ROUND(Source!AC175*Source!I175, 2)</f>
        <v>36.18</v>
      </c>
      <c r="I618" s="35"/>
      <c r="J618" s="35">
        <f>IF(Source!BC175&lt;&gt; 0, Source!BC175, 1)</f>
        <v>7.13</v>
      </c>
      <c r="K618" s="34">
        <f>Source!P175</f>
        <v>257.98</v>
      </c>
      <c r="L618" s="36"/>
    </row>
    <row r="619" spans="1:26" ht="14.25" x14ac:dyDescent="0.2">
      <c r="A619" s="49"/>
      <c r="B619" s="50"/>
      <c r="C619" s="50" t="s">
        <v>1785</v>
      </c>
      <c r="D619" s="33" t="s">
        <v>1786</v>
      </c>
      <c r="E619" s="11">
        <f>Source!BZ175</f>
        <v>95</v>
      </c>
      <c r="F619" s="53"/>
      <c r="G619" s="35"/>
      <c r="H619" s="34">
        <f>SUM(S613:S624)</f>
        <v>110.95</v>
      </c>
      <c r="I619" s="38"/>
      <c r="J619" s="31">
        <f>Source!AT175</f>
        <v>95</v>
      </c>
      <c r="K619" s="34">
        <f>SUM(T613:T624)</f>
        <v>791.03</v>
      </c>
      <c r="L619" s="36"/>
    </row>
    <row r="620" spans="1:26" ht="14.25" x14ac:dyDescent="0.2">
      <c r="A620" s="49"/>
      <c r="B620" s="50"/>
      <c r="C620" s="50" t="s">
        <v>1787</v>
      </c>
      <c r="D620" s="33" t="s">
        <v>1786</v>
      </c>
      <c r="E620" s="11">
        <f>Source!CA175</f>
        <v>65</v>
      </c>
      <c r="F620" s="53"/>
      <c r="G620" s="35"/>
      <c r="H620" s="34">
        <f>SUM(U613:U624)</f>
        <v>75.91</v>
      </c>
      <c r="I620" s="38"/>
      <c r="J620" s="31">
        <f>Source!AU175</f>
        <v>65</v>
      </c>
      <c r="K620" s="34">
        <f>SUM(V613:V624)</f>
        <v>541.23</v>
      </c>
      <c r="L620" s="36"/>
    </row>
    <row r="621" spans="1:26" ht="14.25" x14ac:dyDescent="0.2">
      <c r="A621" s="49"/>
      <c r="B621" s="50"/>
      <c r="C621" s="50" t="s">
        <v>1788</v>
      </c>
      <c r="D621" s="33" t="s">
        <v>1789</v>
      </c>
      <c r="E621" s="11">
        <f>Source!AQ175</f>
        <v>34.56</v>
      </c>
      <c r="F621" s="34"/>
      <c r="G621" s="35" t="str">
        <f>Source!DI175</f>
        <v/>
      </c>
      <c r="H621" s="34"/>
      <c r="I621" s="35"/>
      <c r="J621" s="35"/>
      <c r="K621" s="34"/>
      <c r="L621" s="45">
        <f>Source!U175</f>
        <v>11.750400000000001</v>
      </c>
    </row>
    <row r="622" spans="1:26" ht="28.5" x14ac:dyDescent="0.2">
      <c r="A622" s="49" t="str">
        <f>Source!E176</f>
        <v>61,1</v>
      </c>
      <c r="B622" s="50" t="str">
        <f>Source!F176</f>
        <v>20.4.03.05-0003</v>
      </c>
      <c r="C622" s="50" t="str">
        <f>Source!G176</f>
        <v>Розетка открытой проводки двухгнездная с заземлением 16 А IP44</v>
      </c>
      <c r="D622" s="33" t="str">
        <f>Source!H176</f>
        <v>100 шт.</v>
      </c>
      <c r="E622" s="11">
        <f>Source!I176</f>
        <v>0.08</v>
      </c>
      <c r="F622" s="34">
        <f>Source!AL176+Source!AM176+Source!AO176</f>
        <v>2202</v>
      </c>
      <c r="G622" s="48" t="s">
        <v>6</v>
      </c>
      <c r="H622" s="34">
        <f>ROUND(Source!AC176*Source!I176, 2)+ROUND(Source!AD176*Source!I176, 2)+ROUND(Source!AF176*Source!I176, 2)</f>
        <v>176.16</v>
      </c>
      <c r="I622" s="35"/>
      <c r="J622" s="35">
        <f>IF(Source!BC176&lt;&gt; 0, Source!BC176, 1)</f>
        <v>7.13</v>
      </c>
      <c r="K622" s="34">
        <f>Source!O176</f>
        <v>1256.02</v>
      </c>
      <c r="L622" s="36"/>
      <c r="S622">
        <f>ROUND((Source!FX176/100)*((ROUND(Source!AF176*Source!I176, 2)+ROUND(Source!AE176*Source!I176, 2))), 2)</f>
        <v>0</v>
      </c>
      <c r="T622">
        <f>Source!X176</f>
        <v>0</v>
      </c>
      <c r="U622">
        <f>ROUND((Source!FY176/100)*((ROUND(Source!AF176*Source!I176, 2)+ROUND(Source!AE176*Source!I176, 2))), 2)</f>
        <v>0</v>
      </c>
      <c r="V622">
        <f>Source!Y176</f>
        <v>0</v>
      </c>
      <c r="W622">
        <f>IF(Source!BI176&lt;=1,H622, 0)</f>
        <v>0</v>
      </c>
      <c r="X622">
        <f>IF(Source!BI176=2,H622, 0)</f>
        <v>176.16</v>
      </c>
      <c r="Y622">
        <f>IF(Source!BI176=3,H622, 0)</f>
        <v>0</v>
      </c>
      <c r="Z622">
        <f>IF(Source!BI176=4,H622, 0)</f>
        <v>0</v>
      </c>
    </row>
    <row r="623" spans="1:26" ht="28.5" x14ac:dyDescent="0.2">
      <c r="A623" s="49" t="str">
        <f>Source!E177</f>
        <v>61,2</v>
      </c>
      <c r="B623" s="50" t="str">
        <f>Source!F177</f>
        <v>20.4.03.05-0001</v>
      </c>
      <c r="C623" s="50" t="str">
        <f>Source!G177</f>
        <v>Розетка открытой проводки IP21</v>
      </c>
      <c r="D623" s="33" t="str">
        <f>Source!H177</f>
        <v>100 шт.</v>
      </c>
      <c r="E623" s="11">
        <f>Source!I177</f>
        <v>0.24</v>
      </c>
      <c r="F623" s="34">
        <f>Source!AL177+Source!AM177+Source!AO177</f>
        <v>577</v>
      </c>
      <c r="G623" s="48" t="s">
        <v>6</v>
      </c>
      <c r="H623" s="34">
        <f>ROUND(Source!AC177*Source!I177, 2)+ROUND(Source!AD177*Source!I177, 2)+ROUND(Source!AF177*Source!I177, 2)</f>
        <v>138.47999999999999</v>
      </c>
      <c r="I623" s="35"/>
      <c r="J623" s="35">
        <f>IF(Source!BC177&lt;&gt; 0, Source!BC177, 1)</f>
        <v>7.13</v>
      </c>
      <c r="K623" s="34">
        <f>Source!O177</f>
        <v>987.36</v>
      </c>
      <c r="L623" s="36"/>
      <c r="S623">
        <f>ROUND((Source!FX177/100)*((ROUND(Source!AF177*Source!I177, 2)+ROUND(Source!AE177*Source!I177, 2))), 2)</f>
        <v>0</v>
      </c>
      <c r="T623">
        <f>Source!X177</f>
        <v>0</v>
      </c>
      <c r="U623">
        <f>ROUND((Source!FY177/100)*((ROUND(Source!AF177*Source!I177, 2)+ROUND(Source!AE177*Source!I177, 2))), 2)</f>
        <v>0</v>
      </c>
      <c r="V623">
        <f>Source!Y177</f>
        <v>0</v>
      </c>
      <c r="W623">
        <f>IF(Source!BI177&lt;=1,H623, 0)</f>
        <v>0</v>
      </c>
      <c r="X623">
        <f>IF(Source!BI177=2,H623, 0)</f>
        <v>138.47999999999999</v>
      </c>
      <c r="Y623">
        <f>IF(Source!BI177=3,H623, 0)</f>
        <v>0</v>
      </c>
      <c r="Z623">
        <f>IF(Source!BI177=4,H623, 0)</f>
        <v>0</v>
      </c>
    </row>
    <row r="624" spans="1:26" ht="28.5" x14ac:dyDescent="0.2">
      <c r="A624" s="51" t="str">
        <f>Source!E178</f>
        <v>61,3</v>
      </c>
      <c r="B624" s="52" t="str">
        <f>Source!F178</f>
        <v>20.4.03.04-0005</v>
      </c>
      <c r="C624" s="52" t="str">
        <f>Source!G178</f>
        <v>Розетка  трехфазная 3P+PE+N, 32А, 380, IP44</v>
      </c>
      <c r="D624" s="39" t="str">
        <f>Source!H178</f>
        <v>100 шт.</v>
      </c>
      <c r="E624" s="40">
        <f>Source!I178</f>
        <v>0.02</v>
      </c>
      <c r="F624" s="41">
        <f>Source!AL178+Source!AM178+Source!AO178</f>
        <v>7615</v>
      </c>
      <c r="G624" s="46" t="s">
        <v>6</v>
      </c>
      <c r="H624" s="41">
        <f>ROUND(Source!AC178*Source!I178, 2)+ROUND(Source!AD178*Source!I178, 2)+ROUND(Source!AF178*Source!I178, 2)</f>
        <v>152.30000000000001</v>
      </c>
      <c r="I624" s="42"/>
      <c r="J624" s="42">
        <f>IF(Source!BC178&lt;&gt; 0, Source!BC178, 1)</f>
        <v>7.13</v>
      </c>
      <c r="K624" s="41">
        <f>Source!O178</f>
        <v>1085.9000000000001</v>
      </c>
      <c r="L624" s="47"/>
      <c r="S624">
        <f>ROUND((Source!FX178/100)*((ROUND(Source!AF178*Source!I178, 2)+ROUND(Source!AE178*Source!I178, 2))), 2)</f>
        <v>0</v>
      </c>
      <c r="T624">
        <f>Source!X178</f>
        <v>0</v>
      </c>
      <c r="U624">
        <f>ROUND((Source!FY178/100)*((ROUND(Source!AF178*Source!I178, 2)+ROUND(Source!AE178*Source!I178, 2))), 2)</f>
        <v>0</v>
      </c>
      <c r="V624">
        <f>Source!Y178</f>
        <v>0</v>
      </c>
      <c r="W624">
        <f>IF(Source!BI178&lt;=1,H624, 0)</f>
        <v>0</v>
      </c>
      <c r="X624">
        <f>IF(Source!BI178=2,H624, 0)</f>
        <v>152.30000000000001</v>
      </c>
      <c r="Y624">
        <f>IF(Source!BI178=3,H624, 0)</f>
        <v>0</v>
      </c>
      <c r="Z624">
        <f>IF(Source!BI178=4,H624, 0)</f>
        <v>0</v>
      </c>
    </row>
    <row r="625" spans="1:26" ht="15" x14ac:dyDescent="0.25">
      <c r="G625" s="87">
        <f>H615+H616+H618+H619+H620+SUM(H622:H624)</f>
        <v>808.1400000000001</v>
      </c>
      <c r="H625" s="87"/>
      <c r="J625" s="87">
        <f>K615+K616+K618+K619+K620+SUM(K622:K624)</f>
        <v>5761.9500000000007</v>
      </c>
      <c r="K625" s="87"/>
      <c r="L625" s="44">
        <f>Source!U175</f>
        <v>11.750400000000001</v>
      </c>
      <c r="O625" s="27">
        <f>G625</f>
        <v>808.1400000000001</v>
      </c>
      <c r="P625" s="27">
        <f>J625</f>
        <v>5761.9500000000007</v>
      </c>
      <c r="Q625" s="27">
        <f>L625</f>
        <v>11.750400000000001</v>
      </c>
      <c r="W625">
        <f>IF(Source!BI175&lt;=1,H615+H616+H618+H619+H620, 0)</f>
        <v>0</v>
      </c>
      <c r="X625">
        <f>IF(Source!BI175=2,H615+H616+H618+H619+H620, 0)</f>
        <v>341.20000000000005</v>
      </c>
      <c r="Y625">
        <f>IF(Source!BI175=3,H615+H616+H618+H619+H620, 0)</f>
        <v>0</v>
      </c>
      <c r="Z625">
        <f>IF(Source!BI175=4,H615+H616+H618+H619+H620, 0)</f>
        <v>0</v>
      </c>
    </row>
    <row r="626" spans="1:26" ht="28.5" x14ac:dyDescent="0.2">
      <c r="A626" s="49" t="str">
        <f>Source!E179</f>
        <v>62</v>
      </c>
      <c r="B626" s="50" t="str">
        <f>Source!F179</f>
        <v>м08-02-390-01</v>
      </c>
      <c r="C626" s="50" t="str">
        <f>Source!G179</f>
        <v>Прокладка короба пластмассового  шириной до 40 мм</v>
      </c>
      <c r="D626" s="33" t="str">
        <f>Source!H179</f>
        <v>100 м</v>
      </c>
      <c r="E626" s="11">
        <f>Source!I179</f>
        <v>4.2</v>
      </c>
      <c r="F626" s="34">
        <f>Source!AL179+Source!AM179+Source!AO179</f>
        <v>206.76</v>
      </c>
      <c r="G626" s="35"/>
      <c r="H626" s="34"/>
      <c r="I626" s="35" t="str">
        <f>Source!BO179</f>
        <v/>
      </c>
      <c r="J626" s="35"/>
      <c r="K626" s="34"/>
      <c r="L626" s="36"/>
      <c r="S626">
        <f>ROUND((Source!FX179/100)*((ROUND(Source!AF179*Source!I179, 2)+ROUND(Source!AE179*Source!I179, 2))), 2)</f>
        <v>618.69000000000005</v>
      </c>
      <c r="T626">
        <f>Source!X179</f>
        <v>4411.25</v>
      </c>
      <c r="U626">
        <f>ROUND((Source!FY179/100)*((ROUND(Source!AF179*Source!I179, 2)+ROUND(Source!AE179*Source!I179, 2))), 2)</f>
        <v>423.31</v>
      </c>
      <c r="V626">
        <f>Source!Y179</f>
        <v>3018.22</v>
      </c>
    </row>
    <row r="627" spans="1:26" x14ac:dyDescent="0.2">
      <c r="C627" s="26" t="str">
        <f>"Объем: "&amp;Source!I179&amp;"=420/"&amp;"100"</f>
        <v>Объем: 4,2=420/100</v>
      </c>
    </row>
    <row r="628" spans="1:26" ht="14.25" x14ac:dyDescent="0.2">
      <c r="A628" s="49"/>
      <c r="B628" s="50"/>
      <c r="C628" s="50" t="s">
        <v>1783</v>
      </c>
      <c r="D628" s="33"/>
      <c r="E628" s="11"/>
      <c r="F628" s="34">
        <f>Source!AO179</f>
        <v>154.91999999999999</v>
      </c>
      <c r="G628" s="35" t="str">
        <f>Source!DG179</f>
        <v/>
      </c>
      <c r="H628" s="34">
        <f>ROUND(Source!AF179*Source!I179, 2)</f>
        <v>650.66</v>
      </c>
      <c r="I628" s="35"/>
      <c r="J628" s="35">
        <f>IF(Source!BA179&lt;&gt; 0, Source!BA179, 1)</f>
        <v>7.13</v>
      </c>
      <c r="K628" s="34">
        <f>Source!S179</f>
        <v>4639.2299999999996</v>
      </c>
      <c r="L628" s="36"/>
      <c r="R628">
        <f>H628</f>
        <v>650.66</v>
      </c>
    </row>
    <row r="629" spans="1:26" ht="14.25" x14ac:dyDescent="0.2">
      <c r="A629" s="49"/>
      <c r="B629" s="50"/>
      <c r="C629" s="50" t="s">
        <v>449</v>
      </c>
      <c r="D629" s="33"/>
      <c r="E629" s="11"/>
      <c r="F629" s="34">
        <f>Source!AM179</f>
        <v>0.31</v>
      </c>
      <c r="G629" s="35" t="str">
        <f>Source!DE179</f>
        <v/>
      </c>
      <c r="H629" s="34">
        <f>ROUND(Source!AD179*Source!I179, 2)</f>
        <v>1.3</v>
      </c>
      <c r="I629" s="35"/>
      <c r="J629" s="35">
        <f>IF(Source!BB179&lt;&gt; 0, Source!BB179, 1)</f>
        <v>7.13</v>
      </c>
      <c r="K629" s="34">
        <f>Source!Q179</f>
        <v>9.2799999999999994</v>
      </c>
      <c r="L629" s="36"/>
    </row>
    <row r="630" spans="1:26" ht="14.25" x14ac:dyDescent="0.2">
      <c r="A630" s="49"/>
      <c r="B630" s="50"/>
      <c r="C630" s="50" t="s">
        <v>1784</v>
      </c>
      <c r="D630" s="33"/>
      <c r="E630" s="11"/>
      <c r="F630" s="34">
        <f>Source!AN179</f>
        <v>0.14000000000000001</v>
      </c>
      <c r="G630" s="35" t="str">
        <f>Source!DF179</f>
        <v/>
      </c>
      <c r="H630" s="37">
        <f>ROUND(Source!AE179*Source!I179, 2)</f>
        <v>0.59</v>
      </c>
      <c r="I630" s="35"/>
      <c r="J630" s="35">
        <f>IF(Source!BS179&lt;&gt; 0, Source!BS179, 1)</f>
        <v>7.13</v>
      </c>
      <c r="K630" s="37">
        <f>Source!R179</f>
        <v>4.1900000000000004</v>
      </c>
      <c r="L630" s="36"/>
      <c r="R630">
        <f>H630</f>
        <v>0.59</v>
      </c>
    </row>
    <row r="631" spans="1:26" ht="14.25" x14ac:dyDescent="0.2">
      <c r="A631" s="49"/>
      <c r="B631" s="50"/>
      <c r="C631" s="50" t="s">
        <v>1790</v>
      </c>
      <c r="D631" s="33"/>
      <c r="E631" s="11"/>
      <c r="F631" s="34">
        <f>Source!AL179</f>
        <v>51.53</v>
      </c>
      <c r="G631" s="35" t="str">
        <f>Source!DD179</f>
        <v/>
      </c>
      <c r="H631" s="34">
        <f>ROUND(Source!AC179*Source!I179, 2)</f>
        <v>216.43</v>
      </c>
      <c r="I631" s="35"/>
      <c r="J631" s="35">
        <f>IF(Source!BC179&lt;&gt; 0, Source!BC179, 1)</f>
        <v>7.13</v>
      </c>
      <c r="K631" s="34">
        <f>Source!P179</f>
        <v>1543.12</v>
      </c>
      <c r="L631" s="36"/>
    </row>
    <row r="632" spans="1:26" ht="14.25" x14ac:dyDescent="0.2">
      <c r="A632" s="49"/>
      <c r="B632" s="50"/>
      <c r="C632" s="50" t="s">
        <v>1785</v>
      </c>
      <c r="D632" s="33" t="s">
        <v>1786</v>
      </c>
      <c r="E632" s="11">
        <f>Source!BZ179</f>
        <v>95</v>
      </c>
      <c r="F632" s="53"/>
      <c r="G632" s="35"/>
      <c r="H632" s="34">
        <f>SUM(S626:S636)</f>
        <v>618.69000000000005</v>
      </c>
      <c r="I632" s="38"/>
      <c r="J632" s="31">
        <f>Source!AT179</f>
        <v>95</v>
      </c>
      <c r="K632" s="34">
        <f>SUM(T626:T636)</f>
        <v>4411.25</v>
      </c>
      <c r="L632" s="36"/>
    </row>
    <row r="633" spans="1:26" ht="14.25" x14ac:dyDescent="0.2">
      <c r="A633" s="49"/>
      <c r="B633" s="50"/>
      <c r="C633" s="50" t="s">
        <v>1787</v>
      </c>
      <c r="D633" s="33" t="s">
        <v>1786</v>
      </c>
      <c r="E633" s="11">
        <f>Source!CA179</f>
        <v>65</v>
      </c>
      <c r="F633" s="53"/>
      <c r="G633" s="35"/>
      <c r="H633" s="34">
        <f>SUM(U626:U636)</f>
        <v>423.31</v>
      </c>
      <c r="I633" s="38"/>
      <c r="J633" s="31">
        <f>Source!AU179</f>
        <v>65</v>
      </c>
      <c r="K633" s="34">
        <f>SUM(V626:V636)</f>
        <v>3018.22</v>
      </c>
      <c r="L633" s="36"/>
    </row>
    <row r="634" spans="1:26" ht="14.25" x14ac:dyDescent="0.2">
      <c r="A634" s="49"/>
      <c r="B634" s="50"/>
      <c r="C634" s="50" t="s">
        <v>1788</v>
      </c>
      <c r="D634" s="33" t="s">
        <v>1789</v>
      </c>
      <c r="E634" s="11">
        <f>Source!AQ179</f>
        <v>16.29</v>
      </c>
      <c r="F634" s="34"/>
      <c r="G634" s="35" t="str">
        <f>Source!DI179</f>
        <v/>
      </c>
      <c r="H634" s="34"/>
      <c r="I634" s="35"/>
      <c r="J634" s="35"/>
      <c r="K634" s="34"/>
      <c r="L634" s="45">
        <f>Source!U179</f>
        <v>68.418000000000006</v>
      </c>
    </row>
    <row r="635" spans="1:26" ht="28.5" x14ac:dyDescent="0.2">
      <c r="A635" s="49" t="str">
        <f>Source!E180</f>
        <v>62,1</v>
      </c>
      <c r="B635" s="50" t="str">
        <f>Source!F180</f>
        <v>20.2.05.04-0024</v>
      </c>
      <c r="C635" s="50" t="str">
        <f>Source!G180</f>
        <v>Кабель-канал (короб) "Электропласт" 20x12,5 мм</v>
      </c>
      <c r="D635" s="33" t="str">
        <f>Source!H180</f>
        <v>100 м</v>
      </c>
      <c r="E635" s="11">
        <f>Source!I180</f>
        <v>3.09</v>
      </c>
      <c r="F635" s="34">
        <f>Source!AL180+Source!AM180+Source!AO180</f>
        <v>119</v>
      </c>
      <c r="G635" s="48" t="s">
        <v>6</v>
      </c>
      <c r="H635" s="34">
        <f>ROUND(Source!AC180*Source!I180, 2)+ROUND(Source!AD180*Source!I180, 2)+ROUND(Source!AF180*Source!I180, 2)</f>
        <v>367.71</v>
      </c>
      <c r="I635" s="35"/>
      <c r="J635" s="35">
        <f>IF(Source!BC180&lt;&gt; 0, Source!BC180, 1)</f>
        <v>7.13</v>
      </c>
      <c r="K635" s="34">
        <f>Source!O180</f>
        <v>2621.77</v>
      </c>
      <c r="L635" s="36"/>
      <c r="S635">
        <f>ROUND((Source!FX180/100)*((ROUND(Source!AF180*Source!I180, 2)+ROUND(Source!AE180*Source!I180, 2))), 2)</f>
        <v>0</v>
      </c>
      <c r="T635">
        <f>Source!X180</f>
        <v>0</v>
      </c>
      <c r="U635">
        <f>ROUND((Source!FY180/100)*((ROUND(Source!AF180*Source!I180, 2)+ROUND(Source!AE180*Source!I180, 2))), 2)</f>
        <v>0</v>
      </c>
      <c r="V635">
        <f>Source!Y180</f>
        <v>0</v>
      </c>
      <c r="W635">
        <f>IF(Source!BI180&lt;=1,H635, 0)</f>
        <v>0</v>
      </c>
      <c r="X635">
        <f>IF(Source!BI180=2,H635, 0)</f>
        <v>367.71</v>
      </c>
      <c r="Y635">
        <f>IF(Source!BI180=3,H635, 0)</f>
        <v>0</v>
      </c>
      <c r="Z635">
        <f>IF(Source!BI180=4,H635, 0)</f>
        <v>0</v>
      </c>
    </row>
    <row r="636" spans="1:26" ht="28.5" x14ac:dyDescent="0.2">
      <c r="A636" s="51" t="str">
        <f>Source!E181</f>
        <v>62,2</v>
      </c>
      <c r="B636" s="52" t="str">
        <f>Source!F181</f>
        <v>20.2.05.04-0028</v>
      </c>
      <c r="C636" s="52" t="str">
        <f>Source!G181</f>
        <v>Кабель-канал (короб) "Электропласт" 40x25 мм</v>
      </c>
      <c r="D636" s="39" t="str">
        <f>Source!H181</f>
        <v>100 м</v>
      </c>
      <c r="E636" s="40">
        <f>Source!I181</f>
        <v>1.1100000000000001</v>
      </c>
      <c r="F636" s="41">
        <f>Source!AL181+Source!AM181+Source!AO181</f>
        <v>330</v>
      </c>
      <c r="G636" s="46" t="s">
        <v>6</v>
      </c>
      <c r="H636" s="41">
        <f>ROUND(Source!AC181*Source!I181, 2)+ROUND(Source!AD181*Source!I181, 2)+ROUND(Source!AF181*Source!I181, 2)</f>
        <v>366.3</v>
      </c>
      <c r="I636" s="42"/>
      <c r="J636" s="42">
        <f>IF(Source!BC181&lt;&gt; 0, Source!BC181, 1)</f>
        <v>7.13</v>
      </c>
      <c r="K636" s="41">
        <f>Source!O181</f>
        <v>2611.7199999999998</v>
      </c>
      <c r="L636" s="47"/>
      <c r="S636">
        <f>ROUND((Source!FX181/100)*((ROUND(Source!AF181*Source!I181, 2)+ROUND(Source!AE181*Source!I181, 2))), 2)</f>
        <v>0</v>
      </c>
      <c r="T636">
        <f>Source!X181</f>
        <v>0</v>
      </c>
      <c r="U636">
        <f>ROUND((Source!FY181/100)*((ROUND(Source!AF181*Source!I181, 2)+ROUND(Source!AE181*Source!I181, 2))), 2)</f>
        <v>0</v>
      </c>
      <c r="V636">
        <f>Source!Y181</f>
        <v>0</v>
      </c>
      <c r="W636">
        <f>IF(Source!BI181&lt;=1,H636, 0)</f>
        <v>0</v>
      </c>
      <c r="X636">
        <f>IF(Source!BI181=2,H636, 0)</f>
        <v>366.3</v>
      </c>
      <c r="Y636">
        <f>IF(Source!BI181=3,H636, 0)</f>
        <v>0</v>
      </c>
      <c r="Z636">
        <f>IF(Source!BI181=4,H636, 0)</f>
        <v>0</v>
      </c>
    </row>
    <row r="637" spans="1:26" ht="15" x14ac:dyDescent="0.25">
      <c r="G637" s="87">
        <f>H628+H629+H631+H632+H633+SUM(H635:H636)</f>
        <v>2644.3999999999996</v>
      </c>
      <c r="H637" s="87"/>
      <c r="J637" s="87">
        <f>K628+K629+K631+K632+K633+SUM(K635:K636)</f>
        <v>18854.589999999997</v>
      </c>
      <c r="K637" s="87"/>
      <c r="L637" s="44">
        <f>Source!U179</f>
        <v>68.418000000000006</v>
      </c>
      <c r="O637" s="27">
        <f>G637</f>
        <v>2644.3999999999996</v>
      </c>
      <c r="P637" s="27">
        <f>J637</f>
        <v>18854.589999999997</v>
      </c>
      <c r="Q637" s="27">
        <f>L637</f>
        <v>68.418000000000006</v>
      </c>
      <c r="W637">
        <f>IF(Source!BI179&lt;=1,H628+H629+H631+H632+H633, 0)</f>
        <v>0</v>
      </c>
      <c r="X637">
        <f>IF(Source!BI179=2,H628+H629+H631+H632+H633, 0)</f>
        <v>1910.3899999999999</v>
      </c>
      <c r="Y637">
        <f>IF(Source!BI179=3,H628+H629+H631+H632+H633, 0)</f>
        <v>0</v>
      </c>
      <c r="Z637">
        <f>IF(Source!BI179=4,H628+H629+H631+H632+H633, 0)</f>
        <v>0</v>
      </c>
    </row>
    <row r="638" spans="1:26" ht="57" x14ac:dyDescent="0.2">
      <c r="A638" s="49" t="str">
        <f>Source!E182</f>
        <v>63</v>
      </c>
      <c r="B638" s="50" t="str">
        <f>Source!F182</f>
        <v>69-2-1</v>
      </c>
      <c r="C638" s="50" t="str">
        <f>Source!G182</f>
        <v>Сверление отверстий в кирпичных стенах электроперфоратором диаметром до 50 мм, толщина стен  400мм</v>
      </c>
      <c r="D638" s="33" t="str">
        <f>Source!H182</f>
        <v>100 ШТ</v>
      </c>
      <c r="E638" s="11">
        <f>Source!I182</f>
        <v>0.17</v>
      </c>
      <c r="F638" s="34">
        <f>Source!AL182+Source!AM182+Source!AO182</f>
        <v>46.83</v>
      </c>
      <c r="G638" s="35"/>
      <c r="H638" s="34"/>
      <c r="I638" s="35" t="str">
        <f>Source!BO182</f>
        <v/>
      </c>
      <c r="J638" s="35"/>
      <c r="K638" s="34"/>
      <c r="L638" s="36"/>
      <c r="S638">
        <f>ROUND((Source!FX182/100)*((ROUND(Source!AF182*Source!I182, 2)+ROUND(Source!AE182*Source!I182, 2))), 2)</f>
        <v>6.21</v>
      </c>
      <c r="T638">
        <f>Source!X182</f>
        <v>44.27</v>
      </c>
      <c r="U638">
        <f>ROUND((Source!FY182/100)*((ROUND(Source!AF182*Source!I182, 2)+ROUND(Source!AE182*Source!I182, 2))), 2)</f>
        <v>3.98</v>
      </c>
      <c r="V638">
        <f>Source!Y182</f>
        <v>28.38</v>
      </c>
    </row>
    <row r="639" spans="1:26" x14ac:dyDescent="0.2">
      <c r="C639" s="26" t="str">
        <f>"Объем: "&amp;Source!I182&amp;"=17/"&amp;"100"</f>
        <v>Объем: 0,17=17/100</v>
      </c>
    </row>
    <row r="640" spans="1:26" ht="14.25" x14ac:dyDescent="0.2">
      <c r="A640" s="49"/>
      <c r="B640" s="50"/>
      <c r="C640" s="50" t="s">
        <v>1783</v>
      </c>
      <c r="D640" s="33"/>
      <c r="E640" s="11"/>
      <c r="F640" s="34">
        <f>Source!AO182</f>
        <v>46.83</v>
      </c>
      <c r="G640" s="35" t="str">
        <f>Source!DG182</f>
        <v/>
      </c>
      <c r="H640" s="34">
        <f>ROUND(Source!AF182*Source!I182, 2)</f>
        <v>7.96</v>
      </c>
      <c r="I640" s="35"/>
      <c r="J640" s="35">
        <f>IF(Source!BA182&lt;&gt; 0, Source!BA182, 1)</f>
        <v>7.13</v>
      </c>
      <c r="K640" s="34">
        <f>Source!S182</f>
        <v>56.76</v>
      </c>
      <c r="L640" s="36"/>
      <c r="R640">
        <f>H640</f>
        <v>7.96</v>
      </c>
    </row>
    <row r="641" spans="1:26" ht="14.25" x14ac:dyDescent="0.2">
      <c r="A641" s="49"/>
      <c r="B641" s="50"/>
      <c r="C641" s="50" t="s">
        <v>1785</v>
      </c>
      <c r="D641" s="33" t="s">
        <v>1786</v>
      </c>
      <c r="E641" s="11">
        <f>Source!BZ182</f>
        <v>78</v>
      </c>
      <c r="F641" s="53"/>
      <c r="G641" s="35"/>
      <c r="H641" s="34">
        <f>SUM(S638:S643)</f>
        <v>6.21</v>
      </c>
      <c r="I641" s="38"/>
      <c r="J641" s="31">
        <f>Source!AT182</f>
        <v>78</v>
      </c>
      <c r="K641" s="34">
        <f>SUM(T638:T643)</f>
        <v>44.27</v>
      </c>
      <c r="L641" s="36"/>
    </row>
    <row r="642" spans="1:26" ht="14.25" x14ac:dyDescent="0.2">
      <c r="A642" s="49"/>
      <c r="B642" s="50"/>
      <c r="C642" s="50" t="s">
        <v>1787</v>
      </c>
      <c r="D642" s="33" t="s">
        <v>1786</v>
      </c>
      <c r="E642" s="11">
        <f>Source!CA182</f>
        <v>50</v>
      </c>
      <c r="F642" s="53"/>
      <c r="G642" s="35"/>
      <c r="H642" s="34">
        <f>SUM(U638:U643)</f>
        <v>3.98</v>
      </c>
      <c r="I642" s="38"/>
      <c r="J642" s="31">
        <f>Source!AU182</f>
        <v>50</v>
      </c>
      <c r="K642" s="34">
        <f>SUM(V638:V643)</f>
        <v>28.38</v>
      </c>
      <c r="L642" s="36"/>
    </row>
    <row r="643" spans="1:26" ht="14.25" x14ac:dyDescent="0.2">
      <c r="A643" s="51"/>
      <c r="B643" s="52"/>
      <c r="C643" s="52" t="s">
        <v>1788</v>
      </c>
      <c r="D643" s="39" t="s">
        <v>1789</v>
      </c>
      <c r="E643" s="40">
        <f>Source!AQ182</f>
        <v>5.49</v>
      </c>
      <c r="F643" s="41"/>
      <c r="G643" s="42" t="str">
        <f>Source!DI182</f>
        <v/>
      </c>
      <c r="H643" s="41"/>
      <c r="I643" s="42"/>
      <c r="J643" s="42"/>
      <c r="K643" s="41"/>
      <c r="L643" s="43">
        <f>Source!U182</f>
        <v>0.93330000000000013</v>
      </c>
    </row>
    <row r="644" spans="1:26" ht="15" x14ac:dyDescent="0.25">
      <c r="G644" s="87">
        <f>H640+H641+H642</f>
        <v>18.149999999999999</v>
      </c>
      <c r="H644" s="87"/>
      <c r="J644" s="87">
        <f>K640+K641+K642</f>
        <v>129.41</v>
      </c>
      <c r="K644" s="87"/>
      <c r="L644" s="44">
        <f>Source!U182</f>
        <v>0.93330000000000013</v>
      </c>
      <c r="O644" s="27">
        <f>G644</f>
        <v>18.149999999999999</v>
      </c>
      <c r="P644" s="27">
        <f>J644</f>
        <v>129.41</v>
      </c>
      <c r="Q644" s="27">
        <f>L644</f>
        <v>0.93330000000000013</v>
      </c>
      <c r="W644">
        <f>IF(Source!BI182&lt;=1,H640+H641+H642, 0)</f>
        <v>18.149999999999999</v>
      </c>
      <c r="X644">
        <f>IF(Source!BI182=2,H640+H641+H642, 0)</f>
        <v>0</v>
      </c>
      <c r="Y644">
        <f>IF(Source!BI182=3,H640+H641+H642, 0)</f>
        <v>0</v>
      </c>
      <c r="Z644">
        <f>IF(Source!BI182=4,H640+H641+H642, 0)</f>
        <v>0</v>
      </c>
    </row>
    <row r="645" spans="1:26" ht="28.5" x14ac:dyDescent="0.2">
      <c r="A645" s="49" t="str">
        <f>Source!E183</f>
        <v>64</v>
      </c>
      <c r="B645" s="50" t="str">
        <f>Source!F183</f>
        <v>м08-02-410-01</v>
      </c>
      <c r="C645" s="50" t="str">
        <f>Source!G183</f>
        <v>Прокладка  гильз из труб полиэтиленовых , диаметр до 25 мм</v>
      </c>
      <c r="D645" s="33" t="str">
        <f>Source!H183</f>
        <v>100 м</v>
      </c>
      <c r="E645" s="11">
        <f>Source!I183</f>
        <v>3.5999999999999997E-2</v>
      </c>
      <c r="F645" s="34">
        <f>Source!AL183+Source!AM183+Source!AO183</f>
        <v>223.79</v>
      </c>
      <c r="G645" s="35"/>
      <c r="H645" s="34"/>
      <c r="I645" s="35" t="str">
        <f>Source!BO183</f>
        <v/>
      </c>
      <c r="J645" s="35"/>
      <c r="K645" s="34"/>
      <c r="L645" s="36"/>
      <c r="S645">
        <f>ROUND((Source!FX183/100)*((ROUND(Source!AF183*Source!I183, 2)+ROUND(Source!AE183*Source!I183, 2))), 2)</f>
        <v>4.37</v>
      </c>
      <c r="T645">
        <f>Source!X183</f>
        <v>31.17</v>
      </c>
      <c r="U645">
        <f>ROUND((Source!FY183/100)*((ROUND(Source!AF183*Source!I183, 2)+ROUND(Source!AE183*Source!I183, 2))), 2)</f>
        <v>2.99</v>
      </c>
      <c r="V645">
        <f>Source!Y183</f>
        <v>21.33</v>
      </c>
    </row>
    <row r="646" spans="1:26" x14ac:dyDescent="0.2">
      <c r="C646" s="26" t="str">
        <f>"Объем: "&amp;Source!I183&amp;"=3,6/"&amp;"100"</f>
        <v>Объем: 0,036=3,6/100</v>
      </c>
    </row>
    <row r="647" spans="1:26" ht="14.25" x14ac:dyDescent="0.2">
      <c r="A647" s="49"/>
      <c r="B647" s="50"/>
      <c r="C647" s="50" t="s">
        <v>1783</v>
      </c>
      <c r="D647" s="33"/>
      <c r="E647" s="11"/>
      <c r="F647" s="34">
        <f>Source!AO183</f>
        <v>125.58</v>
      </c>
      <c r="G647" s="35" t="str">
        <f>Source!DG183</f>
        <v/>
      </c>
      <c r="H647" s="34">
        <f>ROUND(Source!AF183*Source!I183, 2)</f>
        <v>4.5199999999999996</v>
      </c>
      <c r="I647" s="35"/>
      <c r="J647" s="35">
        <f>IF(Source!BA183&lt;&gt; 0, Source!BA183, 1)</f>
        <v>7.13</v>
      </c>
      <c r="K647" s="34">
        <f>Source!S183</f>
        <v>32.229999999999997</v>
      </c>
      <c r="L647" s="36"/>
      <c r="R647">
        <f>H647</f>
        <v>4.5199999999999996</v>
      </c>
    </row>
    <row r="648" spans="1:26" ht="14.25" x14ac:dyDescent="0.2">
      <c r="A648" s="49"/>
      <c r="B648" s="50"/>
      <c r="C648" s="50" t="s">
        <v>449</v>
      </c>
      <c r="D648" s="33"/>
      <c r="E648" s="11"/>
      <c r="F648" s="34">
        <f>Source!AM183</f>
        <v>15.99</v>
      </c>
      <c r="G648" s="35" t="str">
        <f>Source!DE183</f>
        <v/>
      </c>
      <c r="H648" s="34">
        <f>ROUND(Source!AD183*Source!I183, 2)</f>
        <v>0.57999999999999996</v>
      </c>
      <c r="I648" s="35"/>
      <c r="J648" s="35">
        <f>IF(Source!BB183&lt;&gt; 0, Source!BB183, 1)</f>
        <v>7.13</v>
      </c>
      <c r="K648" s="34">
        <f>Source!Q183</f>
        <v>4.0999999999999996</v>
      </c>
      <c r="L648" s="36"/>
    </row>
    <row r="649" spans="1:26" ht="14.25" x14ac:dyDescent="0.2">
      <c r="A649" s="49"/>
      <c r="B649" s="50"/>
      <c r="C649" s="50" t="s">
        <v>1784</v>
      </c>
      <c r="D649" s="33"/>
      <c r="E649" s="11"/>
      <c r="F649" s="34">
        <f>Source!AN183</f>
        <v>2.2599999999999998</v>
      </c>
      <c r="G649" s="35" t="str">
        <f>Source!DF183</f>
        <v/>
      </c>
      <c r="H649" s="37">
        <f>ROUND(Source!AE183*Source!I183, 2)</f>
        <v>0.08</v>
      </c>
      <c r="I649" s="35"/>
      <c r="J649" s="35">
        <f>IF(Source!BS183&lt;&gt; 0, Source!BS183, 1)</f>
        <v>7.13</v>
      </c>
      <c r="K649" s="37">
        <f>Source!R183</f>
        <v>0.57999999999999996</v>
      </c>
      <c r="L649" s="36"/>
      <c r="R649">
        <f>H649</f>
        <v>0.08</v>
      </c>
    </row>
    <row r="650" spans="1:26" ht="14.25" x14ac:dyDescent="0.2">
      <c r="A650" s="49"/>
      <c r="B650" s="50"/>
      <c r="C650" s="50" t="s">
        <v>1790</v>
      </c>
      <c r="D650" s="33"/>
      <c r="E650" s="11"/>
      <c r="F650" s="34">
        <f>Source!AL183</f>
        <v>82.22</v>
      </c>
      <c r="G650" s="35" t="str">
        <f>Source!DD183</f>
        <v/>
      </c>
      <c r="H650" s="34">
        <f>ROUND(Source!AC183*Source!I183, 2)</f>
        <v>2.96</v>
      </c>
      <c r="I650" s="35"/>
      <c r="J650" s="35">
        <f>IF(Source!BC183&lt;&gt; 0, Source!BC183, 1)</f>
        <v>7.13</v>
      </c>
      <c r="K650" s="34">
        <f>Source!P183</f>
        <v>21.1</v>
      </c>
      <c r="L650" s="36"/>
    </row>
    <row r="651" spans="1:26" ht="14.25" x14ac:dyDescent="0.2">
      <c r="A651" s="49"/>
      <c r="B651" s="50"/>
      <c r="C651" s="50" t="s">
        <v>1785</v>
      </c>
      <c r="D651" s="33" t="s">
        <v>1786</v>
      </c>
      <c r="E651" s="11">
        <f>Source!BZ183</f>
        <v>95</v>
      </c>
      <c r="F651" s="53"/>
      <c r="G651" s="35"/>
      <c r="H651" s="34">
        <f>SUM(S645:S654)</f>
        <v>4.37</v>
      </c>
      <c r="I651" s="38"/>
      <c r="J651" s="31">
        <f>Source!AT183</f>
        <v>95</v>
      </c>
      <c r="K651" s="34">
        <f>SUM(T645:T654)</f>
        <v>31.17</v>
      </c>
      <c r="L651" s="36"/>
    </row>
    <row r="652" spans="1:26" ht="14.25" x14ac:dyDescent="0.2">
      <c r="A652" s="49"/>
      <c r="B652" s="50"/>
      <c r="C652" s="50" t="s">
        <v>1787</v>
      </c>
      <c r="D652" s="33" t="s">
        <v>1786</v>
      </c>
      <c r="E652" s="11">
        <f>Source!CA183</f>
        <v>65</v>
      </c>
      <c r="F652" s="53"/>
      <c r="G652" s="35"/>
      <c r="H652" s="34">
        <f>SUM(U645:U654)</f>
        <v>2.99</v>
      </c>
      <c r="I652" s="38"/>
      <c r="J652" s="31">
        <f>Source!AU183</f>
        <v>65</v>
      </c>
      <c r="K652" s="34">
        <f>SUM(V645:V654)</f>
        <v>21.33</v>
      </c>
      <c r="L652" s="36"/>
    </row>
    <row r="653" spans="1:26" ht="14.25" x14ac:dyDescent="0.2">
      <c r="A653" s="49"/>
      <c r="B653" s="50"/>
      <c r="C653" s="50" t="s">
        <v>1788</v>
      </c>
      <c r="D653" s="33" t="s">
        <v>1789</v>
      </c>
      <c r="E653" s="11">
        <f>Source!AQ183</f>
        <v>13.36</v>
      </c>
      <c r="F653" s="34"/>
      <c r="G653" s="35" t="str">
        <f>Source!DI183</f>
        <v/>
      </c>
      <c r="H653" s="34"/>
      <c r="I653" s="35"/>
      <c r="J653" s="35"/>
      <c r="K653" s="34"/>
      <c r="L653" s="45">
        <f>Source!U183</f>
        <v>0.48095999999999994</v>
      </c>
    </row>
    <row r="654" spans="1:26" ht="28.5" x14ac:dyDescent="0.2">
      <c r="A654" s="51" t="str">
        <f>Source!E184</f>
        <v>64,1</v>
      </c>
      <c r="B654" s="52" t="str">
        <f>Source!F184</f>
        <v>20.5.01.01-0001</v>
      </c>
      <c r="C654" s="52" t="str">
        <f>Source!G184</f>
        <v>Гильзы  для прокладки кабеля  диаметром 25-27 мм</v>
      </c>
      <c r="D654" s="39" t="str">
        <f>Source!H184</f>
        <v>шт.</v>
      </c>
      <c r="E654" s="40">
        <f>Source!I184</f>
        <v>3</v>
      </c>
      <c r="F654" s="41">
        <f>Source!AL184+Source!AM184+Source!AO184</f>
        <v>38.21</v>
      </c>
      <c r="G654" s="46" t="s">
        <v>6</v>
      </c>
      <c r="H654" s="41">
        <f>ROUND(Source!AC184*Source!I184, 2)+ROUND(Source!AD184*Source!I184, 2)+ROUND(Source!AF184*Source!I184, 2)</f>
        <v>114.63</v>
      </c>
      <c r="I654" s="42"/>
      <c r="J654" s="42">
        <f>IF(Source!BC184&lt;&gt; 0, Source!BC184, 1)</f>
        <v>7.13</v>
      </c>
      <c r="K654" s="41">
        <f>Source!O184</f>
        <v>817.31</v>
      </c>
      <c r="L654" s="47"/>
      <c r="S654">
        <f>ROUND((Source!FX184/100)*((ROUND(Source!AF184*Source!I184, 2)+ROUND(Source!AE184*Source!I184, 2))), 2)</f>
        <v>0</v>
      </c>
      <c r="T654">
        <f>Source!X184</f>
        <v>0</v>
      </c>
      <c r="U654">
        <f>ROUND((Source!FY184/100)*((ROUND(Source!AF184*Source!I184, 2)+ROUND(Source!AE184*Source!I184, 2))), 2)</f>
        <v>0</v>
      </c>
      <c r="V654">
        <f>Source!Y184</f>
        <v>0</v>
      </c>
      <c r="W654">
        <f>IF(Source!BI184&lt;=1,H654, 0)</f>
        <v>0</v>
      </c>
      <c r="X654">
        <f>IF(Source!BI184=2,H654, 0)</f>
        <v>114.63</v>
      </c>
      <c r="Y654">
        <f>IF(Source!BI184=3,H654, 0)</f>
        <v>0</v>
      </c>
      <c r="Z654">
        <f>IF(Source!BI184=4,H654, 0)</f>
        <v>0</v>
      </c>
    </row>
    <row r="655" spans="1:26" ht="15" x14ac:dyDescent="0.25">
      <c r="G655" s="87">
        <f>H647+H648+H650+H651+H652+SUM(H654:H654)</f>
        <v>130.04999999999998</v>
      </c>
      <c r="H655" s="87"/>
      <c r="J655" s="87">
        <f>K647+K648+K650+K651+K652+SUM(K654:K654)</f>
        <v>927.2399999999999</v>
      </c>
      <c r="K655" s="87"/>
      <c r="L655" s="44">
        <f>Source!U183</f>
        <v>0.48095999999999994</v>
      </c>
      <c r="O655" s="27">
        <f>G655</f>
        <v>130.04999999999998</v>
      </c>
      <c r="P655" s="27">
        <f>J655</f>
        <v>927.2399999999999</v>
      </c>
      <c r="Q655" s="27">
        <f>L655</f>
        <v>0.48095999999999994</v>
      </c>
      <c r="W655">
        <f>IF(Source!BI183&lt;=1,H647+H648+H650+H651+H652, 0)</f>
        <v>0</v>
      </c>
      <c r="X655">
        <f>IF(Source!BI183=2,H647+H648+H650+H651+H652, 0)</f>
        <v>15.42</v>
      </c>
      <c r="Y655">
        <f>IF(Source!BI183=3,H647+H648+H650+H651+H652, 0)</f>
        <v>0</v>
      </c>
      <c r="Z655">
        <f>IF(Source!BI183=4,H647+H648+H650+H651+H652, 0)</f>
        <v>0</v>
      </c>
    </row>
    <row r="656" spans="1:26" ht="28.5" x14ac:dyDescent="0.2">
      <c r="A656" s="49" t="str">
        <f>Source!E185</f>
        <v>65</v>
      </c>
      <c r="B656" s="50" t="str">
        <f>Source!F185</f>
        <v>м08-02-410-02</v>
      </c>
      <c r="C656" s="50" t="str">
        <f>Source!G185</f>
        <v>Прокладка  гильз из труб полиэтиленовых , диаметр до 50 мм</v>
      </c>
      <c r="D656" s="33" t="str">
        <f>Source!H185</f>
        <v>100 м</v>
      </c>
      <c r="E656" s="11">
        <f>Source!I185</f>
        <v>1.6E-2</v>
      </c>
      <c r="F656" s="34">
        <f>Source!AL185+Source!AM185+Source!AO185</f>
        <v>250.92</v>
      </c>
      <c r="G656" s="35"/>
      <c r="H656" s="34"/>
      <c r="I656" s="35" t="str">
        <f>Source!BO185</f>
        <v/>
      </c>
      <c r="J656" s="35"/>
      <c r="K656" s="34"/>
      <c r="L656" s="36"/>
      <c r="S656">
        <f>ROUND((Source!FX185/100)*((ROUND(Source!AF185*Source!I185, 2)+ROUND(Source!AE185*Source!I185, 2))), 2)</f>
        <v>2.2200000000000002</v>
      </c>
      <c r="T656">
        <f>Source!X185</f>
        <v>15.87</v>
      </c>
      <c r="U656">
        <f>ROUND((Source!FY185/100)*((ROUND(Source!AF185*Source!I185, 2)+ROUND(Source!AE185*Source!I185, 2))), 2)</f>
        <v>1.52</v>
      </c>
      <c r="V656">
        <f>Source!Y185</f>
        <v>10.86</v>
      </c>
    </row>
    <row r="657" spans="1:26" x14ac:dyDescent="0.2">
      <c r="C657" s="26" t="str">
        <f>"Объем: "&amp;Source!I185&amp;"=1,6/"&amp;"100"</f>
        <v>Объем: 0,016=1,6/100</v>
      </c>
    </row>
    <row r="658" spans="1:26" ht="14.25" x14ac:dyDescent="0.2">
      <c r="A658" s="49"/>
      <c r="B658" s="50"/>
      <c r="C658" s="50" t="s">
        <v>1783</v>
      </c>
      <c r="D658" s="33"/>
      <c r="E658" s="11"/>
      <c r="F658" s="34">
        <f>Source!AO185</f>
        <v>143.63</v>
      </c>
      <c r="G658" s="35" t="str">
        <f>Source!DG185</f>
        <v/>
      </c>
      <c r="H658" s="34">
        <f>ROUND(Source!AF185*Source!I185, 2)</f>
        <v>2.2999999999999998</v>
      </c>
      <c r="I658" s="35"/>
      <c r="J658" s="35">
        <f>IF(Source!BA185&lt;&gt; 0, Source!BA185, 1)</f>
        <v>7.13</v>
      </c>
      <c r="K658" s="34">
        <f>Source!S185</f>
        <v>16.39</v>
      </c>
      <c r="L658" s="36"/>
      <c r="R658">
        <f>H658</f>
        <v>2.2999999999999998</v>
      </c>
    </row>
    <row r="659" spans="1:26" ht="14.25" x14ac:dyDescent="0.2">
      <c r="A659" s="49"/>
      <c r="B659" s="50"/>
      <c r="C659" s="50" t="s">
        <v>449</v>
      </c>
      <c r="D659" s="33"/>
      <c r="E659" s="11"/>
      <c r="F659" s="34">
        <f>Source!AM185</f>
        <v>19.55</v>
      </c>
      <c r="G659" s="35" t="str">
        <f>Source!DE185</f>
        <v/>
      </c>
      <c r="H659" s="34">
        <f>ROUND(Source!AD185*Source!I185, 2)</f>
        <v>0.31</v>
      </c>
      <c r="I659" s="35"/>
      <c r="J659" s="35">
        <f>IF(Source!BB185&lt;&gt; 0, Source!BB185, 1)</f>
        <v>7.13</v>
      </c>
      <c r="K659" s="34">
        <f>Source!Q185</f>
        <v>2.23</v>
      </c>
      <c r="L659" s="36"/>
    </row>
    <row r="660" spans="1:26" ht="14.25" x14ac:dyDescent="0.2">
      <c r="A660" s="49"/>
      <c r="B660" s="50"/>
      <c r="C660" s="50" t="s">
        <v>1784</v>
      </c>
      <c r="D660" s="33"/>
      <c r="E660" s="11"/>
      <c r="F660" s="34">
        <f>Source!AN185</f>
        <v>2.77</v>
      </c>
      <c r="G660" s="35" t="str">
        <f>Source!DF185</f>
        <v/>
      </c>
      <c r="H660" s="37">
        <f>ROUND(Source!AE185*Source!I185, 2)</f>
        <v>0.04</v>
      </c>
      <c r="I660" s="35"/>
      <c r="J660" s="35">
        <f>IF(Source!BS185&lt;&gt; 0, Source!BS185, 1)</f>
        <v>7.13</v>
      </c>
      <c r="K660" s="37">
        <f>Source!R185</f>
        <v>0.32</v>
      </c>
      <c r="L660" s="36"/>
      <c r="R660">
        <f>H660</f>
        <v>0.04</v>
      </c>
    </row>
    <row r="661" spans="1:26" ht="14.25" x14ac:dyDescent="0.2">
      <c r="A661" s="49"/>
      <c r="B661" s="50"/>
      <c r="C661" s="50" t="s">
        <v>1790</v>
      </c>
      <c r="D661" s="33"/>
      <c r="E661" s="11"/>
      <c r="F661" s="34">
        <f>Source!AL185</f>
        <v>87.74</v>
      </c>
      <c r="G661" s="35" t="str">
        <f>Source!DD185</f>
        <v/>
      </c>
      <c r="H661" s="34">
        <f>ROUND(Source!AC185*Source!I185, 2)</f>
        <v>1.4</v>
      </c>
      <c r="I661" s="35"/>
      <c r="J661" s="35">
        <f>IF(Source!BC185&lt;&gt; 0, Source!BC185, 1)</f>
        <v>7.13</v>
      </c>
      <c r="K661" s="34">
        <f>Source!P185</f>
        <v>10.01</v>
      </c>
      <c r="L661" s="36"/>
    </row>
    <row r="662" spans="1:26" ht="14.25" x14ac:dyDescent="0.2">
      <c r="A662" s="49"/>
      <c r="B662" s="50"/>
      <c r="C662" s="50" t="s">
        <v>1785</v>
      </c>
      <c r="D662" s="33" t="s">
        <v>1786</v>
      </c>
      <c r="E662" s="11">
        <f>Source!BZ185</f>
        <v>95</v>
      </c>
      <c r="F662" s="53"/>
      <c r="G662" s="35"/>
      <c r="H662" s="34">
        <f>SUM(S656:S665)</f>
        <v>2.2200000000000002</v>
      </c>
      <c r="I662" s="38"/>
      <c r="J662" s="31">
        <f>Source!AT185</f>
        <v>95</v>
      </c>
      <c r="K662" s="34">
        <f>SUM(T656:T665)</f>
        <v>15.87</v>
      </c>
      <c r="L662" s="36"/>
    </row>
    <row r="663" spans="1:26" ht="14.25" x14ac:dyDescent="0.2">
      <c r="A663" s="49"/>
      <c r="B663" s="50"/>
      <c r="C663" s="50" t="s">
        <v>1787</v>
      </c>
      <c r="D663" s="33" t="s">
        <v>1786</v>
      </c>
      <c r="E663" s="11">
        <f>Source!CA185</f>
        <v>65</v>
      </c>
      <c r="F663" s="53"/>
      <c r="G663" s="35"/>
      <c r="H663" s="34">
        <f>SUM(U656:U665)</f>
        <v>1.52</v>
      </c>
      <c r="I663" s="38"/>
      <c r="J663" s="31">
        <f>Source!AU185</f>
        <v>65</v>
      </c>
      <c r="K663" s="34">
        <f>SUM(V656:V665)</f>
        <v>10.86</v>
      </c>
      <c r="L663" s="36"/>
    </row>
    <row r="664" spans="1:26" ht="14.25" x14ac:dyDescent="0.2">
      <c r="A664" s="49"/>
      <c r="B664" s="50"/>
      <c r="C664" s="50" t="s">
        <v>1788</v>
      </c>
      <c r="D664" s="33" t="s">
        <v>1789</v>
      </c>
      <c r="E664" s="11">
        <f>Source!AQ185</f>
        <v>15.28</v>
      </c>
      <c r="F664" s="34"/>
      <c r="G664" s="35" t="str">
        <f>Source!DI185</f>
        <v/>
      </c>
      <c r="H664" s="34"/>
      <c r="I664" s="35"/>
      <c r="J664" s="35"/>
      <c r="K664" s="34"/>
      <c r="L664" s="45">
        <f>Source!U185</f>
        <v>0.24448</v>
      </c>
    </row>
    <row r="665" spans="1:26" ht="28.5" x14ac:dyDescent="0.2">
      <c r="A665" s="51" t="str">
        <f>Source!E186</f>
        <v>65,1</v>
      </c>
      <c r="B665" s="52" t="str">
        <f>Source!F186</f>
        <v>20.5.01.01-0007</v>
      </c>
      <c r="C665" s="52" t="str">
        <f>Source!G186</f>
        <v>Гильзы  для  прокладки  кабеля  диаметром 47-50 мм</v>
      </c>
      <c r="D665" s="39" t="str">
        <f>Source!H186</f>
        <v>шт.</v>
      </c>
      <c r="E665" s="40">
        <f>Source!I186</f>
        <v>3</v>
      </c>
      <c r="F665" s="41">
        <f>Source!AL186+Source!AM186+Source!AO186</f>
        <v>74.91</v>
      </c>
      <c r="G665" s="46" t="s">
        <v>6</v>
      </c>
      <c r="H665" s="41">
        <f>ROUND(Source!AC186*Source!I186, 2)+ROUND(Source!AD186*Source!I186, 2)+ROUND(Source!AF186*Source!I186, 2)</f>
        <v>224.73</v>
      </c>
      <c r="I665" s="42"/>
      <c r="J665" s="42">
        <f>IF(Source!BC186&lt;&gt; 0, Source!BC186, 1)</f>
        <v>7.13</v>
      </c>
      <c r="K665" s="41">
        <f>Source!O186</f>
        <v>1602.32</v>
      </c>
      <c r="L665" s="47"/>
      <c r="S665">
        <f>ROUND((Source!FX186/100)*((ROUND(Source!AF186*Source!I186, 2)+ROUND(Source!AE186*Source!I186, 2))), 2)</f>
        <v>0</v>
      </c>
      <c r="T665">
        <f>Source!X186</f>
        <v>0</v>
      </c>
      <c r="U665">
        <f>ROUND((Source!FY186/100)*((ROUND(Source!AF186*Source!I186, 2)+ROUND(Source!AE186*Source!I186, 2))), 2)</f>
        <v>0</v>
      </c>
      <c r="V665">
        <f>Source!Y186</f>
        <v>0</v>
      </c>
      <c r="W665">
        <f>IF(Source!BI186&lt;=1,H665, 0)</f>
        <v>0</v>
      </c>
      <c r="X665">
        <f>IF(Source!BI186=2,H665, 0)</f>
        <v>224.73</v>
      </c>
      <c r="Y665">
        <f>IF(Source!BI186=3,H665, 0)</f>
        <v>0</v>
      </c>
      <c r="Z665">
        <f>IF(Source!BI186=4,H665, 0)</f>
        <v>0</v>
      </c>
    </row>
    <row r="666" spans="1:26" ht="15" x14ac:dyDescent="0.25">
      <c r="G666" s="87">
        <f>H658+H659+H661+H662+H663+SUM(H665:H665)</f>
        <v>232.48</v>
      </c>
      <c r="H666" s="87"/>
      <c r="J666" s="87">
        <f>K658+K659+K661+K662+K663+SUM(K665:K665)</f>
        <v>1657.6799999999998</v>
      </c>
      <c r="K666" s="87"/>
      <c r="L666" s="44">
        <f>Source!U185</f>
        <v>0.24448</v>
      </c>
      <c r="O666" s="27">
        <f>G666</f>
        <v>232.48</v>
      </c>
      <c r="P666" s="27">
        <f>J666</f>
        <v>1657.6799999999998</v>
      </c>
      <c r="Q666" s="27">
        <f>L666</f>
        <v>0.24448</v>
      </c>
      <c r="W666">
        <f>IF(Source!BI185&lt;=1,H658+H659+H661+H662+H663, 0)</f>
        <v>0</v>
      </c>
      <c r="X666">
        <f>IF(Source!BI185=2,H658+H659+H661+H662+H663, 0)</f>
        <v>7.75</v>
      </c>
      <c r="Y666">
        <f>IF(Source!BI185=3,H658+H659+H661+H662+H663, 0)</f>
        <v>0</v>
      </c>
      <c r="Z666">
        <f>IF(Source!BI185=4,H658+H659+H661+H662+H663, 0)</f>
        <v>0</v>
      </c>
    </row>
    <row r="667" spans="1:26" ht="28.5" x14ac:dyDescent="0.2">
      <c r="A667" s="49" t="str">
        <f>Source!E187</f>
        <v>66</v>
      </c>
      <c r="B667" s="50" t="str">
        <f>Source!F187</f>
        <v>м10-08-019-01</v>
      </c>
      <c r="C667" s="50" t="str">
        <f>Source!G187</f>
        <v>Установка коробок ответвительная на стене</v>
      </c>
      <c r="D667" s="33" t="str">
        <f>Source!H187</f>
        <v>ШТ</v>
      </c>
      <c r="E667" s="11">
        <f>Source!I187</f>
        <v>29</v>
      </c>
      <c r="F667" s="34">
        <f>Source!AL187+Source!AM187+Source!AO187</f>
        <v>5.29</v>
      </c>
      <c r="G667" s="35"/>
      <c r="H667" s="34"/>
      <c r="I667" s="35" t="str">
        <f>Source!BO187</f>
        <v/>
      </c>
      <c r="J667" s="35"/>
      <c r="K667" s="34"/>
      <c r="L667" s="36"/>
      <c r="S667">
        <f>ROUND((Source!FX187/100)*((ROUND(Source!AF187*Source!I187, 2)+ROUND(Source!AE187*Source!I187, 2))), 2)</f>
        <v>113.22</v>
      </c>
      <c r="T667">
        <f>Source!X187</f>
        <v>807.23</v>
      </c>
      <c r="U667">
        <f>ROUND((Source!FY187/100)*((ROUND(Source!AF187*Source!I187, 2)+ROUND(Source!AE187*Source!I187, 2))), 2)</f>
        <v>84.91</v>
      </c>
      <c r="V667">
        <f>Source!Y187</f>
        <v>605.41999999999996</v>
      </c>
    </row>
    <row r="668" spans="1:26" ht="14.25" x14ac:dyDescent="0.2">
      <c r="A668" s="49"/>
      <c r="B668" s="50"/>
      <c r="C668" s="50" t="s">
        <v>1783</v>
      </c>
      <c r="D668" s="33"/>
      <c r="E668" s="11"/>
      <c r="F668" s="34">
        <f>Source!AO187</f>
        <v>4.88</v>
      </c>
      <c r="G668" s="35" t="str">
        <f>Source!DG187</f>
        <v/>
      </c>
      <c r="H668" s="34">
        <f>ROUND(Source!AF187*Source!I187, 2)</f>
        <v>141.52000000000001</v>
      </c>
      <c r="I668" s="35"/>
      <c r="J668" s="35">
        <f>IF(Source!BA187&lt;&gt; 0, Source!BA187, 1)</f>
        <v>7.13</v>
      </c>
      <c r="K668" s="34">
        <f>Source!S187</f>
        <v>1009.04</v>
      </c>
      <c r="L668" s="36"/>
      <c r="R668">
        <f>H668</f>
        <v>141.52000000000001</v>
      </c>
    </row>
    <row r="669" spans="1:26" ht="14.25" x14ac:dyDescent="0.2">
      <c r="A669" s="49"/>
      <c r="B669" s="50"/>
      <c r="C669" s="50" t="s">
        <v>1790</v>
      </c>
      <c r="D669" s="33"/>
      <c r="E669" s="11"/>
      <c r="F669" s="34">
        <f>Source!AL187</f>
        <v>0.41</v>
      </c>
      <c r="G669" s="35" t="str">
        <f>Source!DD187</f>
        <v/>
      </c>
      <c r="H669" s="34">
        <f>ROUND(Source!AC187*Source!I187, 2)</f>
        <v>11.89</v>
      </c>
      <c r="I669" s="35"/>
      <c r="J669" s="35">
        <f>IF(Source!BC187&lt;&gt; 0, Source!BC187, 1)</f>
        <v>7.13</v>
      </c>
      <c r="K669" s="34">
        <f>Source!P187</f>
        <v>84.78</v>
      </c>
      <c r="L669" s="36"/>
    </row>
    <row r="670" spans="1:26" ht="14.25" x14ac:dyDescent="0.2">
      <c r="A670" s="49"/>
      <c r="B670" s="50"/>
      <c r="C670" s="50" t="s">
        <v>1785</v>
      </c>
      <c r="D670" s="33" t="s">
        <v>1786</v>
      </c>
      <c r="E670" s="11">
        <f>Source!BZ187</f>
        <v>80</v>
      </c>
      <c r="F670" s="53"/>
      <c r="G670" s="35"/>
      <c r="H670" s="34">
        <f>SUM(S667:S673)</f>
        <v>113.22</v>
      </c>
      <c r="I670" s="38"/>
      <c r="J670" s="31">
        <f>Source!AT187</f>
        <v>80</v>
      </c>
      <c r="K670" s="34">
        <f>SUM(T667:T673)</f>
        <v>807.23</v>
      </c>
      <c r="L670" s="36"/>
    </row>
    <row r="671" spans="1:26" ht="14.25" x14ac:dyDescent="0.2">
      <c r="A671" s="49"/>
      <c r="B671" s="50"/>
      <c r="C671" s="50" t="s">
        <v>1787</v>
      </c>
      <c r="D671" s="33" t="s">
        <v>1786</v>
      </c>
      <c r="E671" s="11">
        <f>Source!CA187</f>
        <v>60</v>
      </c>
      <c r="F671" s="53"/>
      <c r="G671" s="35"/>
      <c r="H671" s="34">
        <f>SUM(U667:U673)</f>
        <v>84.91</v>
      </c>
      <c r="I671" s="38"/>
      <c r="J671" s="31">
        <f>Source!AU187</f>
        <v>60</v>
      </c>
      <c r="K671" s="34">
        <f>SUM(V667:V673)</f>
        <v>605.41999999999996</v>
      </c>
      <c r="L671" s="36"/>
    </row>
    <row r="672" spans="1:26" ht="14.25" x14ac:dyDescent="0.2">
      <c r="A672" s="49"/>
      <c r="B672" s="50"/>
      <c r="C672" s="50" t="s">
        <v>1788</v>
      </c>
      <c r="D672" s="33" t="s">
        <v>1789</v>
      </c>
      <c r="E672" s="11">
        <f>Source!AQ187</f>
        <v>0.5</v>
      </c>
      <c r="F672" s="34"/>
      <c r="G672" s="35" t="str">
        <f>Source!DI187</f>
        <v/>
      </c>
      <c r="H672" s="34"/>
      <c r="I672" s="35"/>
      <c r="J672" s="35"/>
      <c r="K672" s="34"/>
      <c r="L672" s="45">
        <f>Source!U187</f>
        <v>14.5</v>
      </c>
    </row>
    <row r="673" spans="1:26" ht="57" x14ac:dyDescent="0.2">
      <c r="A673" s="51" t="str">
        <f>Source!E188</f>
        <v>66,1</v>
      </c>
      <c r="B673" s="52" t="str">
        <f>Source!F188</f>
        <v>20.5.02.04-0008</v>
      </c>
      <c r="C673" s="52" t="str">
        <f>Source!G188</f>
        <v>Коробка ответвительная с кабельными вводами (6 выводов диаметром 20 мм), размером 80х80х40 мм, цвет серый</v>
      </c>
      <c r="D673" s="39" t="str">
        <f>Source!H188</f>
        <v>10 шт.</v>
      </c>
      <c r="E673" s="40">
        <f>Source!I188</f>
        <v>2.9</v>
      </c>
      <c r="F673" s="41">
        <f>Source!AL188+Source!AM188+Source!AO188</f>
        <v>132.24</v>
      </c>
      <c r="G673" s="46" t="s">
        <v>6</v>
      </c>
      <c r="H673" s="41">
        <f>ROUND(Source!AC188*Source!I188, 2)+ROUND(Source!AD188*Source!I188, 2)+ROUND(Source!AF188*Source!I188, 2)</f>
        <v>383.5</v>
      </c>
      <c r="I673" s="42"/>
      <c r="J673" s="42">
        <f>IF(Source!BC188&lt;&gt; 0, Source!BC188, 1)</f>
        <v>7.13</v>
      </c>
      <c r="K673" s="41">
        <f>Source!O188</f>
        <v>2734.33</v>
      </c>
      <c r="L673" s="47"/>
      <c r="S673">
        <f>ROUND((Source!FX188/100)*((ROUND(Source!AF188*Source!I188, 2)+ROUND(Source!AE188*Source!I188, 2))), 2)</f>
        <v>0</v>
      </c>
      <c r="T673">
        <f>Source!X188</f>
        <v>0</v>
      </c>
      <c r="U673">
        <f>ROUND((Source!FY188/100)*((ROUND(Source!AF188*Source!I188, 2)+ROUND(Source!AE188*Source!I188, 2))), 2)</f>
        <v>0</v>
      </c>
      <c r="V673">
        <f>Source!Y188</f>
        <v>0</v>
      </c>
      <c r="W673">
        <f>IF(Source!BI188&lt;=1,H673, 0)</f>
        <v>0</v>
      </c>
      <c r="X673">
        <f>IF(Source!BI188=2,H673, 0)</f>
        <v>383.5</v>
      </c>
      <c r="Y673">
        <f>IF(Source!BI188=3,H673, 0)</f>
        <v>0</v>
      </c>
      <c r="Z673">
        <f>IF(Source!BI188=4,H673, 0)</f>
        <v>0</v>
      </c>
    </row>
    <row r="674" spans="1:26" ht="15" x14ac:dyDescent="0.25">
      <c r="G674" s="87">
        <f>H668+H669+H670+H671+SUM(H673:H673)</f>
        <v>735.04</v>
      </c>
      <c r="H674" s="87"/>
      <c r="J674" s="87">
        <f>K668+K669+K670+K671+SUM(K673:K673)</f>
        <v>5240.7999999999993</v>
      </c>
      <c r="K674" s="87"/>
      <c r="L674" s="44">
        <f>Source!U187</f>
        <v>14.5</v>
      </c>
      <c r="O674" s="27">
        <f>G674</f>
        <v>735.04</v>
      </c>
      <c r="P674" s="27">
        <f>J674</f>
        <v>5240.7999999999993</v>
      </c>
      <c r="Q674" s="27">
        <f>L674</f>
        <v>14.5</v>
      </c>
      <c r="W674">
        <f>IF(Source!BI187&lt;=1,H668+H669+H670+H671, 0)</f>
        <v>0</v>
      </c>
      <c r="X674">
        <f>IF(Source!BI187=2,H668+H669+H670+H671, 0)</f>
        <v>351.53999999999996</v>
      </c>
      <c r="Y674">
        <f>IF(Source!BI187=3,H668+H669+H670+H671, 0)</f>
        <v>0</v>
      </c>
      <c r="Z674">
        <f>IF(Source!BI187=4,H668+H669+H670+H671, 0)</f>
        <v>0</v>
      </c>
    </row>
    <row r="675" spans="1:26" ht="28.5" x14ac:dyDescent="0.2">
      <c r="A675" s="49" t="str">
        <f>Source!E189</f>
        <v>67</v>
      </c>
      <c r="B675" s="50" t="str">
        <f>Source!F189</f>
        <v>м08-02-399-02</v>
      </c>
      <c r="C675" s="50" t="str">
        <f>Source!G189</f>
        <v>Прокладка кабеля в коробах, сечением до 35 мм2</v>
      </c>
      <c r="D675" s="33" t="str">
        <f>Source!H189</f>
        <v>100 м</v>
      </c>
      <c r="E675" s="11">
        <f>Source!I189</f>
        <v>2.73</v>
      </c>
      <c r="F675" s="34">
        <f>Source!AL189+Source!AM189+Source!AO189</f>
        <v>50.72</v>
      </c>
      <c r="G675" s="35"/>
      <c r="H675" s="34"/>
      <c r="I675" s="35" t="str">
        <f>Source!BO189</f>
        <v/>
      </c>
      <c r="J675" s="35"/>
      <c r="K675" s="34"/>
      <c r="L675" s="36"/>
      <c r="S675">
        <f>ROUND((Source!FX189/100)*((ROUND(Source!AF189*Source!I189, 2)+ROUND(Source!AE189*Source!I189, 2))), 2)</f>
        <v>92.33</v>
      </c>
      <c r="T675">
        <f>Source!X189</f>
        <v>658.3</v>
      </c>
      <c r="U675">
        <f>ROUND((Source!FY189/100)*((ROUND(Source!AF189*Source!I189, 2)+ROUND(Source!AE189*Source!I189, 2))), 2)</f>
        <v>63.17</v>
      </c>
      <c r="V675">
        <f>Source!Y189</f>
        <v>450.42</v>
      </c>
    </row>
    <row r="676" spans="1:26" x14ac:dyDescent="0.2">
      <c r="C676" s="26" t="str">
        <f>"Объем: "&amp;Source!I189&amp;"=273/"&amp;"100"</f>
        <v>Объем: 2,73=273/100</v>
      </c>
    </row>
    <row r="677" spans="1:26" ht="14.25" x14ac:dyDescent="0.2">
      <c r="A677" s="49"/>
      <c r="B677" s="50"/>
      <c r="C677" s="50" t="s">
        <v>1783</v>
      </c>
      <c r="D677" s="33"/>
      <c r="E677" s="11"/>
      <c r="F677" s="34">
        <f>Source!AO189</f>
        <v>35.340000000000003</v>
      </c>
      <c r="G677" s="35" t="str">
        <f>Source!DG189</f>
        <v/>
      </c>
      <c r="H677" s="34">
        <f>ROUND(Source!AF189*Source!I189, 2)</f>
        <v>96.48</v>
      </c>
      <c r="I677" s="35"/>
      <c r="J677" s="35">
        <f>IF(Source!BA189&lt;&gt; 0, Source!BA189, 1)</f>
        <v>7.13</v>
      </c>
      <c r="K677" s="34">
        <f>Source!S189</f>
        <v>687.89</v>
      </c>
      <c r="L677" s="36"/>
      <c r="R677">
        <f>H677</f>
        <v>96.48</v>
      </c>
    </row>
    <row r="678" spans="1:26" ht="14.25" x14ac:dyDescent="0.2">
      <c r="A678" s="49"/>
      <c r="B678" s="50"/>
      <c r="C678" s="50" t="s">
        <v>449</v>
      </c>
      <c r="D678" s="33"/>
      <c r="E678" s="11"/>
      <c r="F678" s="34">
        <f>Source!AM189</f>
        <v>1.78</v>
      </c>
      <c r="G678" s="35" t="str">
        <f>Source!DE189</f>
        <v/>
      </c>
      <c r="H678" s="34">
        <f>ROUND(Source!AD189*Source!I189, 2)</f>
        <v>4.8600000000000003</v>
      </c>
      <c r="I678" s="35"/>
      <c r="J678" s="35">
        <f>IF(Source!BB189&lt;&gt; 0, Source!BB189, 1)</f>
        <v>7.13</v>
      </c>
      <c r="K678" s="34">
        <f>Source!Q189</f>
        <v>34.65</v>
      </c>
      <c r="L678" s="36"/>
    </row>
    <row r="679" spans="1:26" ht="14.25" x14ac:dyDescent="0.2">
      <c r="A679" s="49"/>
      <c r="B679" s="50"/>
      <c r="C679" s="50" t="s">
        <v>1784</v>
      </c>
      <c r="D679" s="33"/>
      <c r="E679" s="11"/>
      <c r="F679" s="34">
        <f>Source!AN189</f>
        <v>0.26</v>
      </c>
      <c r="G679" s="35" t="str">
        <f>Source!DF189</f>
        <v/>
      </c>
      <c r="H679" s="37">
        <f>ROUND(Source!AE189*Source!I189, 2)</f>
        <v>0.71</v>
      </c>
      <c r="I679" s="35"/>
      <c r="J679" s="35">
        <f>IF(Source!BS189&lt;&gt; 0, Source!BS189, 1)</f>
        <v>7.13</v>
      </c>
      <c r="K679" s="37">
        <f>Source!R189</f>
        <v>5.0599999999999996</v>
      </c>
      <c r="L679" s="36"/>
      <c r="R679">
        <f>H679</f>
        <v>0.71</v>
      </c>
    </row>
    <row r="680" spans="1:26" ht="14.25" x14ac:dyDescent="0.2">
      <c r="A680" s="49"/>
      <c r="B680" s="50"/>
      <c r="C680" s="50" t="s">
        <v>1790</v>
      </c>
      <c r="D680" s="33"/>
      <c r="E680" s="11"/>
      <c r="F680" s="34">
        <f>Source!AL189</f>
        <v>13.6</v>
      </c>
      <c r="G680" s="35" t="str">
        <f>Source!DD189</f>
        <v/>
      </c>
      <c r="H680" s="34">
        <f>ROUND(Source!AC189*Source!I189, 2)</f>
        <v>37.130000000000003</v>
      </c>
      <c r="I680" s="35"/>
      <c r="J680" s="35">
        <f>IF(Source!BC189&lt;&gt; 0, Source!BC189, 1)</f>
        <v>7.13</v>
      </c>
      <c r="K680" s="34">
        <f>Source!P189</f>
        <v>264.72000000000003</v>
      </c>
      <c r="L680" s="36"/>
    </row>
    <row r="681" spans="1:26" ht="14.25" x14ac:dyDescent="0.2">
      <c r="A681" s="49"/>
      <c r="B681" s="50"/>
      <c r="C681" s="50" t="s">
        <v>1785</v>
      </c>
      <c r="D681" s="33" t="s">
        <v>1786</v>
      </c>
      <c r="E681" s="11">
        <f>Source!BZ189</f>
        <v>95</v>
      </c>
      <c r="F681" s="53"/>
      <c r="G681" s="35"/>
      <c r="H681" s="34">
        <f>SUM(S675:S686)</f>
        <v>92.33</v>
      </c>
      <c r="I681" s="38"/>
      <c r="J681" s="31">
        <f>Source!AT189</f>
        <v>95</v>
      </c>
      <c r="K681" s="34">
        <f>SUM(T675:T686)</f>
        <v>658.3</v>
      </c>
      <c r="L681" s="36"/>
    </row>
    <row r="682" spans="1:26" ht="14.25" x14ac:dyDescent="0.2">
      <c r="A682" s="49"/>
      <c r="B682" s="50"/>
      <c r="C682" s="50" t="s">
        <v>1787</v>
      </c>
      <c r="D682" s="33" t="s">
        <v>1786</v>
      </c>
      <c r="E682" s="11">
        <f>Source!CA189</f>
        <v>65</v>
      </c>
      <c r="F682" s="53"/>
      <c r="G682" s="35"/>
      <c r="H682" s="34">
        <f>SUM(U675:U686)</f>
        <v>63.17</v>
      </c>
      <c r="I682" s="38"/>
      <c r="J682" s="31">
        <f>Source!AU189</f>
        <v>65</v>
      </c>
      <c r="K682" s="34">
        <f>SUM(V675:V686)</f>
        <v>450.42</v>
      </c>
      <c r="L682" s="36"/>
    </row>
    <row r="683" spans="1:26" ht="14.25" x14ac:dyDescent="0.2">
      <c r="A683" s="49"/>
      <c r="B683" s="50"/>
      <c r="C683" s="50" t="s">
        <v>1788</v>
      </c>
      <c r="D683" s="33" t="s">
        <v>1789</v>
      </c>
      <c r="E683" s="11">
        <f>Source!AQ189</f>
        <v>3.76</v>
      </c>
      <c r="F683" s="34"/>
      <c r="G683" s="35" t="str">
        <f>Source!DI189</f>
        <v/>
      </c>
      <c r="H683" s="34"/>
      <c r="I683" s="35"/>
      <c r="J683" s="35"/>
      <c r="K683" s="34"/>
      <c r="L683" s="45">
        <f>Source!U189</f>
        <v>10.264799999999999</v>
      </c>
    </row>
    <row r="684" spans="1:26" ht="85.5" x14ac:dyDescent="0.2">
      <c r="A684" s="49" t="str">
        <f>Source!E190</f>
        <v>67,1</v>
      </c>
      <c r="B684" s="50" t="str">
        <f>Source!F190</f>
        <v>21.1.06.09-0152</v>
      </c>
      <c r="C684" s="50" t="str">
        <f>Source!G190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684" s="33" t="str">
        <f>Source!H190</f>
        <v>1000 м</v>
      </c>
      <c r="E684" s="11">
        <f>Source!I190</f>
        <v>0.23100000000000001</v>
      </c>
      <c r="F684" s="34">
        <f>Source!AL190+Source!AM190+Source!AO190</f>
        <v>6920.41</v>
      </c>
      <c r="G684" s="48" t="s">
        <v>6</v>
      </c>
      <c r="H684" s="34">
        <f>ROUND(Source!AC190*Source!I190, 2)+ROUND(Source!AD190*Source!I190, 2)+ROUND(Source!AF190*Source!I190, 2)</f>
        <v>1598.61</v>
      </c>
      <c r="I684" s="35"/>
      <c r="J684" s="35">
        <f>IF(Source!BC190&lt;&gt; 0, Source!BC190, 1)</f>
        <v>7.13</v>
      </c>
      <c r="K684" s="34">
        <f>Source!O190</f>
        <v>11398.12</v>
      </c>
      <c r="L684" s="36"/>
      <c r="S684">
        <f>ROUND((Source!FX190/100)*((ROUND(Source!AF190*Source!I190, 2)+ROUND(Source!AE190*Source!I190, 2))), 2)</f>
        <v>0</v>
      </c>
      <c r="T684">
        <f>Source!X190</f>
        <v>0</v>
      </c>
      <c r="U684">
        <f>ROUND((Source!FY190/100)*((ROUND(Source!AF190*Source!I190, 2)+ROUND(Source!AE190*Source!I190, 2))), 2)</f>
        <v>0</v>
      </c>
      <c r="V684">
        <f>Source!Y190</f>
        <v>0</v>
      </c>
      <c r="W684">
        <f>IF(Source!BI190&lt;=1,H684, 0)</f>
        <v>0</v>
      </c>
      <c r="X684">
        <f>IF(Source!BI190=2,H684, 0)</f>
        <v>1598.61</v>
      </c>
      <c r="Y684">
        <f>IF(Source!BI190=3,H684, 0)</f>
        <v>0</v>
      </c>
      <c r="Z684">
        <f>IF(Source!BI190=4,H684, 0)</f>
        <v>0</v>
      </c>
    </row>
    <row r="685" spans="1:26" ht="85.5" x14ac:dyDescent="0.2">
      <c r="A685" s="49" t="str">
        <f>Source!E191</f>
        <v>67,2</v>
      </c>
      <c r="B685" s="50" t="str">
        <f>Source!F191</f>
        <v>21.1.06.09-0154</v>
      </c>
      <c r="C685" s="50" t="str">
        <f>Source!G191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6 мм2</v>
      </c>
      <c r="D685" s="33" t="str">
        <f>Source!H191</f>
        <v>1000 м</v>
      </c>
      <c r="E685" s="11">
        <f>Source!I191</f>
        <v>0.02</v>
      </c>
      <c r="F685" s="34">
        <f>Source!AL191+Source!AM191+Source!AO191</f>
        <v>15727.78</v>
      </c>
      <c r="G685" s="48" t="s">
        <v>6</v>
      </c>
      <c r="H685" s="34">
        <f>ROUND(Source!AC191*Source!I191, 2)+ROUND(Source!AD191*Source!I191, 2)+ROUND(Source!AF191*Source!I191, 2)</f>
        <v>314.56</v>
      </c>
      <c r="I685" s="35"/>
      <c r="J685" s="35">
        <f>IF(Source!BC191&lt;&gt; 0, Source!BC191, 1)</f>
        <v>7.13</v>
      </c>
      <c r="K685" s="34">
        <f>Source!O191</f>
        <v>2242.7800000000002</v>
      </c>
      <c r="L685" s="36"/>
      <c r="S685">
        <f>ROUND((Source!FX191/100)*((ROUND(Source!AF191*Source!I191, 2)+ROUND(Source!AE191*Source!I191, 2))), 2)</f>
        <v>0</v>
      </c>
      <c r="T685">
        <f>Source!X191</f>
        <v>0</v>
      </c>
      <c r="U685">
        <f>ROUND((Source!FY191/100)*((ROUND(Source!AF191*Source!I191, 2)+ROUND(Source!AE191*Source!I191, 2))), 2)</f>
        <v>0</v>
      </c>
      <c r="V685">
        <f>Source!Y191</f>
        <v>0</v>
      </c>
      <c r="W685">
        <f>IF(Source!BI191&lt;=1,H685, 0)</f>
        <v>0</v>
      </c>
      <c r="X685">
        <f>IF(Source!BI191=2,H685, 0)</f>
        <v>314.56</v>
      </c>
      <c r="Y685">
        <f>IF(Source!BI191=3,H685, 0)</f>
        <v>0</v>
      </c>
      <c r="Z685">
        <f>IF(Source!BI191=4,H685, 0)</f>
        <v>0</v>
      </c>
    </row>
    <row r="686" spans="1:26" ht="85.5" x14ac:dyDescent="0.2">
      <c r="A686" s="51" t="str">
        <f>Source!E192</f>
        <v>67,3</v>
      </c>
      <c r="B686" s="52" t="str">
        <f>Source!F192</f>
        <v>21.1.06.09-0155</v>
      </c>
      <c r="C686" s="52" t="str">
        <f>Source!G192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10 мм2</v>
      </c>
      <c r="D686" s="39" t="str">
        <f>Source!H192</f>
        <v>1000 м</v>
      </c>
      <c r="E686" s="40">
        <f>Source!I192</f>
        <v>2.1999999999999999E-2</v>
      </c>
      <c r="F686" s="41">
        <f>Source!AL192+Source!AM192+Source!AO192</f>
        <v>27843.17</v>
      </c>
      <c r="G686" s="46" t="s">
        <v>6</v>
      </c>
      <c r="H686" s="41">
        <f>ROUND(Source!AC192*Source!I192, 2)+ROUND(Source!AD192*Source!I192, 2)+ROUND(Source!AF192*Source!I192, 2)</f>
        <v>612.54999999999995</v>
      </c>
      <c r="I686" s="42"/>
      <c r="J686" s="42">
        <f>IF(Source!BC192&lt;&gt; 0, Source!BC192, 1)</f>
        <v>7.13</v>
      </c>
      <c r="K686" s="41">
        <f>Source!O192</f>
        <v>4367.4799999999996</v>
      </c>
      <c r="L686" s="47"/>
      <c r="S686">
        <f>ROUND((Source!FX192/100)*((ROUND(Source!AF192*Source!I192, 2)+ROUND(Source!AE192*Source!I192, 2))), 2)</f>
        <v>0</v>
      </c>
      <c r="T686">
        <f>Source!X192</f>
        <v>0</v>
      </c>
      <c r="U686">
        <f>ROUND((Source!FY192/100)*((ROUND(Source!AF192*Source!I192, 2)+ROUND(Source!AE192*Source!I192, 2))), 2)</f>
        <v>0</v>
      </c>
      <c r="V686">
        <f>Source!Y192</f>
        <v>0</v>
      </c>
      <c r="W686">
        <f>IF(Source!BI192&lt;=1,H686, 0)</f>
        <v>0</v>
      </c>
      <c r="X686">
        <f>IF(Source!BI192=2,H686, 0)</f>
        <v>612.54999999999995</v>
      </c>
      <c r="Y686">
        <f>IF(Source!BI192=3,H686, 0)</f>
        <v>0</v>
      </c>
      <c r="Z686">
        <f>IF(Source!BI192=4,H686, 0)</f>
        <v>0</v>
      </c>
    </row>
    <row r="687" spans="1:26" ht="15" x14ac:dyDescent="0.25">
      <c r="G687" s="87">
        <f>H677+H678+H680+H681+H682+SUM(H684:H686)</f>
        <v>2819.6899999999996</v>
      </c>
      <c r="H687" s="87"/>
      <c r="J687" s="87">
        <f>K677+K678+K680+K681+K682+SUM(K684:K686)</f>
        <v>20104.36</v>
      </c>
      <c r="K687" s="87"/>
      <c r="L687" s="44">
        <f>Source!U189</f>
        <v>10.264799999999999</v>
      </c>
      <c r="O687" s="27">
        <f>G687</f>
        <v>2819.6899999999996</v>
      </c>
      <c r="P687" s="27">
        <f>J687</f>
        <v>20104.36</v>
      </c>
      <c r="Q687" s="27">
        <f>L687</f>
        <v>10.264799999999999</v>
      </c>
      <c r="W687">
        <f>IF(Source!BI189&lt;=1,H677+H678+H680+H681+H682, 0)</f>
        <v>0</v>
      </c>
      <c r="X687">
        <f>IF(Source!BI189=2,H677+H678+H680+H681+H682, 0)</f>
        <v>293.97000000000003</v>
      </c>
      <c r="Y687">
        <f>IF(Source!BI189=3,H677+H678+H680+H681+H682, 0)</f>
        <v>0</v>
      </c>
      <c r="Z687">
        <f>IF(Source!BI189=4,H677+H678+H680+H681+H682, 0)</f>
        <v>0</v>
      </c>
    </row>
    <row r="688" spans="1:26" ht="28.5" x14ac:dyDescent="0.2">
      <c r="A688" s="49" t="str">
        <f>Source!E193</f>
        <v>68</v>
      </c>
      <c r="B688" s="50" t="str">
        <f>Source!F193</f>
        <v>м08-02-399-01</v>
      </c>
      <c r="C688" s="50" t="str">
        <f>Source!G193</f>
        <v>Прокладка  кабеля  в коробах, сечением до 6 мм2</v>
      </c>
      <c r="D688" s="33" t="str">
        <f>Source!H193</f>
        <v>100 м</v>
      </c>
      <c r="E688" s="11">
        <f>Source!I193</f>
        <v>1.665</v>
      </c>
      <c r="F688" s="34">
        <f>Source!AL193+Source!AM193+Source!AO193</f>
        <v>41.11</v>
      </c>
      <c r="G688" s="35"/>
      <c r="H688" s="34"/>
      <c r="I688" s="35" t="str">
        <f>Source!BO193</f>
        <v/>
      </c>
      <c r="J688" s="35"/>
      <c r="K688" s="34"/>
      <c r="L688" s="36"/>
      <c r="S688">
        <f>ROUND((Source!FX193/100)*((ROUND(Source!AF193*Source!I193, 2)+ROUND(Source!AE193*Source!I193, 2))), 2)</f>
        <v>42.34</v>
      </c>
      <c r="T688">
        <f>Source!X193</f>
        <v>301.91000000000003</v>
      </c>
      <c r="U688">
        <f>ROUND((Source!FY193/100)*((ROUND(Source!AF193*Source!I193, 2)+ROUND(Source!AE193*Source!I193, 2))), 2)</f>
        <v>28.97</v>
      </c>
      <c r="V688">
        <f>Source!Y193</f>
        <v>206.57</v>
      </c>
    </row>
    <row r="689" spans="1:26" x14ac:dyDescent="0.2">
      <c r="C689" s="26" t="str">
        <f>"Объем: "&amp;Source!I193&amp;"=166,5/"&amp;"100"</f>
        <v>Объем: 1,665=166,5/100</v>
      </c>
    </row>
    <row r="690" spans="1:26" ht="14.25" x14ac:dyDescent="0.2">
      <c r="A690" s="49"/>
      <c r="B690" s="50"/>
      <c r="C690" s="50" t="s">
        <v>1783</v>
      </c>
      <c r="D690" s="33"/>
      <c r="E690" s="11"/>
      <c r="F690" s="34">
        <f>Source!AO193</f>
        <v>26.51</v>
      </c>
      <c r="G690" s="35" t="str">
        <f>Source!DG193</f>
        <v/>
      </c>
      <c r="H690" s="34">
        <f>ROUND(Source!AF193*Source!I193, 2)</f>
        <v>44.14</v>
      </c>
      <c r="I690" s="35"/>
      <c r="J690" s="35">
        <f>IF(Source!BA193&lt;&gt; 0, Source!BA193, 1)</f>
        <v>7.13</v>
      </c>
      <c r="K690" s="34">
        <f>Source!S193</f>
        <v>314.70999999999998</v>
      </c>
      <c r="L690" s="36"/>
      <c r="R690">
        <f>H690</f>
        <v>44.14</v>
      </c>
    </row>
    <row r="691" spans="1:26" ht="14.25" x14ac:dyDescent="0.2">
      <c r="A691" s="49"/>
      <c r="B691" s="50"/>
      <c r="C691" s="50" t="s">
        <v>449</v>
      </c>
      <c r="D691" s="33"/>
      <c r="E691" s="11"/>
      <c r="F691" s="34">
        <f>Source!AM193</f>
        <v>1.78</v>
      </c>
      <c r="G691" s="35" t="str">
        <f>Source!DE193</f>
        <v/>
      </c>
      <c r="H691" s="34">
        <f>ROUND(Source!AD193*Source!I193, 2)</f>
        <v>2.96</v>
      </c>
      <c r="I691" s="35"/>
      <c r="J691" s="35">
        <f>IF(Source!BB193&lt;&gt; 0, Source!BB193, 1)</f>
        <v>7.13</v>
      </c>
      <c r="K691" s="34">
        <f>Source!Q193</f>
        <v>21.13</v>
      </c>
      <c r="L691" s="36"/>
    </row>
    <row r="692" spans="1:26" ht="14.25" x14ac:dyDescent="0.2">
      <c r="A692" s="49"/>
      <c r="B692" s="50"/>
      <c r="C692" s="50" t="s">
        <v>1784</v>
      </c>
      <c r="D692" s="33"/>
      <c r="E692" s="11"/>
      <c r="F692" s="34">
        <f>Source!AN193</f>
        <v>0.26</v>
      </c>
      <c r="G692" s="35" t="str">
        <f>Source!DF193</f>
        <v/>
      </c>
      <c r="H692" s="37">
        <f>ROUND(Source!AE193*Source!I193, 2)</f>
        <v>0.43</v>
      </c>
      <c r="I692" s="35"/>
      <c r="J692" s="35">
        <f>IF(Source!BS193&lt;&gt; 0, Source!BS193, 1)</f>
        <v>7.13</v>
      </c>
      <c r="K692" s="37">
        <f>Source!R193</f>
        <v>3.09</v>
      </c>
      <c r="L692" s="36"/>
      <c r="R692">
        <f>H692</f>
        <v>0.43</v>
      </c>
    </row>
    <row r="693" spans="1:26" ht="14.25" x14ac:dyDescent="0.2">
      <c r="A693" s="49"/>
      <c r="B693" s="50"/>
      <c r="C693" s="50" t="s">
        <v>1790</v>
      </c>
      <c r="D693" s="33"/>
      <c r="E693" s="11"/>
      <c r="F693" s="34">
        <f>Source!AL193</f>
        <v>12.82</v>
      </c>
      <c r="G693" s="35" t="str">
        <f>Source!DD193</f>
        <v/>
      </c>
      <c r="H693" s="34">
        <f>ROUND(Source!AC193*Source!I193, 2)</f>
        <v>21.35</v>
      </c>
      <c r="I693" s="35"/>
      <c r="J693" s="35">
        <f>IF(Source!BC193&lt;&gt; 0, Source!BC193, 1)</f>
        <v>7.13</v>
      </c>
      <c r="K693" s="34">
        <f>Source!P193</f>
        <v>152.19</v>
      </c>
      <c r="L693" s="36"/>
    </row>
    <row r="694" spans="1:26" ht="14.25" x14ac:dyDescent="0.2">
      <c r="A694" s="49"/>
      <c r="B694" s="50"/>
      <c r="C694" s="50" t="s">
        <v>1785</v>
      </c>
      <c r="D694" s="33" t="s">
        <v>1786</v>
      </c>
      <c r="E694" s="11">
        <f>Source!BZ193</f>
        <v>95</v>
      </c>
      <c r="F694" s="53"/>
      <c r="G694" s="35"/>
      <c r="H694" s="34">
        <f>SUM(S688:S697)</f>
        <v>42.34</v>
      </c>
      <c r="I694" s="38"/>
      <c r="J694" s="31">
        <f>Source!AT193</f>
        <v>95</v>
      </c>
      <c r="K694" s="34">
        <f>SUM(T688:T697)</f>
        <v>301.91000000000003</v>
      </c>
      <c r="L694" s="36"/>
    </row>
    <row r="695" spans="1:26" ht="14.25" x14ac:dyDescent="0.2">
      <c r="A695" s="49"/>
      <c r="B695" s="50"/>
      <c r="C695" s="50" t="s">
        <v>1787</v>
      </c>
      <c r="D695" s="33" t="s">
        <v>1786</v>
      </c>
      <c r="E695" s="11">
        <f>Source!CA193</f>
        <v>65</v>
      </c>
      <c r="F695" s="53"/>
      <c r="G695" s="35"/>
      <c r="H695" s="34">
        <f>SUM(U688:U697)</f>
        <v>28.97</v>
      </c>
      <c r="I695" s="38"/>
      <c r="J695" s="31">
        <f>Source!AU193</f>
        <v>65</v>
      </c>
      <c r="K695" s="34">
        <f>SUM(V688:V697)</f>
        <v>206.57</v>
      </c>
      <c r="L695" s="36"/>
    </row>
    <row r="696" spans="1:26" ht="14.25" x14ac:dyDescent="0.2">
      <c r="A696" s="49"/>
      <c r="B696" s="50"/>
      <c r="C696" s="50" t="s">
        <v>1788</v>
      </c>
      <c r="D696" s="33" t="s">
        <v>1789</v>
      </c>
      <c r="E696" s="11">
        <f>Source!AQ193</f>
        <v>2.82</v>
      </c>
      <c r="F696" s="34"/>
      <c r="G696" s="35" t="str">
        <f>Source!DI193</f>
        <v/>
      </c>
      <c r="H696" s="34"/>
      <c r="I696" s="35"/>
      <c r="J696" s="35"/>
      <c r="K696" s="34"/>
      <c r="L696" s="45">
        <f>Source!U193</f>
        <v>4.6952999999999996</v>
      </c>
    </row>
    <row r="697" spans="1:26" ht="85.5" x14ac:dyDescent="0.2">
      <c r="A697" s="51" t="str">
        <f>Source!E194</f>
        <v>68,1</v>
      </c>
      <c r="B697" s="52" t="str">
        <f>Source!F194</f>
        <v>21.1.06.09-0151</v>
      </c>
      <c r="C697" s="52" t="str">
        <f>Source!G194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v>
      </c>
      <c r="D697" s="39" t="str">
        <f>Source!H194</f>
        <v>1000 м</v>
      </c>
      <c r="E697" s="40">
        <f>Source!I194</f>
        <v>0.16650000000000001</v>
      </c>
      <c r="F697" s="41">
        <f>Source!AL194+Source!AM194+Source!AO194</f>
        <v>4832.12</v>
      </c>
      <c r="G697" s="46" t="s">
        <v>6</v>
      </c>
      <c r="H697" s="41">
        <f>ROUND(Source!AC194*Source!I194, 2)+ROUND(Source!AD194*Source!I194, 2)+ROUND(Source!AF194*Source!I194, 2)</f>
        <v>804.55</v>
      </c>
      <c r="I697" s="42"/>
      <c r="J697" s="42">
        <f>IF(Source!BC194&lt;&gt; 0, Source!BC194, 1)</f>
        <v>7.13</v>
      </c>
      <c r="K697" s="41">
        <f>Source!O194</f>
        <v>5736.43</v>
      </c>
      <c r="L697" s="47"/>
      <c r="S697">
        <f>ROUND((Source!FX194/100)*((ROUND(Source!AF194*Source!I194, 2)+ROUND(Source!AE194*Source!I194, 2))), 2)</f>
        <v>0</v>
      </c>
      <c r="T697">
        <f>Source!X194</f>
        <v>0</v>
      </c>
      <c r="U697">
        <f>ROUND((Source!FY194/100)*((ROUND(Source!AF194*Source!I194, 2)+ROUND(Source!AE194*Source!I194, 2))), 2)</f>
        <v>0</v>
      </c>
      <c r="V697">
        <f>Source!Y194</f>
        <v>0</v>
      </c>
      <c r="W697">
        <f>IF(Source!BI194&lt;=1,H697, 0)</f>
        <v>0</v>
      </c>
      <c r="X697">
        <f>IF(Source!BI194=2,H697, 0)</f>
        <v>804.55</v>
      </c>
      <c r="Y697">
        <f>IF(Source!BI194=3,H697, 0)</f>
        <v>0</v>
      </c>
      <c r="Z697">
        <f>IF(Source!BI194=4,H697, 0)</f>
        <v>0</v>
      </c>
    </row>
    <row r="698" spans="1:26" ht="15" x14ac:dyDescent="0.25">
      <c r="G698" s="87">
        <f>H690+H691+H693+H694+H695+SUM(H697:H697)</f>
        <v>944.31</v>
      </c>
      <c r="H698" s="87"/>
      <c r="J698" s="87">
        <f>K690+K691+K693+K694+K695+SUM(K697:K697)</f>
        <v>6732.9400000000005</v>
      </c>
      <c r="K698" s="87"/>
      <c r="L698" s="44">
        <f>Source!U193</f>
        <v>4.6952999999999996</v>
      </c>
      <c r="O698" s="27">
        <f>G698</f>
        <v>944.31</v>
      </c>
      <c r="P698" s="27">
        <f>J698</f>
        <v>6732.9400000000005</v>
      </c>
      <c r="Q698" s="27">
        <f>L698</f>
        <v>4.6952999999999996</v>
      </c>
      <c r="W698">
        <f>IF(Source!BI193&lt;=1,H690+H691+H693+H694+H695, 0)</f>
        <v>0</v>
      </c>
      <c r="X698">
        <f>IF(Source!BI193=2,H690+H691+H693+H694+H695, 0)</f>
        <v>139.76</v>
      </c>
      <c r="Y698">
        <f>IF(Source!BI193=3,H690+H691+H693+H694+H695, 0)</f>
        <v>0</v>
      </c>
      <c r="Z698">
        <f>IF(Source!BI193=4,H690+H691+H693+H694+H695, 0)</f>
        <v>0</v>
      </c>
    </row>
    <row r="699" spans="1:26" ht="42.75" x14ac:dyDescent="0.2">
      <c r="A699" s="49" t="str">
        <f>Source!E195</f>
        <v>69</v>
      </c>
      <c r="B699" s="50" t="str">
        <f>Source!F195</f>
        <v>м08-03-591-01</v>
      </c>
      <c r="C699" s="50" t="str">
        <f>Source!G195</f>
        <v>Установка  выключателей одноклавишных неутопленного типа при открытой проводке</v>
      </c>
      <c r="D699" s="33" t="str">
        <f>Source!H195</f>
        <v>100 ШТ</v>
      </c>
      <c r="E699" s="11">
        <f>Source!I195</f>
        <v>0.25</v>
      </c>
      <c r="F699" s="34">
        <f>Source!AL195+Source!AM195+Source!AO195</f>
        <v>423.97</v>
      </c>
      <c r="G699" s="35"/>
      <c r="H699" s="34"/>
      <c r="I699" s="35" t="str">
        <f>Source!BO195</f>
        <v/>
      </c>
      <c r="J699" s="35"/>
      <c r="K699" s="34"/>
      <c r="L699" s="36"/>
      <c r="S699">
        <f>ROUND((Source!FX195/100)*((ROUND(Source!AF195*Source!I195, 2)+ROUND(Source!AE195*Source!I195, 2))), 2)</f>
        <v>74.599999999999994</v>
      </c>
      <c r="T699">
        <f>Source!X195</f>
        <v>531.91</v>
      </c>
      <c r="U699">
        <f>ROUND((Source!FY195/100)*((ROUND(Source!AF195*Source!I195, 2)+ROUND(Source!AE195*Source!I195, 2))), 2)</f>
        <v>51.04</v>
      </c>
      <c r="V699">
        <f>Source!Y195</f>
        <v>363.94</v>
      </c>
    </row>
    <row r="700" spans="1:26" x14ac:dyDescent="0.2">
      <c r="C700" s="26" t="str">
        <f>"Объем: "&amp;Source!I195&amp;"=25/"&amp;"100"</f>
        <v>Объем: 0,25=25/100</v>
      </c>
    </row>
    <row r="701" spans="1:26" ht="14.25" x14ac:dyDescent="0.2">
      <c r="A701" s="49"/>
      <c r="B701" s="50"/>
      <c r="C701" s="50" t="s">
        <v>1783</v>
      </c>
      <c r="D701" s="33"/>
      <c r="E701" s="11"/>
      <c r="F701" s="34">
        <f>Source!AO195</f>
        <v>313.47000000000003</v>
      </c>
      <c r="G701" s="35" t="str">
        <f>Source!DG195</f>
        <v/>
      </c>
      <c r="H701" s="34">
        <f>ROUND(Source!AF195*Source!I195, 2)</f>
        <v>78.37</v>
      </c>
      <c r="I701" s="35"/>
      <c r="J701" s="35">
        <f>IF(Source!BA195&lt;&gt; 0, Source!BA195, 1)</f>
        <v>7.13</v>
      </c>
      <c r="K701" s="34">
        <f>Source!S195</f>
        <v>558.76</v>
      </c>
      <c r="L701" s="36"/>
      <c r="R701">
        <f>H701</f>
        <v>78.37</v>
      </c>
    </row>
    <row r="702" spans="1:26" ht="14.25" x14ac:dyDescent="0.2">
      <c r="A702" s="49"/>
      <c r="B702" s="50"/>
      <c r="C702" s="50" t="s">
        <v>449</v>
      </c>
      <c r="D702" s="33"/>
      <c r="E702" s="11"/>
      <c r="F702" s="34">
        <f>Source!AM195</f>
        <v>4.67</v>
      </c>
      <c r="G702" s="35" t="str">
        <f>Source!DE195</f>
        <v/>
      </c>
      <c r="H702" s="34">
        <f>ROUND(Source!AD195*Source!I195, 2)</f>
        <v>1.17</v>
      </c>
      <c r="I702" s="35"/>
      <c r="J702" s="35">
        <f>IF(Source!BB195&lt;&gt; 0, Source!BB195, 1)</f>
        <v>7.13</v>
      </c>
      <c r="K702" s="34">
        <f>Source!Q195</f>
        <v>8.32</v>
      </c>
      <c r="L702" s="36"/>
    </row>
    <row r="703" spans="1:26" ht="14.25" x14ac:dyDescent="0.2">
      <c r="A703" s="49"/>
      <c r="B703" s="50"/>
      <c r="C703" s="50" t="s">
        <v>1784</v>
      </c>
      <c r="D703" s="33"/>
      <c r="E703" s="11"/>
      <c r="F703" s="34">
        <f>Source!AN195</f>
        <v>0.64</v>
      </c>
      <c r="G703" s="35" t="str">
        <f>Source!DF195</f>
        <v/>
      </c>
      <c r="H703" s="37">
        <f>ROUND(Source!AE195*Source!I195, 2)</f>
        <v>0.16</v>
      </c>
      <c r="I703" s="35"/>
      <c r="J703" s="35">
        <f>IF(Source!BS195&lt;&gt; 0, Source!BS195, 1)</f>
        <v>7.13</v>
      </c>
      <c r="K703" s="37">
        <f>Source!R195</f>
        <v>1.1399999999999999</v>
      </c>
      <c r="L703" s="36"/>
      <c r="R703">
        <f>H703</f>
        <v>0.16</v>
      </c>
    </row>
    <row r="704" spans="1:26" ht="14.25" x14ac:dyDescent="0.2">
      <c r="A704" s="49"/>
      <c r="B704" s="50"/>
      <c r="C704" s="50" t="s">
        <v>1790</v>
      </c>
      <c r="D704" s="33"/>
      <c r="E704" s="11"/>
      <c r="F704" s="34">
        <f>Source!AL195</f>
        <v>105.83</v>
      </c>
      <c r="G704" s="35" t="str">
        <f>Source!DD195</f>
        <v/>
      </c>
      <c r="H704" s="34">
        <f>ROUND(Source!AC195*Source!I195, 2)</f>
        <v>26.46</v>
      </c>
      <c r="I704" s="35"/>
      <c r="J704" s="35">
        <f>IF(Source!BC195&lt;&gt; 0, Source!BC195, 1)</f>
        <v>7.13</v>
      </c>
      <c r="K704" s="34">
        <f>Source!P195</f>
        <v>188.64</v>
      </c>
      <c r="L704" s="36"/>
    </row>
    <row r="705" spans="1:26" ht="14.25" x14ac:dyDescent="0.2">
      <c r="A705" s="49"/>
      <c r="B705" s="50"/>
      <c r="C705" s="50" t="s">
        <v>1785</v>
      </c>
      <c r="D705" s="33" t="s">
        <v>1786</v>
      </c>
      <c r="E705" s="11">
        <f>Source!BZ195</f>
        <v>95</v>
      </c>
      <c r="F705" s="53"/>
      <c r="G705" s="35"/>
      <c r="H705" s="34">
        <f>SUM(S699:S708)</f>
        <v>74.599999999999994</v>
      </c>
      <c r="I705" s="38"/>
      <c r="J705" s="31">
        <f>Source!AT195</f>
        <v>95</v>
      </c>
      <c r="K705" s="34">
        <f>SUM(T699:T708)</f>
        <v>531.91</v>
      </c>
      <c r="L705" s="36"/>
    </row>
    <row r="706" spans="1:26" ht="14.25" x14ac:dyDescent="0.2">
      <c r="A706" s="49"/>
      <c r="B706" s="50"/>
      <c r="C706" s="50" t="s">
        <v>1787</v>
      </c>
      <c r="D706" s="33" t="s">
        <v>1786</v>
      </c>
      <c r="E706" s="11">
        <f>Source!CA195</f>
        <v>65</v>
      </c>
      <c r="F706" s="53"/>
      <c r="G706" s="35"/>
      <c r="H706" s="34">
        <f>SUM(U699:U708)</f>
        <v>51.04</v>
      </c>
      <c r="I706" s="38"/>
      <c r="J706" s="31">
        <f>Source!AU195</f>
        <v>65</v>
      </c>
      <c r="K706" s="34">
        <f>SUM(V699:V708)</f>
        <v>363.94</v>
      </c>
      <c r="L706" s="36"/>
    </row>
    <row r="707" spans="1:26" ht="14.25" x14ac:dyDescent="0.2">
      <c r="A707" s="49"/>
      <c r="B707" s="50"/>
      <c r="C707" s="50" t="s">
        <v>1788</v>
      </c>
      <c r="D707" s="33" t="s">
        <v>1789</v>
      </c>
      <c r="E707" s="11">
        <f>Source!AQ195</f>
        <v>31.6</v>
      </c>
      <c r="F707" s="34"/>
      <c r="G707" s="35" t="str">
        <f>Source!DI195</f>
        <v/>
      </c>
      <c r="H707" s="34"/>
      <c r="I707" s="35"/>
      <c r="J707" s="35"/>
      <c r="K707" s="34"/>
      <c r="L707" s="45">
        <f>Source!U195</f>
        <v>7.9</v>
      </c>
    </row>
    <row r="708" spans="1:26" ht="57" x14ac:dyDescent="0.2">
      <c r="A708" s="51" t="str">
        <f>Source!E196</f>
        <v>69,1</v>
      </c>
      <c r="B708" s="52" t="str">
        <f>Source!F196</f>
        <v>20.4.01.01-0041</v>
      </c>
      <c r="C708" s="52" t="str">
        <f>Source!G196</f>
        <v>Выключатель одноклавишный для открытой проводки серии "Прима", марка А16-046-с с подсветкой, цвет бежевый</v>
      </c>
      <c r="D708" s="39" t="str">
        <f>Source!H196</f>
        <v>10 шт.</v>
      </c>
      <c r="E708" s="40">
        <f>Source!I196</f>
        <v>2.5</v>
      </c>
      <c r="F708" s="41">
        <f>Source!AL196+Source!AM196+Source!AO196</f>
        <v>96.2</v>
      </c>
      <c r="G708" s="46" t="s">
        <v>6</v>
      </c>
      <c r="H708" s="41">
        <f>ROUND(Source!AC196*Source!I196, 2)+ROUND(Source!AD196*Source!I196, 2)+ROUND(Source!AF196*Source!I196, 2)</f>
        <v>240.5</v>
      </c>
      <c r="I708" s="42"/>
      <c r="J708" s="42">
        <f>IF(Source!BC196&lt;&gt; 0, Source!BC196, 1)</f>
        <v>7.13</v>
      </c>
      <c r="K708" s="41">
        <f>Source!O196</f>
        <v>1714.77</v>
      </c>
      <c r="L708" s="47"/>
      <c r="S708">
        <f>ROUND((Source!FX196/100)*((ROUND(Source!AF196*Source!I196, 2)+ROUND(Source!AE196*Source!I196, 2))), 2)</f>
        <v>0</v>
      </c>
      <c r="T708">
        <f>Source!X196</f>
        <v>0</v>
      </c>
      <c r="U708">
        <f>ROUND((Source!FY196/100)*((ROUND(Source!AF196*Source!I196, 2)+ROUND(Source!AE196*Source!I196, 2))), 2)</f>
        <v>0</v>
      </c>
      <c r="V708">
        <f>Source!Y196</f>
        <v>0</v>
      </c>
      <c r="W708">
        <f>IF(Source!BI196&lt;=1,H708, 0)</f>
        <v>0</v>
      </c>
      <c r="X708">
        <f>IF(Source!BI196=2,H708, 0)</f>
        <v>240.5</v>
      </c>
      <c r="Y708">
        <f>IF(Source!BI196=3,H708, 0)</f>
        <v>0</v>
      </c>
      <c r="Z708">
        <f>IF(Source!BI196=4,H708, 0)</f>
        <v>0</v>
      </c>
    </row>
    <row r="709" spans="1:26" ht="15" x14ac:dyDescent="0.25">
      <c r="G709" s="87">
        <f>H701+H702+H704+H705+H706+SUM(H708:H708)</f>
        <v>472.14</v>
      </c>
      <c r="H709" s="87"/>
      <c r="J709" s="87">
        <f>K701+K702+K704+K705+K706+SUM(K708:K708)</f>
        <v>3366.34</v>
      </c>
      <c r="K709" s="87"/>
      <c r="L709" s="44">
        <f>Source!U195</f>
        <v>7.9</v>
      </c>
      <c r="O709" s="27">
        <f>G709</f>
        <v>472.14</v>
      </c>
      <c r="P709" s="27">
        <f>J709</f>
        <v>3366.34</v>
      </c>
      <c r="Q709" s="27">
        <f>L709</f>
        <v>7.9</v>
      </c>
      <c r="W709">
        <f>IF(Source!BI195&lt;=1,H701+H702+H704+H705+H706, 0)</f>
        <v>0</v>
      </c>
      <c r="X709">
        <f>IF(Source!BI195=2,H701+H702+H704+H705+H706, 0)</f>
        <v>231.64</v>
      </c>
      <c r="Y709">
        <f>IF(Source!BI195=3,H701+H702+H704+H705+H706, 0)</f>
        <v>0</v>
      </c>
      <c r="Z709">
        <f>IF(Source!BI195=4,H701+H702+H704+H705+H706, 0)</f>
        <v>0</v>
      </c>
    </row>
    <row r="710" spans="1:26" ht="42.75" x14ac:dyDescent="0.2">
      <c r="A710" s="49" t="str">
        <f>Source!E197</f>
        <v>70</v>
      </c>
      <c r="B710" s="50" t="str">
        <f>Source!F197</f>
        <v>м08-02-370-02</v>
      </c>
      <c r="C710" s="50" t="str">
        <f>Source!G197</f>
        <v>Установка щитков  до трех групп, устанавливаемый в нише цоколя (Бокс )</v>
      </c>
      <c r="D710" s="33" t="str">
        <f>Source!H197</f>
        <v>ШТ</v>
      </c>
      <c r="E710" s="11">
        <f>Source!I197</f>
        <v>2</v>
      </c>
      <c r="F710" s="34">
        <f>Source!AL197+Source!AM197+Source!AO197</f>
        <v>33.42</v>
      </c>
      <c r="G710" s="35"/>
      <c r="H710" s="34"/>
      <c r="I710" s="35" t="str">
        <f>Source!BO197</f>
        <v/>
      </c>
      <c r="J710" s="35"/>
      <c r="K710" s="34"/>
      <c r="L710" s="36"/>
      <c r="S710">
        <f>ROUND((Source!FX197/100)*((ROUND(Source!AF197*Source!I197, 2)+ROUND(Source!AE197*Source!I197, 2))), 2)</f>
        <v>22.72</v>
      </c>
      <c r="T710">
        <f>Source!X197</f>
        <v>162.02000000000001</v>
      </c>
      <c r="U710">
        <f>ROUND((Source!FY197/100)*((ROUND(Source!AF197*Source!I197, 2)+ROUND(Source!AE197*Source!I197, 2))), 2)</f>
        <v>15.55</v>
      </c>
      <c r="V710">
        <f>Source!Y197</f>
        <v>110.86</v>
      </c>
    </row>
    <row r="711" spans="1:26" ht="14.25" x14ac:dyDescent="0.2">
      <c r="A711" s="49"/>
      <c r="B711" s="50"/>
      <c r="C711" s="50" t="s">
        <v>1783</v>
      </c>
      <c r="D711" s="33"/>
      <c r="E711" s="11"/>
      <c r="F711" s="34">
        <f>Source!AO197</f>
        <v>9.4499999999999993</v>
      </c>
      <c r="G711" s="35" t="str">
        <f>Source!DG197</f>
        <v/>
      </c>
      <c r="H711" s="34">
        <f>ROUND(Source!AF197*Source!I197, 2)</f>
        <v>18.899999999999999</v>
      </c>
      <c r="I711" s="35"/>
      <c r="J711" s="35">
        <f>IF(Source!BA197&lt;&gt; 0, Source!BA197, 1)</f>
        <v>7.13</v>
      </c>
      <c r="K711" s="34">
        <f>Source!S197</f>
        <v>134.76</v>
      </c>
      <c r="L711" s="36"/>
      <c r="R711">
        <f>H711</f>
        <v>18.899999999999999</v>
      </c>
    </row>
    <row r="712" spans="1:26" ht="14.25" x14ac:dyDescent="0.2">
      <c r="A712" s="49"/>
      <c r="B712" s="50"/>
      <c r="C712" s="50" t="s">
        <v>449</v>
      </c>
      <c r="D712" s="33"/>
      <c r="E712" s="11"/>
      <c r="F712" s="34">
        <f>Source!AM197</f>
        <v>17.77</v>
      </c>
      <c r="G712" s="35" t="str">
        <f>Source!DE197</f>
        <v/>
      </c>
      <c r="H712" s="34">
        <f>ROUND(Source!AD197*Source!I197, 2)</f>
        <v>35.54</v>
      </c>
      <c r="I712" s="35"/>
      <c r="J712" s="35">
        <f>IF(Source!BB197&lt;&gt; 0, Source!BB197, 1)</f>
        <v>7.13</v>
      </c>
      <c r="K712" s="34">
        <f>Source!Q197</f>
        <v>253.4</v>
      </c>
      <c r="L712" s="36"/>
    </row>
    <row r="713" spans="1:26" ht="14.25" x14ac:dyDescent="0.2">
      <c r="A713" s="49"/>
      <c r="B713" s="50"/>
      <c r="C713" s="50" t="s">
        <v>1784</v>
      </c>
      <c r="D713" s="33"/>
      <c r="E713" s="11"/>
      <c r="F713" s="34">
        <f>Source!AN197</f>
        <v>2.5099999999999998</v>
      </c>
      <c r="G713" s="35" t="str">
        <f>Source!DF197</f>
        <v/>
      </c>
      <c r="H713" s="37">
        <f>ROUND(Source!AE197*Source!I197, 2)</f>
        <v>5.0199999999999996</v>
      </c>
      <c r="I713" s="35"/>
      <c r="J713" s="35">
        <f>IF(Source!BS197&lt;&gt; 0, Source!BS197, 1)</f>
        <v>7.13</v>
      </c>
      <c r="K713" s="37">
        <f>Source!R197</f>
        <v>35.79</v>
      </c>
      <c r="L713" s="36"/>
      <c r="R713">
        <f>H713</f>
        <v>5.0199999999999996</v>
      </c>
    </row>
    <row r="714" spans="1:26" ht="14.25" x14ac:dyDescent="0.2">
      <c r="A714" s="49"/>
      <c r="B714" s="50"/>
      <c r="C714" s="50" t="s">
        <v>1790</v>
      </c>
      <c r="D714" s="33"/>
      <c r="E714" s="11"/>
      <c r="F714" s="34">
        <f>Source!AL197</f>
        <v>6.2</v>
      </c>
      <c r="G714" s="35" t="str">
        <f>Source!DD197</f>
        <v/>
      </c>
      <c r="H714" s="34">
        <f>ROUND(Source!AC197*Source!I197, 2)</f>
        <v>12.4</v>
      </c>
      <c r="I714" s="35"/>
      <c r="J714" s="35">
        <f>IF(Source!BC197&lt;&gt; 0, Source!BC197, 1)</f>
        <v>7.13</v>
      </c>
      <c r="K714" s="34">
        <f>Source!P197</f>
        <v>88.41</v>
      </c>
      <c r="L714" s="36"/>
    </row>
    <row r="715" spans="1:26" ht="14.25" x14ac:dyDescent="0.2">
      <c r="A715" s="49"/>
      <c r="B715" s="50"/>
      <c r="C715" s="50" t="s">
        <v>1785</v>
      </c>
      <c r="D715" s="33" t="s">
        <v>1786</v>
      </c>
      <c r="E715" s="11">
        <f>Source!BZ197</f>
        <v>95</v>
      </c>
      <c r="F715" s="53"/>
      <c r="G715" s="35"/>
      <c r="H715" s="34">
        <f>SUM(S710:S718)</f>
        <v>22.72</v>
      </c>
      <c r="I715" s="38"/>
      <c r="J715" s="31">
        <f>Source!AT197</f>
        <v>95</v>
      </c>
      <c r="K715" s="34">
        <f>SUM(T710:T718)</f>
        <v>162.02000000000001</v>
      </c>
      <c r="L715" s="36"/>
    </row>
    <row r="716" spans="1:26" ht="14.25" x14ac:dyDescent="0.2">
      <c r="A716" s="49"/>
      <c r="B716" s="50"/>
      <c r="C716" s="50" t="s">
        <v>1787</v>
      </c>
      <c r="D716" s="33" t="s">
        <v>1786</v>
      </c>
      <c r="E716" s="11">
        <f>Source!CA197</f>
        <v>65</v>
      </c>
      <c r="F716" s="53"/>
      <c r="G716" s="35"/>
      <c r="H716" s="34">
        <f>SUM(U710:U718)</f>
        <v>15.55</v>
      </c>
      <c r="I716" s="38"/>
      <c r="J716" s="31">
        <f>Source!AU197</f>
        <v>65</v>
      </c>
      <c r="K716" s="34">
        <f>SUM(V710:V718)</f>
        <v>110.86</v>
      </c>
      <c r="L716" s="36"/>
    </row>
    <row r="717" spans="1:26" ht="14.25" x14ac:dyDescent="0.2">
      <c r="A717" s="49"/>
      <c r="B717" s="50"/>
      <c r="C717" s="50" t="s">
        <v>1788</v>
      </c>
      <c r="D717" s="33" t="s">
        <v>1789</v>
      </c>
      <c r="E717" s="11">
        <f>Source!AQ197</f>
        <v>0.9</v>
      </c>
      <c r="F717" s="34"/>
      <c r="G717" s="35" t="str">
        <f>Source!DI197</f>
        <v/>
      </c>
      <c r="H717" s="34"/>
      <c r="I717" s="35"/>
      <c r="J717" s="35"/>
      <c r="K717" s="34"/>
      <c r="L717" s="45">
        <f>Source!U197</f>
        <v>1.8</v>
      </c>
    </row>
    <row r="718" spans="1:26" ht="42.75" x14ac:dyDescent="0.2">
      <c r="A718" s="51" t="str">
        <f>Source!E198</f>
        <v>70,1</v>
      </c>
      <c r="B718" s="52" t="str">
        <f>Source!F198</f>
        <v>22.1.01.01-0013</v>
      </c>
      <c r="C718" s="52" t="str">
        <f>Source!G198</f>
        <v>Бокс встраиваемый пластиковый с прозрачной дверцей на 24 модуля, размером 300х395х90 мм АВВ Unibox</v>
      </c>
      <c r="D718" s="39" t="str">
        <f>Source!H198</f>
        <v>шт.</v>
      </c>
      <c r="E718" s="40">
        <f>Source!I198</f>
        <v>2</v>
      </c>
      <c r="F718" s="41">
        <f>Source!AL198+Source!AM198+Source!AO198</f>
        <v>163.69999999999999</v>
      </c>
      <c r="G718" s="46" t="s">
        <v>6</v>
      </c>
      <c r="H718" s="41">
        <f>ROUND(Source!AC198*Source!I198, 2)+ROUND(Source!AD198*Source!I198, 2)+ROUND(Source!AF198*Source!I198, 2)</f>
        <v>327.39999999999998</v>
      </c>
      <c r="I718" s="42"/>
      <c r="J718" s="42">
        <f>IF(Source!BC198&lt;&gt; 0, Source!BC198, 1)</f>
        <v>7.13</v>
      </c>
      <c r="K718" s="41">
        <f>Source!O198</f>
        <v>2334.36</v>
      </c>
      <c r="L718" s="47"/>
      <c r="S718">
        <f>ROUND((Source!FX198/100)*((ROUND(Source!AF198*Source!I198, 2)+ROUND(Source!AE198*Source!I198, 2))), 2)</f>
        <v>0</v>
      </c>
      <c r="T718">
        <f>Source!X198</f>
        <v>0</v>
      </c>
      <c r="U718">
        <f>ROUND((Source!FY198/100)*((ROUND(Source!AF198*Source!I198, 2)+ROUND(Source!AE198*Source!I198, 2))), 2)</f>
        <v>0</v>
      </c>
      <c r="V718">
        <f>Source!Y198</f>
        <v>0</v>
      </c>
      <c r="W718">
        <f>IF(Source!BI198&lt;=1,H718, 0)</f>
        <v>0</v>
      </c>
      <c r="X718">
        <f>IF(Source!BI198=2,H718, 0)</f>
        <v>327.39999999999998</v>
      </c>
      <c r="Y718">
        <f>IF(Source!BI198=3,H718, 0)</f>
        <v>0</v>
      </c>
      <c r="Z718">
        <f>IF(Source!BI198=4,H718, 0)</f>
        <v>0</v>
      </c>
    </row>
    <row r="719" spans="1:26" ht="15" x14ac:dyDescent="0.25">
      <c r="G719" s="87">
        <f>H711+H712+H714+H715+H716+SUM(H718:H718)</f>
        <v>432.51</v>
      </c>
      <c r="H719" s="87"/>
      <c r="J719" s="87">
        <f>K711+K712+K714+K715+K716+SUM(K718:K718)</f>
        <v>3083.81</v>
      </c>
      <c r="K719" s="87"/>
      <c r="L719" s="44">
        <f>Source!U197</f>
        <v>1.8</v>
      </c>
      <c r="O719" s="27">
        <f>G719</f>
        <v>432.51</v>
      </c>
      <c r="P719" s="27">
        <f>J719</f>
        <v>3083.81</v>
      </c>
      <c r="Q719" s="27">
        <f>L719</f>
        <v>1.8</v>
      </c>
      <c r="W719">
        <f>IF(Source!BI197&lt;=1,H711+H712+H714+H715+H716, 0)</f>
        <v>0</v>
      </c>
      <c r="X719">
        <f>IF(Source!BI197=2,H711+H712+H714+H715+H716, 0)</f>
        <v>105.11</v>
      </c>
      <c r="Y719">
        <f>IF(Source!BI197=3,H711+H712+H714+H715+H716, 0)</f>
        <v>0</v>
      </c>
      <c r="Z719">
        <f>IF(Source!BI197=4,H711+H712+H714+H715+H716, 0)</f>
        <v>0</v>
      </c>
    </row>
    <row r="720" spans="1:26" ht="57" x14ac:dyDescent="0.2">
      <c r="A720" s="49" t="str">
        <f>Source!E199</f>
        <v>71</v>
      </c>
      <c r="B720" s="50" t="str">
        <f>Source!F199</f>
        <v>м08-03-526-01</v>
      </c>
      <c r="C720" s="50" t="str">
        <f>Source!G199</f>
        <v>Установка автоматов  одно-, двух-, трехполюсных, устанавливаемый на конструкции на стене или колонне, на ток до 25 А</v>
      </c>
      <c r="D720" s="33" t="str">
        <f>Source!H199</f>
        <v>ШТ</v>
      </c>
      <c r="E720" s="11">
        <f>Source!I199</f>
        <v>18</v>
      </c>
      <c r="F720" s="34">
        <f>Source!AL199+Source!AM199+Source!AO199</f>
        <v>35.980000000000004</v>
      </c>
      <c r="G720" s="35"/>
      <c r="H720" s="34"/>
      <c r="I720" s="35" t="str">
        <f>Source!BO199</f>
        <v/>
      </c>
      <c r="J720" s="35"/>
      <c r="K720" s="34"/>
      <c r="L720" s="36"/>
      <c r="S720">
        <f>ROUND((Source!FX199/100)*((ROUND(Source!AF199*Source!I199, 2)+ROUND(Source!AE199*Source!I199, 2))), 2)</f>
        <v>253.76</v>
      </c>
      <c r="T720">
        <f>Source!X199</f>
        <v>1809.34</v>
      </c>
      <c r="U720">
        <f>ROUND((Source!FY199/100)*((ROUND(Source!AF199*Source!I199, 2)+ROUND(Source!AE199*Source!I199, 2))), 2)</f>
        <v>173.63</v>
      </c>
      <c r="V720">
        <f>Source!Y199</f>
        <v>1237.97</v>
      </c>
    </row>
    <row r="721" spans="1:26" ht="14.25" x14ac:dyDescent="0.2">
      <c r="A721" s="49"/>
      <c r="B721" s="50"/>
      <c r="C721" s="50" t="s">
        <v>1783</v>
      </c>
      <c r="D721" s="33"/>
      <c r="E721" s="11"/>
      <c r="F721" s="34">
        <f>Source!AO199</f>
        <v>14.84</v>
      </c>
      <c r="G721" s="35" t="str">
        <f>Source!DG199</f>
        <v/>
      </c>
      <c r="H721" s="34">
        <f>ROUND(Source!AF199*Source!I199, 2)</f>
        <v>267.12</v>
      </c>
      <c r="I721" s="35"/>
      <c r="J721" s="35">
        <f>IF(Source!BA199&lt;&gt; 0, Source!BA199, 1)</f>
        <v>7.13</v>
      </c>
      <c r="K721" s="34">
        <f>Source!S199</f>
        <v>1904.57</v>
      </c>
      <c r="L721" s="36"/>
      <c r="R721">
        <f>H721</f>
        <v>267.12</v>
      </c>
    </row>
    <row r="722" spans="1:26" ht="14.25" x14ac:dyDescent="0.2">
      <c r="A722" s="49"/>
      <c r="B722" s="50"/>
      <c r="C722" s="50" t="s">
        <v>449</v>
      </c>
      <c r="D722" s="33"/>
      <c r="E722" s="11"/>
      <c r="F722" s="34">
        <f>Source!AM199</f>
        <v>1.05</v>
      </c>
      <c r="G722" s="35" t="str">
        <f>Source!DE199</f>
        <v/>
      </c>
      <c r="H722" s="34">
        <f>ROUND(Source!AD199*Source!I199, 2)</f>
        <v>18.899999999999999</v>
      </c>
      <c r="I722" s="35"/>
      <c r="J722" s="35">
        <f>IF(Source!BB199&lt;&gt; 0, Source!BB199, 1)</f>
        <v>7.13</v>
      </c>
      <c r="K722" s="34">
        <f>Source!Q199</f>
        <v>134.76</v>
      </c>
      <c r="L722" s="36"/>
    </row>
    <row r="723" spans="1:26" ht="14.25" x14ac:dyDescent="0.2">
      <c r="A723" s="49"/>
      <c r="B723" s="50"/>
      <c r="C723" s="50" t="s">
        <v>1790</v>
      </c>
      <c r="D723" s="33"/>
      <c r="E723" s="11"/>
      <c r="F723" s="34">
        <f>Source!AL199</f>
        <v>20.09</v>
      </c>
      <c r="G723" s="35" t="str">
        <f>Source!DD199</f>
        <v/>
      </c>
      <c r="H723" s="34">
        <f>ROUND(Source!AC199*Source!I199, 2)</f>
        <v>361.62</v>
      </c>
      <c r="I723" s="35"/>
      <c r="J723" s="35">
        <f>IF(Source!BC199&lt;&gt; 0, Source!BC199, 1)</f>
        <v>7.13</v>
      </c>
      <c r="K723" s="34">
        <f>Source!P199</f>
        <v>2578.35</v>
      </c>
      <c r="L723" s="36"/>
    </row>
    <row r="724" spans="1:26" ht="14.25" x14ac:dyDescent="0.2">
      <c r="A724" s="49"/>
      <c r="B724" s="50"/>
      <c r="C724" s="50" t="s">
        <v>1785</v>
      </c>
      <c r="D724" s="33" t="s">
        <v>1786</v>
      </c>
      <c r="E724" s="11">
        <f>Source!BZ199</f>
        <v>95</v>
      </c>
      <c r="F724" s="53"/>
      <c r="G724" s="35"/>
      <c r="H724" s="34">
        <f>SUM(S720:S729)</f>
        <v>253.76</v>
      </c>
      <c r="I724" s="38"/>
      <c r="J724" s="31">
        <f>Source!AT199</f>
        <v>95</v>
      </c>
      <c r="K724" s="34">
        <f>SUM(T720:T729)</f>
        <v>1809.34</v>
      </c>
      <c r="L724" s="36"/>
    </row>
    <row r="725" spans="1:26" ht="14.25" x14ac:dyDescent="0.2">
      <c r="A725" s="49"/>
      <c r="B725" s="50"/>
      <c r="C725" s="50" t="s">
        <v>1787</v>
      </c>
      <c r="D725" s="33" t="s">
        <v>1786</v>
      </c>
      <c r="E725" s="11">
        <f>Source!CA199</f>
        <v>65</v>
      </c>
      <c r="F725" s="53"/>
      <c r="G725" s="35"/>
      <c r="H725" s="34">
        <f>SUM(U720:U729)</f>
        <v>173.63</v>
      </c>
      <c r="I725" s="38"/>
      <c r="J725" s="31">
        <f>Source!AU199</f>
        <v>65</v>
      </c>
      <c r="K725" s="34">
        <f>SUM(V720:V729)</f>
        <v>1237.97</v>
      </c>
      <c r="L725" s="36"/>
    </row>
    <row r="726" spans="1:26" ht="14.25" x14ac:dyDescent="0.2">
      <c r="A726" s="49"/>
      <c r="B726" s="50"/>
      <c r="C726" s="50" t="s">
        <v>1788</v>
      </c>
      <c r="D726" s="33" t="s">
        <v>1789</v>
      </c>
      <c r="E726" s="11">
        <f>Source!AQ199</f>
        <v>1.56</v>
      </c>
      <c r="F726" s="34"/>
      <c r="G726" s="35" t="str">
        <f>Source!DI199</f>
        <v/>
      </c>
      <c r="H726" s="34"/>
      <c r="I726" s="35"/>
      <c r="J726" s="35"/>
      <c r="K726" s="34"/>
      <c r="L726" s="45">
        <f>Source!U199</f>
        <v>28.080000000000002</v>
      </c>
    </row>
    <row r="727" spans="1:26" ht="28.5" x14ac:dyDescent="0.2">
      <c r="A727" s="49" t="str">
        <f>Source!E200</f>
        <v>71,1</v>
      </c>
      <c r="B727" s="50" t="str">
        <f>Source!F200</f>
        <v>62.1.01.09-0050</v>
      </c>
      <c r="C727" s="50" t="str">
        <f>Source!G200</f>
        <v>Выключатели автоматические  АВВ 1Р 16А</v>
      </c>
      <c r="D727" s="33" t="str">
        <f>Source!H200</f>
        <v>шт.</v>
      </c>
      <c r="E727" s="11">
        <f>Source!I200</f>
        <v>14</v>
      </c>
      <c r="F727" s="34">
        <f>Source!AL200+Source!AM200+Source!AO200</f>
        <v>66.48</v>
      </c>
      <c r="G727" s="48" t="s">
        <v>6</v>
      </c>
      <c r="H727" s="34">
        <f>ROUND(Source!AC200*Source!I200, 2)+ROUND(Source!AD200*Source!I200, 2)+ROUND(Source!AF200*Source!I200, 2)</f>
        <v>930.72</v>
      </c>
      <c r="I727" s="35"/>
      <c r="J727" s="35">
        <f>IF(Source!BC200&lt;&gt; 0, Source!BC200, 1)</f>
        <v>7.13</v>
      </c>
      <c r="K727" s="34">
        <f>Source!O200</f>
        <v>6636.03</v>
      </c>
      <c r="L727" s="36"/>
      <c r="S727">
        <f>ROUND((Source!FX200/100)*((ROUND(Source!AF200*Source!I200, 2)+ROUND(Source!AE200*Source!I200, 2))), 2)</f>
        <v>0</v>
      </c>
      <c r="T727">
        <f>Source!X200</f>
        <v>0</v>
      </c>
      <c r="U727">
        <f>ROUND((Source!FY200/100)*((ROUND(Source!AF200*Source!I200, 2)+ROUND(Source!AE200*Source!I200, 2))), 2)</f>
        <v>0</v>
      </c>
      <c r="V727">
        <f>Source!Y200</f>
        <v>0</v>
      </c>
      <c r="W727">
        <f>IF(Source!BI200&lt;=1,H727, 0)</f>
        <v>0</v>
      </c>
      <c r="X727">
        <f>IF(Source!BI200=2,H727, 0)</f>
        <v>930.72</v>
      </c>
      <c r="Y727">
        <f>IF(Source!BI200=3,H727, 0)</f>
        <v>0</v>
      </c>
      <c r="Z727">
        <f>IF(Source!BI200=4,H727, 0)</f>
        <v>0</v>
      </c>
    </row>
    <row r="728" spans="1:26" ht="28.5" x14ac:dyDescent="0.2">
      <c r="A728" s="49" t="str">
        <f>Source!E201</f>
        <v>71,2</v>
      </c>
      <c r="B728" s="50" t="str">
        <f>Source!F201</f>
        <v>62.1.01.09-0049</v>
      </c>
      <c r="C728" s="50" t="str">
        <f>Source!G201</f>
        <v>Выключатели автоматические  АВВ 1Р 10А</v>
      </c>
      <c r="D728" s="33" t="str">
        <f>Source!H201</f>
        <v>шт.</v>
      </c>
      <c r="E728" s="11">
        <f>Source!I201</f>
        <v>2</v>
      </c>
      <c r="F728" s="34">
        <f>Source!AL201+Source!AM201+Source!AO201</f>
        <v>73.63</v>
      </c>
      <c r="G728" s="48" t="s">
        <v>6</v>
      </c>
      <c r="H728" s="34">
        <f>ROUND(Source!AC201*Source!I201, 2)+ROUND(Source!AD201*Source!I201, 2)+ROUND(Source!AF201*Source!I201, 2)</f>
        <v>147.26</v>
      </c>
      <c r="I728" s="35"/>
      <c r="J728" s="35">
        <f>IF(Source!BC201&lt;&gt; 0, Source!BC201, 1)</f>
        <v>7.13</v>
      </c>
      <c r="K728" s="34">
        <f>Source!O201</f>
        <v>1049.96</v>
      </c>
      <c r="L728" s="36"/>
      <c r="S728">
        <f>ROUND((Source!FX201/100)*((ROUND(Source!AF201*Source!I201, 2)+ROUND(Source!AE201*Source!I201, 2))), 2)</f>
        <v>0</v>
      </c>
      <c r="T728">
        <f>Source!X201</f>
        <v>0</v>
      </c>
      <c r="U728">
        <f>ROUND((Source!FY201/100)*((ROUND(Source!AF201*Source!I201, 2)+ROUND(Source!AE201*Source!I201, 2))), 2)</f>
        <v>0</v>
      </c>
      <c r="V728">
        <f>Source!Y201</f>
        <v>0</v>
      </c>
      <c r="W728">
        <f>IF(Source!BI201&lt;=1,H728, 0)</f>
        <v>0</v>
      </c>
      <c r="X728">
        <f>IF(Source!BI201=2,H728, 0)</f>
        <v>147.26</v>
      </c>
      <c r="Y728">
        <f>IF(Source!BI201=3,H728, 0)</f>
        <v>0</v>
      </c>
      <c r="Z728">
        <f>IF(Source!BI201=4,H728, 0)</f>
        <v>0</v>
      </c>
    </row>
    <row r="729" spans="1:26" ht="42.75" x14ac:dyDescent="0.2">
      <c r="A729" s="51" t="str">
        <f>Source!E202</f>
        <v>71,3</v>
      </c>
      <c r="B729" s="52" t="str">
        <f>Source!F202</f>
        <v>62.1.01.02-0017</v>
      </c>
      <c r="C729" s="52" t="str">
        <f>Source!G202</f>
        <v>Выключатели автоматические дифференциального тока АВВ DS941 1P+N 16А 30мА</v>
      </c>
      <c r="D729" s="39" t="str">
        <f>Source!H202</f>
        <v>шт.</v>
      </c>
      <c r="E729" s="40">
        <f>Source!I202</f>
        <v>2</v>
      </c>
      <c r="F729" s="41">
        <f>Source!AL202+Source!AM202+Source!AO202</f>
        <v>142.63999999999999</v>
      </c>
      <c r="G729" s="46" t="s">
        <v>6</v>
      </c>
      <c r="H729" s="41">
        <f>ROUND(Source!AC202*Source!I202, 2)+ROUND(Source!AD202*Source!I202, 2)+ROUND(Source!AF202*Source!I202, 2)</f>
        <v>285.27999999999997</v>
      </c>
      <c r="I729" s="42"/>
      <c r="J729" s="42">
        <f>IF(Source!BC202&lt;&gt; 0, Source!BC202, 1)</f>
        <v>7.13</v>
      </c>
      <c r="K729" s="41">
        <f>Source!O202</f>
        <v>2034.05</v>
      </c>
      <c r="L729" s="47"/>
      <c r="S729">
        <f>ROUND((Source!FX202/100)*((ROUND(Source!AF202*Source!I202, 2)+ROUND(Source!AE202*Source!I202, 2))), 2)</f>
        <v>0</v>
      </c>
      <c r="T729">
        <f>Source!X202</f>
        <v>0</v>
      </c>
      <c r="U729">
        <f>ROUND((Source!FY202/100)*((ROUND(Source!AF202*Source!I202, 2)+ROUND(Source!AE202*Source!I202, 2))), 2)</f>
        <v>0</v>
      </c>
      <c r="V729">
        <f>Source!Y202</f>
        <v>0</v>
      </c>
      <c r="W729">
        <f>IF(Source!BI202&lt;=1,H729, 0)</f>
        <v>0</v>
      </c>
      <c r="X729">
        <f>IF(Source!BI202=2,H729, 0)</f>
        <v>285.27999999999997</v>
      </c>
      <c r="Y729">
        <f>IF(Source!BI202=3,H729, 0)</f>
        <v>0</v>
      </c>
      <c r="Z729">
        <f>IF(Source!BI202=4,H729, 0)</f>
        <v>0</v>
      </c>
    </row>
    <row r="730" spans="1:26" ht="15" x14ac:dyDescent="0.25">
      <c r="G730" s="87">
        <f>H721+H722+H723+H724+H725+SUM(H727:H729)</f>
        <v>2438.29</v>
      </c>
      <c r="H730" s="87"/>
      <c r="J730" s="87">
        <f>K721+K722+K723+K724+K725+SUM(K727:K729)</f>
        <v>17385.03</v>
      </c>
      <c r="K730" s="87"/>
      <c r="L730" s="44">
        <f>Source!U199</f>
        <v>28.080000000000002</v>
      </c>
      <c r="O730" s="27">
        <f>G730</f>
        <v>2438.29</v>
      </c>
      <c r="P730" s="27">
        <f>J730</f>
        <v>17385.03</v>
      </c>
      <c r="Q730" s="27">
        <f>L730</f>
        <v>28.080000000000002</v>
      </c>
      <c r="W730">
        <f>IF(Source!BI199&lt;=1,H721+H722+H723+H724+H725, 0)</f>
        <v>0</v>
      </c>
      <c r="X730">
        <f>IF(Source!BI199=2,H721+H722+H723+H724+H725, 0)</f>
        <v>1075.03</v>
      </c>
      <c r="Y730">
        <f>IF(Source!BI199=3,H721+H722+H723+H724+H725, 0)</f>
        <v>0</v>
      </c>
      <c r="Z730">
        <f>IF(Source!BI199=4,H721+H722+H723+H724+H725, 0)</f>
        <v>0</v>
      </c>
    </row>
    <row r="731" spans="1:26" ht="57" x14ac:dyDescent="0.2">
      <c r="A731" s="49" t="str">
        <f>Source!E203</f>
        <v>72</v>
      </c>
      <c r="B731" s="50" t="str">
        <f>Source!F203</f>
        <v>м08-03-526-02</v>
      </c>
      <c r="C731" s="50" t="str">
        <f>Source!G203</f>
        <v>Установка автоматов  одно-, двух-, трехполюсных, устанавливаемый на конструкции на стене или колонне, на ток до 100 А</v>
      </c>
      <c r="D731" s="33" t="str">
        <f>Source!H203</f>
        <v>ШТ</v>
      </c>
      <c r="E731" s="11">
        <f>Source!I203</f>
        <v>4</v>
      </c>
      <c r="F731" s="34">
        <f>Source!AL203+Source!AM203+Source!AO203</f>
        <v>61.47999999999999</v>
      </c>
      <c r="G731" s="35"/>
      <c r="H731" s="34"/>
      <c r="I731" s="35" t="str">
        <f>Source!BO203</f>
        <v/>
      </c>
      <c r="J731" s="35"/>
      <c r="K731" s="34"/>
      <c r="L731" s="36"/>
      <c r="S731">
        <f>ROUND((Source!FX203/100)*((ROUND(Source!AF203*Source!I203, 2)+ROUND(Source!AE203*Source!I203, 2))), 2)</f>
        <v>84.82</v>
      </c>
      <c r="T731">
        <f>Source!X203</f>
        <v>604.74</v>
      </c>
      <c r="U731">
        <f>ROUND((Source!FY203/100)*((ROUND(Source!AF203*Source!I203, 2)+ROUND(Source!AE203*Source!I203, 2))), 2)</f>
        <v>58.03</v>
      </c>
      <c r="V731">
        <f>Source!Y203</f>
        <v>413.77</v>
      </c>
    </row>
    <row r="732" spans="1:26" ht="14.25" x14ac:dyDescent="0.2">
      <c r="A732" s="49"/>
      <c r="B732" s="50"/>
      <c r="C732" s="50" t="s">
        <v>1783</v>
      </c>
      <c r="D732" s="33"/>
      <c r="E732" s="11"/>
      <c r="F732" s="34">
        <f>Source!AO203</f>
        <v>22.06</v>
      </c>
      <c r="G732" s="35" t="str">
        <f>Source!DG203</f>
        <v/>
      </c>
      <c r="H732" s="34">
        <f>ROUND(Source!AF203*Source!I203, 2)</f>
        <v>88.24</v>
      </c>
      <c r="I732" s="35"/>
      <c r="J732" s="35">
        <f>IF(Source!BA203&lt;&gt; 0, Source!BA203, 1)</f>
        <v>7.13</v>
      </c>
      <c r="K732" s="34">
        <f>Source!S203</f>
        <v>629.15</v>
      </c>
      <c r="L732" s="36"/>
      <c r="R732">
        <f>H732</f>
        <v>88.24</v>
      </c>
    </row>
    <row r="733" spans="1:26" ht="14.25" x14ac:dyDescent="0.2">
      <c r="A733" s="49"/>
      <c r="B733" s="50"/>
      <c r="C733" s="50" t="s">
        <v>449</v>
      </c>
      <c r="D733" s="33"/>
      <c r="E733" s="11"/>
      <c r="F733" s="34">
        <f>Source!AM203</f>
        <v>3.05</v>
      </c>
      <c r="G733" s="35" t="str">
        <f>Source!DE203</f>
        <v/>
      </c>
      <c r="H733" s="34">
        <f>ROUND(Source!AD203*Source!I203, 2)</f>
        <v>12.2</v>
      </c>
      <c r="I733" s="35"/>
      <c r="J733" s="35">
        <f>IF(Source!BB203&lt;&gt; 0, Source!BB203, 1)</f>
        <v>7.13</v>
      </c>
      <c r="K733" s="34">
        <f>Source!Q203</f>
        <v>86.99</v>
      </c>
      <c r="L733" s="36"/>
    </row>
    <row r="734" spans="1:26" ht="14.25" x14ac:dyDescent="0.2">
      <c r="A734" s="49"/>
      <c r="B734" s="50"/>
      <c r="C734" s="50" t="s">
        <v>1784</v>
      </c>
      <c r="D734" s="33"/>
      <c r="E734" s="11"/>
      <c r="F734" s="34">
        <f>Source!AN203</f>
        <v>0.26</v>
      </c>
      <c r="G734" s="35" t="str">
        <f>Source!DF203</f>
        <v/>
      </c>
      <c r="H734" s="37">
        <f>ROUND(Source!AE203*Source!I203, 2)</f>
        <v>1.04</v>
      </c>
      <c r="I734" s="35"/>
      <c r="J734" s="35">
        <f>IF(Source!BS203&lt;&gt; 0, Source!BS203, 1)</f>
        <v>7.13</v>
      </c>
      <c r="K734" s="37">
        <f>Source!R203</f>
        <v>7.42</v>
      </c>
      <c r="L734" s="36"/>
      <c r="R734">
        <f>H734</f>
        <v>1.04</v>
      </c>
    </row>
    <row r="735" spans="1:26" ht="14.25" x14ac:dyDescent="0.2">
      <c r="A735" s="49"/>
      <c r="B735" s="50"/>
      <c r="C735" s="50" t="s">
        <v>1790</v>
      </c>
      <c r="D735" s="33"/>
      <c r="E735" s="11"/>
      <c r="F735" s="34">
        <f>Source!AL203</f>
        <v>36.369999999999997</v>
      </c>
      <c r="G735" s="35" t="str">
        <f>Source!DD203</f>
        <v/>
      </c>
      <c r="H735" s="34">
        <f>ROUND(Source!AC203*Source!I203, 2)</f>
        <v>145.47999999999999</v>
      </c>
      <c r="I735" s="35"/>
      <c r="J735" s="35">
        <f>IF(Source!BC203&lt;&gt; 0, Source!BC203, 1)</f>
        <v>7.13</v>
      </c>
      <c r="K735" s="34">
        <f>Source!P203</f>
        <v>1037.27</v>
      </c>
      <c r="L735" s="36"/>
    </row>
    <row r="736" spans="1:26" ht="14.25" x14ac:dyDescent="0.2">
      <c r="A736" s="49"/>
      <c r="B736" s="50"/>
      <c r="C736" s="50" t="s">
        <v>1785</v>
      </c>
      <c r="D736" s="33" t="s">
        <v>1786</v>
      </c>
      <c r="E736" s="11">
        <f>Source!BZ203</f>
        <v>95</v>
      </c>
      <c r="F736" s="53"/>
      <c r="G736" s="35"/>
      <c r="H736" s="34">
        <f>SUM(S731:S739)</f>
        <v>84.82</v>
      </c>
      <c r="I736" s="38"/>
      <c r="J736" s="31">
        <f>Source!AT203</f>
        <v>95</v>
      </c>
      <c r="K736" s="34">
        <f>SUM(T731:T739)</f>
        <v>604.74</v>
      </c>
      <c r="L736" s="36"/>
    </row>
    <row r="737" spans="1:26" ht="14.25" x14ac:dyDescent="0.2">
      <c r="A737" s="49"/>
      <c r="B737" s="50"/>
      <c r="C737" s="50" t="s">
        <v>1787</v>
      </c>
      <c r="D737" s="33" t="s">
        <v>1786</v>
      </c>
      <c r="E737" s="11">
        <f>Source!CA203</f>
        <v>65</v>
      </c>
      <c r="F737" s="53"/>
      <c r="G737" s="35"/>
      <c r="H737" s="34">
        <f>SUM(U731:U739)</f>
        <v>58.03</v>
      </c>
      <c r="I737" s="38"/>
      <c r="J737" s="31">
        <f>Source!AU203</f>
        <v>65</v>
      </c>
      <c r="K737" s="34">
        <f>SUM(V731:V739)</f>
        <v>413.77</v>
      </c>
      <c r="L737" s="36"/>
    </row>
    <row r="738" spans="1:26" ht="14.25" x14ac:dyDescent="0.2">
      <c r="A738" s="49"/>
      <c r="B738" s="50"/>
      <c r="C738" s="50" t="s">
        <v>1788</v>
      </c>
      <c r="D738" s="33" t="s">
        <v>1789</v>
      </c>
      <c r="E738" s="11">
        <f>Source!AQ203</f>
        <v>2.3199999999999998</v>
      </c>
      <c r="F738" s="34"/>
      <c r="G738" s="35" t="str">
        <f>Source!DI203</f>
        <v/>
      </c>
      <c r="H738" s="34"/>
      <c r="I738" s="35"/>
      <c r="J738" s="35"/>
      <c r="K738" s="34"/>
      <c r="L738" s="45">
        <f>Source!U203</f>
        <v>9.2799999999999994</v>
      </c>
    </row>
    <row r="739" spans="1:26" ht="28.5" x14ac:dyDescent="0.2">
      <c r="A739" s="51" t="str">
        <f>Source!E204</f>
        <v>72,1</v>
      </c>
      <c r="B739" s="52" t="str">
        <f>Source!F204</f>
        <v>62.1.01.09-0052</v>
      </c>
      <c r="C739" s="52" t="str">
        <f>Source!G204</f>
        <v>Выключатели автоматические  АВВ 1Р 32А</v>
      </c>
      <c r="D739" s="39" t="str">
        <f>Source!H204</f>
        <v>шт.</v>
      </c>
      <c r="E739" s="40">
        <f>Source!I204</f>
        <v>4</v>
      </c>
      <c r="F739" s="41">
        <f>Source!AL204+Source!AM204+Source!AO204</f>
        <v>76.89</v>
      </c>
      <c r="G739" s="46" t="s">
        <v>6</v>
      </c>
      <c r="H739" s="41">
        <f>ROUND(Source!AC204*Source!I204, 2)+ROUND(Source!AD204*Source!I204, 2)+ROUND(Source!AF204*Source!I204, 2)</f>
        <v>307.56</v>
      </c>
      <c r="I739" s="42"/>
      <c r="J739" s="42">
        <f>IF(Source!BC204&lt;&gt; 0, Source!BC204, 1)</f>
        <v>7.13</v>
      </c>
      <c r="K739" s="41">
        <f>Source!O204</f>
        <v>2192.9</v>
      </c>
      <c r="L739" s="47"/>
      <c r="S739">
        <f>ROUND((Source!FX204/100)*((ROUND(Source!AF204*Source!I204, 2)+ROUND(Source!AE204*Source!I204, 2))), 2)</f>
        <v>0</v>
      </c>
      <c r="T739">
        <f>Source!X204</f>
        <v>0</v>
      </c>
      <c r="U739">
        <f>ROUND((Source!FY204/100)*((ROUND(Source!AF204*Source!I204, 2)+ROUND(Source!AE204*Source!I204, 2))), 2)</f>
        <v>0</v>
      </c>
      <c r="V739">
        <f>Source!Y204</f>
        <v>0</v>
      </c>
      <c r="W739">
        <f>IF(Source!BI204&lt;=1,H739, 0)</f>
        <v>0</v>
      </c>
      <c r="X739">
        <f>IF(Source!BI204=2,H739, 0)</f>
        <v>307.56</v>
      </c>
      <c r="Y739">
        <f>IF(Source!BI204=3,H739, 0)</f>
        <v>0</v>
      </c>
      <c r="Z739">
        <f>IF(Source!BI204=4,H739, 0)</f>
        <v>0</v>
      </c>
    </row>
    <row r="740" spans="1:26" ht="15" x14ac:dyDescent="0.25">
      <c r="G740" s="87">
        <f>H732+H733+H735+H736+H737+SUM(H739:H739)</f>
        <v>696.32999999999993</v>
      </c>
      <c r="H740" s="87"/>
      <c r="J740" s="87">
        <f>K732+K733+K735+K736+K737+SUM(K739:K739)</f>
        <v>4964.82</v>
      </c>
      <c r="K740" s="87"/>
      <c r="L740" s="44">
        <f>Source!U203</f>
        <v>9.2799999999999994</v>
      </c>
      <c r="O740" s="27">
        <f>G740</f>
        <v>696.32999999999993</v>
      </c>
      <c r="P740" s="27">
        <f>J740</f>
        <v>4964.82</v>
      </c>
      <c r="Q740" s="27">
        <f>L740</f>
        <v>9.2799999999999994</v>
      </c>
      <c r="W740">
        <f>IF(Source!BI203&lt;=1,H732+H733+H735+H736+H737, 0)</f>
        <v>0</v>
      </c>
      <c r="X740">
        <f>IF(Source!BI203=2,H732+H733+H735+H736+H737, 0)</f>
        <v>388.77</v>
      </c>
      <c r="Y740">
        <f>IF(Source!BI203=3,H732+H733+H735+H736+H737, 0)</f>
        <v>0</v>
      </c>
      <c r="Z740">
        <f>IF(Source!BI203=4,H732+H733+H735+H736+H737, 0)</f>
        <v>0</v>
      </c>
    </row>
    <row r="741" spans="1:26" ht="28.5" x14ac:dyDescent="0.2">
      <c r="A741" s="49" t="str">
        <f>Source!E205</f>
        <v>73</v>
      </c>
      <c r="B741" s="50" t="str">
        <f>Source!F205</f>
        <v>м08-01-080-03</v>
      </c>
      <c r="C741" s="50" t="str">
        <f>Source!G205</f>
        <v>Установка счетчика учета электроэнергии</v>
      </c>
      <c r="D741" s="33" t="str">
        <f>Source!H205</f>
        <v>ШТ</v>
      </c>
      <c r="E741" s="11">
        <f>Source!I205</f>
        <v>2</v>
      </c>
      <c r="F741" s="34">
        <f>Source!AL205+Source!AM205+Source!AO205</f>
        <v>36.659999999999997</v>
      </c>
      <c r="G741" s="35"/>
      <c r="H741" s="34"/>
      <c r="I741" s="35" t="str">
        <f>Source!BO205</f>
        <v/>
      </c>
      <c r="J741" s="35"/>
      <c r="K741" s="34"/>
      <c r="L741" s="36"/>
      <c r="S741">
        <f>ROUND((Source!FX205/100)*((ROUND(Source!AF205*Source!I205, 2)+ROUND(Source!AE205*Source!I205, 2))), 2)</f>
        <v>44.95</v>
      </c>
      <c r="T741">
        <f>Source!X205</f>
        <v>320.52</v>
      </c>
      <c r="U741">
        <f>ROUND((Source!FY205/100)*((ROUND(Source!AF205*Source!I205, 2)+ROUND(Source!AE205*Source!I205, 2))), 2)</f>
        <v>30.76</v>
      </c>
      <c r="V741">
        <f>Source!Y205</f>
        <v>219.3</v>
      </c>
    </row>
    <row r="742" spans="1:26" ht="14.25" x14ac:dyDescent="0.2">
      <c r="A742" s="49"/>
      <c r="B742" s="50"/>
      <c r="C742" s="50" t="s">
        <v>1783</v>
      </c>
      <c r="D742" s="33"/>
      <c r="E742" s="11"/>
      <c r="F742" s="34">
        <f>Source!AO205</f>
        <v>21.65</v>
      </c>
      <c r="G742" s="35" t="str">
        <f>Source!DG205</f>
        <v/>
      </c>
      <c r="H742" s="34">
        <f>ROUND(Source!AF205*Source!I205, 2)</f>
        <v>43.3</v>
      </c>
      <c r="I742" s="35"/>
      <c r="J742" s="35">
        <f>IF(Source!BA205&lt;&gt; 0, Source!BA205, 1)</f>
        <v>7.13</v>
      </c>
      <c r="K742" s="34">
        <f>Source!S205</f>
        <v>308.73</v>
      </c>
      <c r="L742" s="36"/>
      <c r="R742">
        <f>H742</f>
        <v>43.3</v>
      </c>
    </row>
    <row r="743" spans="1:26" ht="14.25" x14ac:dyDescent="0.2">
      <c r="A743" s="49"/>
      <c r="B743" s="50"/>
      <c r="C743" s="50" t="s">
        <v>449</v>
      </c>
      <c r="D743" s="33"/>
      <c r="E743" s="11"/>
      <c r="F743" s="34">
        <f>Source!AM205</f>
        <v>14.22</v>
      </c>
      <c r="G743" s="35" t="str">
        <f>Source!DE205</f>
        <v/>
      </c>
      <c r="H743" s="34">
        <f>ROUND(Source!AD205*Source!I205, 2)</f>
        <v>28.44</v>
      </c>
      <c r="I743" s="35"/>
      <c r="J743" s="35">
        <f>IF(Source!BB205&lt;&gt; 0, Source!BB205, 1)</f>
        <v>7.13</v>
      </c>
      <c r="K743" s="34">
        <f>Source!Q205</f>
        <v>202.78</v>
      </c>
      <c r="L743" s="36"/>
    </row>
    <row r="744" spans="1:26" ht="14.25" x14ac:dyDescent="0.2">
      <c r="A744" s="49"/>
      <c r="B744" s="50"/>
      <c r="C744" s="50" t="s">
        <v>1784</v>
      </c>
      <c r="D744" s="33"/>
      <c r="E744" s="11"/>
      <c r="F744" s="34">
        <f>Source!AN205</f>
        <v>2.0099999999999998</v>
      </c>
      <c r="G744" s="35" t="str">
        <f>Source!DF205</f>
        <v/>
      </c>
      <c r="H744" s="37">
        <f>ROUND(Source!AE205*Source!I205, 2)</f>
        <v>4.0199999999999996</v>
      </c>
      <c r="I744" s="35"/>
      <c r="J744" s="35">
        <f>IF(Source!BS205&lt;&gt; 0, Source!BS205, 1)</f>
        <v>7.13</v>
      </c>
      <c r="K744" s="37">
        <f>Source!R205</f>
        <v>28.66</v>
      </c>
      <c r="L744" s="36"/>
      <c r="R744">
        <f>H744</f>
        <v>4.0199999999999996</v>
      </c>
    </row>
    <row r="745" spans="1:26" ht="14.25" x14ac:dyDescent="0.2">
      <c r="A745" s="49"/>
      <c r="B745" s="50"/>
      <c r="C745" s="50" t="s">
        <v>1790</v>
      </c>
      <c r="D745" s="33"/>
      <c r="E745" s="11"/>
      <c r="F745" s="34">
        <f>Source!AL205</f>
        <v>0.79</v>
      </c>
      <c r="G745" s="35" t="str">
        <f>Source!DD205</f>
        <v/>
      </c>
      <c r="H745" s="34">
        <f>ROUND(Source!AC205*Source!I205, 2)</f>
        <v>1.58</v>
      </c>
      <c r="I745" s="35"/>
      <c r="J745" s="35">
        <f>IF(Source!BC205&lt;&gt; 0, Source!BC205, 1)</f>
        <v>7.13</v>
      </c>
      <c r="K745" s="34">
        <f>Source!P205</f>
        <v>11.27</v>
      </c>
      <c r="L745" s="36"/>
    </row>
    <row r="746" spans="1:26" ht="14.25" x14ac:dyDescent="0.2">
      <c r="A746" s="49"/>
      <c r="B746" s="50"/>
      <c r="C746" s="50" t="s">
        <v>1785</v>
      </c>
      <c r="D746" s="33" t="s">
        <v>1786</v>
      </c>
      <c r="E746" s="11">
        <f>Source!BZ205</f>
        <v>95</v>
      </c>
      <c r="F746" s="53"/>
      <c r="G746" s="35"/>
      <c r="H746" s="34">
        <f>SUM(S741:S749)</f>
        <v>44.95</v>
      </c>
      <c r="I746" s="38"/>
      <c r="J746" s="31">
        <f>Source!AT205</f>
        <v>95</v>
      </c>
      <c r="K746" s="34">
        <f>SUM(T741:T749)</f>
        <v>320.52</v>
      </c>
      <c r="L746" s="36"/>
    </row>
    <row r="747" spans="1:26" ht="14.25" x14ac:dyDescent="0.2">
      <c r="A747" s="49"/>
      <c r="B747" s="50"/>
      <c r="C747" s="50" t="s">
        <v>1787</v>
      </c>
      <c r="D747" s="33" t="s">
        <v>1786</v>
      </c>
      <c r="E747" s="11">
        <f>Source!CA205</f>
        <v>65</v>
      </c>
      <c r="F747" s="53"/>
      <c r="G747" s="35"/>
      <c r="H747" s="34">
        <f>SUM(U741:U749)</f>
        <v>30.76</v>
      </c>
      <c r="I747" s="38"/>
      <c r="J747" s="31">
        <f>Source!AU205</f>
        <v>65</v>
      </c>
      <c r="K747" s="34">
        <f>SUM(V741:V749)</f>
        <v>219.3</v>
      </c>
      <c r="L747" s="36"/>
    </row>
    <row r="748" spans="1:26" ht="14.25" x14ac:dyDescent="0.2">
      <c r="A748" s="49"/>
      <c r="B748" s="50"/>
      <c r="C748" s="50" t="s">
        <v>1788</v>
      </c>
      <c r="D748" s="33" t="s">
        <v>1789</v>
      </c>
      <c r="E748" s="11">
        <f>Source!AQ205</f>
        <v>2.25</v>
      </c>
      <c r="F748" s="34"/>
      <c r="G748" s="35" t="str">
        <f>Source!DI205</f>
        <v/>
      </c>
      <c r="H748" s="34"/>
      <c r="I748" s="35"/>
      <c r="J748" s="35"/>
      <c r="K748" s="34"/>
      <c r="L748" s="45">
        <f>Source!U205</f>
        <v>4.5</v>
      </c>
    </row>
    <row r="749" spans="1:26" ht="42.75" x14ac:dyDescent="0.2">
      <c r="A749" s="51" t="str">
        <f>Source!E206</f>
        <v>73,1</v>
      </c>
      <c r="B749" s="52" t="str">
        <f>Source!F206</f>
        <v>62.5.01.04-0014</v>
      </c>
      <c r="C749" s="52" t="str">
        <f>Source!G206</f>
        <v>Счетчик электрической энергии электронный, однофазный Меркурий 201.02, 5(60)А</v>
      </c>
      <c r="D749" s="39" t="str">
        <f>Source!H206</f>
        <v>шт.</v>
      </c>
      <c r="E749" s="40">
        <f>Source!I206</f>
        <v>2</v>
      </c>
      <c r="F749" s="41">
        <f>Source!AL206+Source!AM206+Source!AO206</f>
        <v>85.54</v>
      </c>
      <c r="G749" s="46" t="s">
        <v>6</v>
      </c>
      <c r="H749" s="41">
        <f>ROUND(Source!AC206*Source!I206, 2)+ROUND(Source!AD206*Source!I206, 2)+ROUND(Source!AF206*Source!I206, 2)</f>
        <v>171.08</v>
      </c>
      <c r="I749" s="42"/>
      <c r="J749" s="42">
        <f>IF(Source!BC206&lt;&gt; 0, Source!BC206, 1)</f>
        <v>7.13</v>
      </c>
      <c r="K749" s="41">
        <f>Source!O206</f>
        <v>1219.8</v>
      </c>
      <c r="L749" s="47"/>
      <c r="S749">
        <f>ROUND((Source!FX206/100)*((ROUND(Source!AF206*Source!I206, 2)+ROUND(Source!AE206*Source!I206, 2))), 2)</f>
        <v>0</v>
      </c>
      <c r="T749">
        <f>Source!X206</f>
        <v>0</v>
      </c>
      <c r="U749">
        <f>ROUND((Source!FY206/100)*((ROUND(Source!AF206*Source!I206, 2)+ROUND(Source!AE206*Source!I206, 2))), 2)</f>
        <v>0</v>
      </c>
      <c r="V749">
        <f>Source!Y206</f>
        <v>0</v>
      </c>
      <c r="W749">
        <f>IF(Source!BI206&lt;=1,H749, 0)</f>
        <v>0</v>
      </c>
      <c r="X749">
        <f>IF(Source!BI206=2,H749, 0)</f>
        <v>171.08</v>
      </c>
      <c r="Y749">
        <f>IF(Source!BI206=3,H749, 0)</f>
        <v>0</v>
      </c>
      <c r="Z749">
        <f>IF(Source!BI206=4,H749, 0)</f>
        <v>0</v>
      </c>
    </row>
    <row r="750" spans="1:26" ht="15" x14ac:dyDescent="0.25">
      <c r="G750" s="87">
        <f>H742+H743+H745+H746+H747+SUM(H749:H749)</f>
        <v>320.11</v>
      </c>
      <c r="H750" s="87"/>
      <c r="J750" s="87">
        <f>K742+K743+K745+K746+K747+SUM(K749:K749)</f>
        <v>2282.3999999999996</v>
      </c>
      <c r="K750" s="87"/>
      <c r="L750" s="44">
        <f>Source!U205</f>
        <v>4.5</v>
      </c>
      <c r="O750" s="27">
        <f>G750</f>
        <v>320.11</v>
      </c>
      <c r="P750" s="27">
        <f>J750</f>
        <v>2282.3999999999996</v>
      </c>
      <c r="Q750" s="27">
        <f>L750</f>
        <v>4.5</v>
      </c>
      <c r="W750">
        <f>IF(Source!BI205&lt;=1,H742+H743+H745+H746+H747, 0)</f>
        <v>0</v>
      </c>
      <c r="X750">
        <f>IF(Source!BI205=2,H742+H743+H745+H746+H747, 0)</f>
        <v>149.03</v>
      </c>
      <c r="Y750">
        <f>IF(Source!BI205=3,H742+H743+H745+H746+H747, 0)</f>
        <v>0</v>
      </c>
      <c r="Z750">
        <f>IF(Source!BI205=4,H742+H743+H745+H746+H747, 0)</f>
        <v>0</v>
      </c>
    </row>
    <row r="751" spans="1:26" ht="114" x14ac:dyDescent="0.2">
      <c r="A751" s="49" t="str">
        <f>Source!E207</f>
        <v>74</v>
      </c>
      <c r="B751" s="50" t="str">
        <f>Source!F207</f>
        <v>п01-11-028-01</v>
      </c>
      <c r="C751" s="50" t="str">
        <f>Source!G207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751" s="33" t="str">
        <f>Source!H207</f>
        <v>ШТ</v>
      </c>
      <c r="E751" s="11">
        <f>Source!I207</f>
        <v>22</v>
      </c>
      <c r="F751" s="34">
        <f>Source!AL207+Source!AM207+Source!AO207</f>
        <v>4.0999999999999996</v>
      </c>
      <c r="G751" s="35"/>
      <c r="H751" s="34"/>
      <c r="I751" s="35" t="str">
        <f>Source!BO207</f>
        <v/>
      </c>
      <c r="J751" s="35"/>
      <c r="K751" s="34"/>
      <c r="L751" s="36"/>
      <c r="S751">
        <f>ROUND((Source!FX207/100)*((ROUND(Source!AF207*Source!I207, 2)+ROUND(Source!AE207*Source!I207, 2))), 2)</f>
        <v>58.63</v>
      </c>
      <c r="T751">
        <f>Source!X207</f>
        <v>736.39</v>
      </c>
      <c r="U751">
        <f>ROUND((Source!FY207/100)*((ROUND(Source!AF207*Source!I207, 2)+ROUND(Source!AE207*Source!I207, 2))), 2)</f>
        <v>36.08</v>
      </c>
      <c r="V751">
        <f>Source!Y207</f>
        <v>453.16</v>
      </c>
    </row>
    <row r="752" spans="1:26" ht="14.25" x14ac:dyDescent="0.2">
      <c r="A752" s="49"/>
      <c r="B752" s="50"/>
      <c r="C752" s="50" t="s">
        <v>1783</v>
      </c>
      <c r="D752" s="33"/>
      <c r="E752" s="11"/>
      <c r="F752" s="34">
        <f>Source!AO207</f>
        <v>4.0999999999999996</v>
      </c>
      <c r="G752" s="35" t="str">
        <f>Source!DG207</f>
        <v/>
      </c>
      <c r="H752" s="34">
        <f>ROUND(Source!AF207*Source!I207, 2)</f>
        <v>90.2</v>
      </c>
      <c r="I752" s="35"/>
      <c r="J752" s="35">
        <f>IF(Source!BA207&lt;&gt; 0, Source!BA207, 1)</f>
        <v>12.56</v>
      </c>
      <c r="K752" s="34">
        <f>Source!S207</f>
        <v>1132.9100000000001</v>
      </c>
      <c r="L752" s="36"/>
      <c r="R752">
        <f>H752</f>
        <v>90.2</v>
      </c>
    </row>
    <row r="753" spans="1:26" ht="14.25" x14ac:dyDescent="0.2">
      <c r="A753" s="49"/>
      <c r="B753" s="50"/>
      <c r="C753" s="50" t="s">
        <v>1785</v>
      </c>
      <c r="D753" s="33" t="s">
        <v>1786</v>
      </c>
      <c r="E753" s="11">
        <f>Source!BZ207</f>
        <v>65</v>
      </c>
      <c r="F753" s="53"/>
      <c r="G753" s="35"/>
      <c r="H753" s="34">
        <f>SUM(S751:S755)</f>
        <v>58.63</v>
      </c>
      <c r="I753" s="38"/>
      <c r="J753" s="31">
        <f>Source!AT207</f>
        <v>65</v>
      </c>
      <c r="K753" s="34">
        <f>SUM(T751:T755)</f>
        <v>736.39</v>
      </c>
      <c r="L753" s="36"/>
    </row>
    <row r="754" spans="1:26" ht="14.25" x14ac:dyDescent="0.2">
      <c r="A754" s="49"/>
      <c r="B754" s="50"/>
      <c r="C754" s="50" t="s">
        <v>1787</v>
      </c>
      <c r="D754" s="33" t="s">
        <v>1786</v>
      </c>
      <c r="E754" s="11">
        <f>Source!CA207</f>
        <v>40</v>
      </c>
      <c r="F754" s="53"/>
      <c r="G754" s="35"/>
      <c r="H754" s="34">
        <f>SUM(U751:U755)</f>
        <v>36.08</v>
      </c>
      <c r="I754" s="38"/>
      <c r="J754" s="31">
        <f>Source!AU207</f>
        <v>40</v>
      </c>
      <c r="K754" s="34">
        <f>SUM(V751:V755)</f>
        <v>453.16</v>
      </c>
      <c r="L754" s="36"/>
    </row>
    <row r="755" spans="1:26" ht="14.25" x14ac:dyDescent="0.2">
      <c r="A755" s="51"/>
      <c r="B755" s="52"/>
      <c r="C755" s="52" t="s">
        <v>1788</v>
      </c>
      <c r="D755" s="39" t="s">
        <v>1789</v>
      </c>
      <c r="E755" s="40">
        <f>Source!AQ207</f>
        <v>0.32</v>
      </c>
      <c r="F755" s="41"/>
      <c r="G755" s="42" t="str">
        <f>Source!DI207</f>
        <v/>
      </c>
      <c r="H755" s="41"/>
      <c r="I755" s="42"/>
      <c r="J755" s="42"/>
      <c r="K755" s="41"/>
      <c r="L755" s="43">
        <f>Source!U207</f>
        <v>7.04</v>
      </c>
    </row>
    <row r="756" spans="1:26" ht="15" x14ac:dyDescent="0.25">
      <c r="G756" s="87">
        <f>H752+H753+H754</f>
        <v>184.91000000000003</v>
      </c>
      <c r="H756" s="87"/>
      <c r="J756" s="87">
        <f>K752+K753+K754</f>
        <v>2322.46</v>
      </c>
      <c r="K756" s="87"/>
      <c r="L756" s="44">
        <f>Source!U207</f>
        <v>7.04</v>
      </c>
      <c r="O756" s="27">
        <f>G756</f>
        <v>184.91000000000003</v>
      </c>
      <c r="P756" s="27">
        <f>J756</f>
        <v>2322.46</v>
      </c>
      <c r="Q756" s="27">
        <f>L756</f>
        <v>7.04</v>
      </c>
      <c r="W756">
        <f>IF(Source!BI207&lt;=1,H752+H753+H754, 0)</f>
        <v>0</v>
      </c>
      <c r="X756">
        <f>IF(Source!BI207=2,H752+H753+H754, 0)</f>
        <v>0</v>
      </c>
      <c r="Y756">
        <f>IF(Source!BI207=3,H752+H753+H754, 0)</f>
        <v>0</v>
      </c>
      <c r="Z756">
        <f>IF(Source!BI207=4,H752+H753+H754, 0)</f>
        <v>184.91000000000003</v>
      </c>
    </row>
    <row r="757" spans="1:26" ht="42.75" x14ac:dyDescent="0.2">
      <c r="A757" s="49" t="str">
        <f>Source!E208</f>
        <v>75</v>
      </c>
      <c r="B757" s="50" t="str">
        <f>Source!F208</f>
        <v>п01-11-011-01</v>
      </c>
      <c r="C757" s="50" t="str">
        <f>Source!G208</f>
        <v>Проверка наличия цепи между заземлителями и заземленными элементами</v>
      </c>
      <c r="D757" s="33" t="str">
        <f>Source!H208</f>
        <v>100 измерений</v>
      </c>
      <c r="E757" s="11">
        <f>Source!I208</f>
        <v>0.32</v>
      </c>
      <c r="F757" s="34">
        <f>Source!AL208+Source!AM208+Source!AO208</f>
        <v>165.95</v>
      </c>
      <c r="G757" s="35"/>
      <c r="H757" s="34"/>
      <c r="I757" s="35" t="str">
        <f>Source!BO208</f>
        <v/>
      </c>
      <c r="J757" s="35"/>
      <c r="K757" s="34"/>
      <c r="L757" s="36"/>
      <c r="S757">
        <f>ROUND((Source!FX208/100)*((ROUND(Source!AF208*Source!I208, 2)+ROUND(Source!AE208*Source!I208, 2))), 2)</f>
        <v>34.520000000000003</v>
      </c>
      <c r="T757">
        <f>Source!X208</f>
        <v>433.54</v>
      </c>
      <c r="U757">
        <f>ROUND((Source!FY208/100)*((ROUND(Source!AF208*Source!I208, 2)+ROUND(Source!AE208*Source!I208, 2))), 2)</f>
        <v>21.24</v>
      </c>
      <c r="V757">
        <f>Source!Y208</f>
        <v>266.8</v>
      </c>
    </row>
    <row r="758" spans="1:26" x14ac:dyDescent="0.2">
      <c r="C758" s="26" t="str">
        <f>"Объем: "&amp;Source!I208&amp;"=32/"&amp;"100"</f>
        <v>Объем: 0,32=32/100</v>
      </c>
    </row>
    <row r="759" spans="1:26" ht="14.25" x14ac:dyDescent="0.2">
      <c r="A759" s="49"/>
      <c r="B759" s="50"/>
      <c r="C759" s="50" t="s">
        <v>1783</v>
      </c>
      <c r="D759" s="33"/>
      <c r="E759" s="11"/>
      <c r="F759" s="34">
        <f>Source!AO208</f>
        <v>165.95</v>
      </c>
      <c r="G759" s="35" t="str">
        <f>Source!DG208</f>
        <v/>
      </c>
      <c r="H759" s="34">
        <f>ROUND(Source!AF208*Source!I208, 2)</f>
        <v>53.1</v>
      </c>
      <c r="I759" s="35"/>
      <c r="J759" s="35">
        <f>IF(Source!BA208&lt;&gt; 0, Source!BA208, 1)</f>
        <v>12.56</v>
      </c>
      <c r="K759" s="34">
        <f>Source!S208</f>
        <v>666.99</v>
      </c>
      <c r="L759" s="36"/>
      <c r="R759">
        <f>H759</f>
        <v>53.1</v>
      </c>
    </row>
    <row r="760" spans="1:26" ht="14.25" x14ac:dyDescent="0.2">
      <c r="A760" s="49"/>
      <c r="B760" s="50"/>
      <c r="C760" s="50" t="s">
        <v>1785</v>
      </c>
      <c r="D760" s="33" t="s">
        <v>1786</v>
      </c>
      <c r="E760" s="11">
        <f>Source!BZ208</f>
        <v>65</v>
      </c>
      <c r="F760" s="53"/>
      <c r="G760" s="35"/>
      <c r="H760" s="34">
        <f>SUM(S757:S762)</f>
        <v>34.520000000000003</v>
      </c>
      <c r="I760" s="38"/>
      <c r="J760" s="31">
        <f>Source!AT208</f>
        <v>65</v>
      </c>
      <c r="K760" s="34">
        <f>SUM(T757:T762)</f>
        <v>433.54</v>
      </c>
      <c r="L760" s="36"/>
    </row>
    <row r="761" spans="1:26" ht="14.25" x14ac:dyDescent="0.2">
      <c r="A761" s="49"/>
      <c r="B761" s="50"/>
      <c r="C761" s="50" t="s">
        <v>1787</v>
      </c>
      <c r="D761" s="33" t="s">
        <v>1786</v>
      </c>
      <c r="E761" s="11">
        <f>Source!CA208</f>
        <v>40</v>
      </c>
      <c r="F761" s="53"/>
      <c r="G761" s="35"/>
      <c r="H761" s="34">
        <f>SUM(U757:U762)</f>
        <v>21.24</v>
      </c>
      <c r="I761" s="38"/>
      <c r="J761" s="31">
        <f>Source!AU208</f>
        <v>40</v>
      </c>
      <c r="K761" s="34">
        <f>SUM(V757:V762)</f>
        <v>266.8</v>
      </c>
      <c r="L761" s="36"/>
    </row>
    <row r="762" spans="1:26" ht="14.25" x14ac:dyDescent="0.2">
      <c r="A762" s="51"/>
      <c r="B762" s="52"/>
      <c r="C762" s="52" t="s">
        <v>1788</v>
      </c>
      <c r="D762" s="39" t="s">
        <v>1789</v>
      </c>
      <c r="E762" s="40">
        <f>Source!AQ208</f>
        <v>12.96</v>
      </c>
      <c r="F762" s="41"/>
      <c r="G762" s="42" t="str">
        <f>Source!DI208</f>
        <v/>
      </c>
      <c r="H762" s="41"/>
      <c r="I762" s="42"/>
      <c r="J762" s="42"/>
      <c r="K762" s="41"/>
      <c r="L762" s="43">
        <f>Source!U208</f>
        <v>4.1472000000000007</v>
      </c>
    </row>
    <row r="763" spans="1:26" ht="15" x14ac:dyDescent="0.25">
      <c r="G763" s="87">
        <f>H759+H760+H761</f>
        <v>108.86</v>
      </c>
      <c r="H763" s="87"/>
      <c r="J763" s="87">
        <f>K759+K760+K761</f>
        <v>1367.33</v>
      </c>
      <c r="K763" s="87"/>
      <c r="L763" s="44">
        <f>Source!U208</f>
        <v>4.1472000000000007</v>
      </c>
      <c r="O763" s="27">
        <f>G763</f>
        <v>108.86</v>
      </c>
      <c r="P763" s="27">
        <f>J763</f>
        <v>1367.33</v>
      </c>
      <c r="Q763" s="27">
        <f>L763</f>
        <v>4.1472000000000007</v>
      </c>
      <c r="W763">
        <f>IF(Source!BI208&lt;=1,H759+H760+H761, 0)</f>
        <v>0</v>
      </c>
      <c r="X763">
        <f>IF(Source!BI208=2,H759+H760+H761, 0)</f>
        <v>0</v>
      </c>
      <c r="Y763">
        <f>IF(Source!BI208=3,H759+H760+H761, 0)</f>
        <v>0</v>
      </c>
      <c r="Z763">
        <f>IF(Source!BI208=4,H759+H760+H761, 0)</f>
        <v>108.86</v>
      </c>
    </row>
    <row r="764" spans="1:26" ht="28.5" x14ac:dyDescent="0.2">
      <c r="A764" s="49" t="str">
        <f>Source!E209</f>
        <v>76</v>
      </c>
      <c r="B764" s="50" t="str">
        <f>Source!F209</f>
        <v>п01-11-013-01</v>
      </c>
      <c r="C764" s="50" t="str">
        <f>Source!G209</f>
        <v>Замер полного сопротивления цепи "фаза-нуль"</v>
      </c>
      <c r="D764" s="33" t="str">
        <f>Source!H209</f>
        <v>ШТ</v>
      </c>
      <c r="E764" s="11">
        <f>Source!I209</f>
        <v>2</v>
      </c>
      <c r="F764" s="34">
        <f>Source!AL209+Source!AM209+Source!AO209</f>
        <v>15.62</v>
      </c>
      <c r="G764" s="35"/>
      <c r="H764" s="34"/>
      <c r="I764" s="35" t="str">
        <f>Source!BO209</f>
        <v/>
      </c>
      <c r="J764" s="35"/>
      <c r="K764" s="34"/>
      <c r="L764" s="36"/>
      <c r="S764">
        <f>ROUND((Source!FX209/100)*((ROUND(Source!AF209*Source!I209, 2)+ROUND(Source!AE209*Source!I209, 2))), 2)</f>
        <v>20.309999999999999</v>
      </c>
      <c r="T764">
        <f>Source!X209</f>
        <v>255.04</v>
      </c>
      <c r="U764">
        <f>ROUND((Source!FY209/100)*((ROUND(Source!AF209*Source!I209, 2)+ROUND(Source!AE209*Source!I209, 2))), 2)</f>
        <v>12.5</v>
      </c>
      <c r="V764">
        <f>Source!Y209</f>
        <v>156.94999999999999</v>
      </c>
    </row>
    <row r="765" spans="1:26" ht="14.25" x14ac:dyDescent="0.2">
      <c r="A765" s="49"/>
      <c r="B765" s="50"/>
      <c r="C765" s="50" t="s">
        <v>1783</v>
      </c>
      <c r="D765" s="33"/>
      <c r="E765" s="11"/>
      <c r="F765" s="34">
        <f>Source!AO209</f>
        <v>15.62</v>
      </c>
      <c r="G765" s="35" t="str">
        <f>Source!DG209</f>
        <v/>
      </c>
      <c r="H765" s="34">
        <f>ROUND(Source!AF209*Source!I209, 2)</f>
        <v>31.24</v>
      </c>
      <c r="I765" s="35"/>
      <c r="J765" s="35">
        <f>IF(Source!BA209&lt;&gt; 0, Source!BA209, 1)</f>
        <v>12.56</v>
      </c>
      <c r="K765" s="34">
        <f>Source!S209</f>
        <v>392.37</v>
      </c>
      <c r="L765" s="36"/>
      <c r="R765">
        <f>H765</f>
        <v>31.24</v>
      </c>
    </row>
    <row r="766" spans="1:26" ht="14.25" x14ac:dyDescent="0.2">
      <c r="A766" s="49"/>
      <c r="B766" s="50"/>
      <c r="C766" s="50" t="s">
        <v>1785</v>
      </c>
      <c r="D766" s="33" t="s">
        <v>1786</v>
      </c>
      <c r="E766" s="11">
        <f>Source!BZ209</f>
        <v>65</v>
      </c>
      <c r="F766" s="53"/>
      <c r="G766" s="35"/>
      <c r="H766" s="34">
        <f>SUM(S764:S768)</f>
        <v>20.309999999999999</v>
      </c>
      <c r="I766" s="38"/>
      <c r="J766" s="31">
        <f>Source!AT209</f>
        <v>65</v>
      </c>
      <c r="K766" s="34">
        <f>SUM(T764:T768)</f>
        <v>255.04</v>
      </c>
      <c r="L766" s="36"/>
    </row>
    <row r="767" spans="1:26" ht="14.25" x14ac:dyDescent="0.2">
      <c r="A767" s="49"/>
      <c r="B767" s="50"/>
      <c r="C767" s="50" t="s">
        <v>1787</v>
      </c>
      <c r="D767" s="33" t="s">
        <v>1786</v>
      </c>
      <c r="E767" s="11">
        <f>Source!CA209</f>
        <v>40</v>
      </c>
      <c r="F767" s="53"/>
      <c r="G767" s="35"/>
      <c r="H767" s="34">
        <f>SUM(U764:U768)</f>
        <v>12.5</v>
      </c>
      <c r="I767" s="38"/>
      <c r="J767" s="31">
        <f>Source!AU209</f>
        <v>40</v>
      </c>
      <c r="K767" s="34">
        <f>SUM(V764:V768)</f>
        <v>156.94999999999999</v>
      </c>
      <c r="L767" s="36"/>
    </row>
    <row r="768" spans="1:26" ht="14.25" x14ac:dyDescent="0.2">
      <c r="A768" s="51"/>
      <c r="B768" s="52"/>
      <c r="C768" s="52" t="s">
        <v>1788</v>
      </c>
      <c r="D768" s="39" t="s">
        <v>1789</v>
      </c>
      <c r="E768" s="40">
        <f>Source!AQ209</f>
        <v>1.22</v>
      </c>
      <c r="F768" s="41"/>
      <c r="G768" s="42" t="str">
        <f>Source!DI209</f>
        <v/>
      </c>
      <c r="H768" s="41"/>
      <c r="I768" s="42"/>
      <c r="J768" s="42"/>
      <c r="K768" s="41"/>
      <c r="L768" s="43">
        <f>Source!U209</f>
        <v>2.44</v>
      </c>
    </row>
    <row r="769" spans="1:26" ht="15" x14ac:dyDescent="0.25">
      <c r="G769" s="87">
        <f>H765+H766+H767</f>
        <v>64.05</v>
      </c>
      <c r="H769" s="87"/>
      <c r="J769" s="87">
        <f>K765+K766+K767</f>
        <v>804.3599999999999</v>
      </c>
      <c r="K769" s="87"/>
      <c r="L769" s="44">
        <f>Source!U209</f>
        <v>2.44</v>
      </c>
      <c r="O769" s="27">
        <f>G769</f>
        <v>64.05</v>
      </c>
      <c r="P769" s="27">
        <f>J769</f>
        <v>804.3599999999999</v>
      </c>
      <c r="Q769" s="27">
        <f>L769</f>
        <v>2.44</v>
      </c>
      <c r="W769">
        <f>IF(Source!BI209&lt;=1,H765+H766+H767, 0)</f>
        <v>0</v>
      </c>
      <c r="X769">
        <f>IF(Source!BI209=2,H765+H766+H767, 0)</f>
        <v>0</v>
      </c>
      <c r="Y769">
        <f>IF(Source!BI209=3,H765+H766+H767, 0)</f>
        <v>0</v>
      </c>
      <c r="Z769">
        <f>IF(Source!BI209=4,H765+H766+H767, 0)</f>
        <v>64.05</v>
      </c>
    </row>
    <row r="770" spans="1:26" ht="57" x14ac:dyDescent="0.2">
      <c r="A770" s="49" t="str">
        <f>Source!E210</f>
        <v>77</v>
      </c>
      <c r="B770" s="50" t="str">
        <f>Source!F210</f>
        <v>п01-03-001-01</v>
      </c>
      <c r="C770" s="50" t="str">
        <f>Source!G210</f>
        <v>Выключатель однополюсный напряжением до 1 кВ с электромагнитным, тепловым или комбинированным расцепителем</v>
      </c>
      <c r="D770" s="33" t="str">
        <f>Source!H210</f>
        <v>ШТ</v>
      </c>
      <c r="E770" s="11">
        <f>Source!I210</f>
        <v>22</v>
      </c>
      <c r="F770" s="34">
        <f>Source!AL210+Source!AM210+Source!AO210</f>
        <v>12.78</v>
      </c>
      <c r="G770" s="35"/>
      <c r="H770" s="34"/>
      <c r="I770" s="35" t="str">
        <f>Source!BO210</f>
        <v/>
      </c>
      <c r="J770" s="35"/>
      <c r="K770" s="34"/>
      <c r="L770" s="36"/>
      <c r="S770">
        <f>ROUND((Source!FX210/100)*((ROUND(Source!AF210*Source!I210, 2)+ROUND(Source!AE210*Source!I210, 2))), 2)</f>
        <v>182.75</v>
      </c>
      <c r="T770">
        <f>Source!X210</f>
        <v>2295.39</v>
      </c>
      <c r="U770">
        <f>ROUND((Source!FY210/100)*((ROUND(Source!AF210*Source!I210, 2)+ROUND(Source!AE210*Source!I210, 2))), 2)</f>
        <v>112.46</v>
      </c>
      <c r="V770">
        <f>Source!Y210</f>
        <v>1412.55</v>
      </c>
    </row>
    <row r="771" spans="1:26" ht="14.25" x14ac:dyDescent="0.2">
      <c r="A771" s="49"/>
      <c r="B771" s="50"/>
      <c r="C771" s="50" t="s">
        <v>1783</v>
      </c>
      <c r="D771" s="33"/>
      <c r="E771" s="11"/>
      <c r="F771" s="34">
        <f>Source!AO210</f>
        <v>12.78</v>
      </c>
      <c r="G771" s="35" t="str">
        <f>Source!DG210</f>
        <v/>
      </c>
      <c r="H771" s="34">
        <f>ROUND(Source!AF210*Source!I210, 2)</f>
        <v>281.16000000000003</v>
      </c>
      <c r="I771" s="35"/>
      <c r="J771" s="35">
        <f>IF(Source!BA210&lt;&gt; 0, Source!BA210, 1)</f>
        <v>12.56</v>
      </c>
      <c r="K771" s="34">
        <f>Source!S210</f>
        <v>3531.37</v>
      </c>
      <c r="L771" s="36"/>
      <c r="R771">
        <f>H771</f>
        <v>281.16000000000003</v>
      </c>
    </row>
    <row r="772" spans="1:26" ht="14.25" x14ac:dyDescent="0.2">
      <c r="A772" s="49"/>
      <c r="B772" s="50"/>
      <c r="C772" s="50" t="s">
        <v>1785</v>
      </c>
      <c r="D772" s="33" t="s">
        <v>1786</v>
      </c>
      <c r="E772" s="11">
        <f>Source!BZ210</f>
        <v>65</v>
      </c>
      <c r="F772" s="53"/>
      <c r="G772" s="35"/>
      <c r="H772" s="34">
        <f>SUM(S770:S774)</f>
        <v>182.75</v>
      </c>
      <c r="I772" s="38"/>
      <c r="J772" s="31">
        <f>Source!AT210</f>
        <v>65</v>
      </c>
      <c r="K772" s="34">
        <f>SUM(T770:T774)</f>
        <v>2295.39</v>
      </c>
      <c r="L772" s="36"/>
    </row>
    <row r="773" spans="1:26" ht="14.25" x14ac:dyDescent="0.2">
      <c r="A773" s="49"/>
      <c r="B773" s="50"/>
      <c r="C773" s="50" t="s">
        <v>1787</v>
      </c>
      <c r="D773" s="33" t="s">
        <v>1786</v>
      </c>
      <c r="E773" s="11">
        <f>Source!CA210</f>
        <v>40</v>
      </c>
      <c r="F773" s="53"/>
      <c r="G773" s="35"/>
      <c r="H773" s="34">
        <f>SUM(U770:U774)</f>
        <v>112.46</v>
      </c>
      <c r="I773" s="38"/>
      <c r="J773" s="31">
        <f>Source!AU210</f>
        <v>40</v>
      </c>
      <c r="K773" s="34">
        <f>SUM(V770:V774)</f>
        <v>1412.55</v>
      </c>
      <c r="L773" s="36"/>
    </row>
    <row r="774" spans="1:26" ht="14.25" x14ac:dyDescent="0.2">
      <c r="A774" s="51"/>
      <c r="B774" s="52"/>
      <c r="C774" s="52" t="s">
        <v>1788</v>
      </c>
      <c r="D774" s="39" t="s">
        <v>1789</v>
      </c>
      <c r="E774" s="40">
        <f>Source!AQ210</f>
        <v>1.36</v>
      </c>
      <c r="F774" s="41"/>
      <c r="G774" s="42" t="str">
        <f>Source!DI210</f>
        <v/>
      </c>
      <c r="H774" s="41"/>
      <c r="I774" s="42"/>
      <c r="J774" s="42"/>
      <c r="K774" s="41"/>
      <c r="L774" s="43">
        <f>Source!U210</f>
        <v>29.92</v>
      </c>
    </row>
    <row r="775" spans="1:26" ht="15" x14ac:dyDescent="0.25">
      <c r="G775" s="87">
        <f>H771+H772+H773</f>
        <v>576.37</v>
      </c>
      <c r="H775" s="87"/>
      <c r="J775" s="87">
        <f>K771+K772+K773</f>
        <v>7239.31</v>
      </c>
      <c r="K775" s="87"/>
      <c r="L775" s="44">
        <f>Source!U210</f>
        <v>29.92</v>
      </c>
      <c r="O775" s="27">
        <f>G775</f>
        <v>576.37</v>
      </c>
      <c r="P775" s="27">
        <f>J775</f>
        <v>7239.31</v>
      </c>
      <c r="Q775" s="27">
        <f>L775</f>
        <v>29.92</v>
      </c>
      <c r="W775">
        <f>IF(Source!BI210&lt;=1,H771+H772+H773, 0)</f>
        <v>0</v>
      </c>
      <c r="X775">
        <f>IF(Source!BI210=2,H771+H772+H773, 0)</f>
        <v>0</v>
      </c>
      <c r="Y775">
        <f>IF(Source!BI210=3,H771+H772+H773, 0)</f>
        <v>0</v>
      </c>
      <c r="Z775">
        <f>IF(Source!BI210=4,H771+H772+H773, 0)</f>
        <v>576.37</v>
      </c>
    </row>
    <row r="777" spans="1:26" ht="15" x14ac:dyDescent="0.25">
      <c r="A777" s="91" t="str">
        <f>CONCATENATE("Итого по разделу: ",IF(Source!G212&lt;&gt;"Новый раздел", Source!G212, ""))</f>
        <v>Итого по разделу: Система электроснабжения</v>
      </c>
      <c r="B777" s="91"/>
      <c r="C777" s="91"/>
      <c r="D777" s="91"/>
      <c r="E777" s="91"/>
      <c r="F777" s="91"/>
      <c r="G777" s="92">
        <f>SUM(O506:O776)</f>
        <v>31442.559999999994</v>
      </c>
      <c r="H777" s="92"/>
      <c r="I777" s="30"/>
      <c r="J777" s="92">
        <f>SUM(P506:P776)</f>
        <v>229258.16999999995</v>
      </c>
      <c r="K777" s="92"/>
      <c r="L777" s="44">
        <f>SUM(Q506:Q776)</f>
        <v>291.47594000000009</v>
      </c>
    </row>
    <row r="779" spans="1:26" ht="16.5" x14ac:dyDescent="0.25">
      <c r="A779" s="89" t="str">
        <f>CONCATENATE("Раздел: ",IF(Source!G244&lt;&gt;"Новый раздел", Source!G244, ""))</f>
        <v>Раздел: Отопление и вентиляция</v>
      </c>
      <c r="B779" s="89"/>
      <c r="C779" s="89"/>
      <c r="D779" s="89"/>
      <c r="E779" s="89"/>
      <c r="F779" s="89"/>
      <c r="G779" s="89"/>
      <c r="H779" s="89"/>
      <c r="I779" s="89"/>
      <c r="J779" s="89"/>
      <c r="K779" s="89"/>
      <c r="L779" s="89"/>
    </row>
    <row r="780" spans="1:26" ht="42.75" x14ac:dyDescent="0.2">
      <c r="A780" s="49" t="str">
        <f>Source!E248</f>
        <v>78</v>
      </c>
      <c r="B780" s="50" t="str">
        <f>Source!F248</f>
        <v>65-1-1</v>
      </c>
      <c r="C780" s="50" t="str">
        <f>Source!G248</f>
        <v>Разборка трубопроводов из водогазопроводных труб диаметром до 32 мм</v>
      </c>
      <c r="D780" s="33" t="str">
        <f>Source!H248</f>
        <v>100 м</v>
      </c>
      <c r="E780" s="11">
        <f>Source!I248</f>
        <v>0.89500000000000002</v>
      </c>
      <c r="F780" s="34">
        <f>Source!AL248+Source!AM248+Source!AO248</f>
        <v>328.71</v>
      </c>
      <c r="G780" s="35"/>
      <c r="H780" s="34"/>
      <c r="I780" s="35" t="str">
        <f>Source!BO248</f>
        <v/>
      </c>
      <c r="J780" s="35"/>
      <c r="K780" s="34"/>
      <c r="L780" s="36"/>
      <c r="S780">
        <f>ROUND((Source!FX248/100)*((ROUND(Source!AF248*Source!I248, 2)+ROUND(Source!AE248*Source!I248, 2))), 2)</f>
        <v>191.65</v>
      </c>
      <c r="T780">
        <f>Source!X248</f>
        <v>1366.46</v>
      </c>
      <c r="U780">
        <f>ROUND((Source!FY248/100)*((ROUND(Source!AF248*Source!I248, 2)+ROUND(Source!AE248*Source!I248, 2))), 2)</f>
        <v>129.5</v>
      </c>
      <c r="V780">
        <f>Source!Y248</f>
        <v>923.29</v>
      </c>
    </row>
    <row r="781" spans="1:26" x14ac:dyDescent="0.2">
      <c r="C781" s="26" t="str">
        <f>"Объем: "&amp;Source!I248&amp;"=89,5/"&amp;"100"</f>
        <v>Объем: 0,895=89,5/100</v>
      </c>
    </row>
    <row r="782" spans="1:26" ht="14.25" x14ac:dyDescent="0.2">
      <c r="A782" s="49"/>
      <c r="B782" s="50"/>
      <c r="C782" s="50" t="s">
        <v>1783</v>
      </c>
      <c r="D782" s="33"/>
      <c r="E782" s="11"/>
      <c r="F782" s="34">
        <f>Source!AO248</f>
        <v>288.02</v>
      </c>
      <c r="G782" s="35" t="str">
        <f>Source!DG248</f>
        <v/>
      </c>
      <c r="H782" s="34">
        <f>ROUND(Source!AF248*Source!I248, 2)</f>
        <v>257.77999999999997</v>
      </c>
      <c r="I782" s="35"/>
      <c r="J782" s="35">
        <f>IF(Source!BA248&lt;&gt; 0, Source!BA248, 1)</f>
        <v>7.13</v>
      </c>
      <c r="K782" s="34">
        <f>Source!S248</f>
        <v>1837.96</v>
      </c>
      <c r="L782" s="36"/>
      <c r="R782">
        <f>H782</f>
        <v>257.77999999999997</v>
      </c>
    </row>
    <row r="783" spans="1:26" ht="14.25" x14ac:dyDescent="0.2">
      <c r="A783" s="49"/>
      <c r="B783" s="50"/>
      <c r="C783" s="50" t="s">
        <v>449</v>
      </c>
      <c r="D783" s="33"/>
      <c r="E783" s="11"/>
      <c r="F783" s="34">
        <f>Source!AM248</f>
        <v>7.09</v>
      </c>
      <c r="G783" s="35" t="str">
        <f>Source!DE248</f>
        <v/>
      </c>
      <c r="H783" s="34">
        <f>ROUND(Source!AD248*Source!I248, 2)</f>
        <v>6.35</v>
      </c>
      <c r="I783" s="35"/>
      <c r="J783" s="35">
        <f>IF(Source!BB248&lt;&gt; 0, Source!BB248, 1)</f>
        <v>7.13</v>
      </c>
      <c r="K783" s="34">
        <f>Source!Q248</f>
        <v>45.24</v>
      </c>
      <c r="L783" s="36"/>
    </row>
    <row r="784" spans="1:26" ht="14.25" x14ac:dyDescent="0.2">
      <c r="A784" s="49"/>
      <c r="B784" s="50"/>
      <c r="C784" s="50" t="s">
        <v>1784</v>
      </c>
      <c r="D784" s="33"/>
      <c r="E784" s="11"/>
      <c r="F784" s="34">
        <f>Source!AN248</f>
        <v>1.35</v>
      </c>
      <c r="G784" s="35" t="str">
        <f>Source!DF248</f>
        <v/>
      </c>
      <c r="H784" s="37">
        <f>ROUND(Source!AE248*Source!I248, 2)</f>
        <v>1.21</v>
      </c>
      <c r="I784" s="35"/>
      <c r="J784" s="35">
        <f>IF(Source!BS248&lt;&gt; 0, Source!BS248, 1)</f>
        <v>7.13</v>
      </c>
      <c r="K784" s="37">
        <f>Source!R248</f>
        <v>8.61</v>
      </c>
      <c r="L784" s="36"/>
      <c r="R784">
        <f>H784</f>
        <v>1.21</v>
      </c>
    </row>
    <row r="785" spans="1:26" ht="14.25" x14ac:dyDescent="0.2">
      <c r="A785" s="49"/>
      <c r="B785" s="50"/>
      <c r="C785" s="50" t="s">
        <v>1785</v>
      </c>
      <c r="D785" s="33" t="s">
        <v>1786</v>
      </c>
      <c r="E785" s="11">
        <f>Source!BZ248</f>
        <v>74</v>
      </c>
      <c r="F785" s="53"/>
      <c r="G785" s="35"/>
      <c r="H785" s="34">
        <f>SUM(S780:S787)</f>
        <v>191.65</v>
      </c>
      <c r="I785" s="38"/>
      <c r="J785" s="31">
        <f>Source!AT248</f>
        <v>74</v>
      </c>
      <c r="K785" s="34">
        <f>SUM(T780:T787)</f>
        <v>1366.46</v>
      </c>
      <c r="L785" s="36"/>
    </row>
    <row r="786" spans="1:26" ht="14.25" x14ac:dyDescent="0.2">
      <c r="A786" s="49"/>
      <c r="B786" s="50"/>
      <c r="C786" s="50" t="s">
        <v>1787</v>
      </c>
      <c r="D786" s="33" t="s">
        <v>1786</v>
      </c>
      <c r="E786" s="11">
        <f>Source!CA248</f>
        <v>50</v>
      </c>
      <c r="F786" s="53"/>
      <c r="G786" s="35"/>
      <c r="H786" s="34">
        <f>SUM(U780:U787)</f>
        <v>129.5</v>
      </c>
      <c r="I786" s="38"/>
      <c r="J786" s="31">
        <f>Source!AU248</f>
        <v>50</v>
      </c>
      <c r="K786" s="34">
        <f>SUM(V780:V787)</f>
        <v>923.29</v>
      </c>
      <c r="L786" s="36"/>
    </row>
    <row r="787" spans="1:26" ht="14.25" x14ac:dyDescent="0.2">
      <c r="A787" s="51"/>
      <c r="B787" s="52"/>
      <c r="C787" s="52" t="s">
        <v>1788</v>
      </c>
      <c r="D787" s="39" t="s">
        <v>1789</v>
      </c>
      <c r="E787" s="40">
        <f>Source!AQ248</f>
        <v>34.659999999999997</v>
      </c>
      <c r="F787" s="41"/>
      <c r="G787" s="42" t="str">
        <f>Source!DI248</f>
        <v/>
      </c>
      <c r="H787" s="41"/>
      <c r="I787" s="42"/>
      <c r="J787" s="42"/>
      <c r="K787" s="41"/>
      <c r="L787" s="43">
        <f>Source!U248</f>
        <v>31.020699999999998</v>
      </c>
    </row>
    <row r="788" spans="1:26" ht="15" x14ac:dyDescent="0.25">
      <c r="G788" s="87">
        <f>H782+H783+H785+H786</f>
        <v>585.28</v>
      </c>
      <c r="H788" s="87"/>
      <c r="J788" s="87">
        <f>K782+K783+K785+K786</f>
        <v>4172.95</v>
      </c>
      <c r="K788" s="87"/>
      <c r="L788" s="44">
        <f>Source!U248</f>
        <v>31.020699999999998</v>
      </c>
      <c r="O788" s="27">
        <f>G788</f>
        <v>585.28</v>
      </c>
      <c r="P788" s="27">
        <f>J788</f>
        <v>4172.95</v>
      </c>
      <c r="Q788" s="27">
        <f>L788</f>
        <v>31.020699999999998</v>
      </c>
      <c r="W788">
        <f>IF(Source!BI248&lt;=1,H782+H783+H785+H786, 0)</f>
        <v>585.28</v>
      </c>
      <c r="X788">
        <f>IF(Source!BI248=2,H782+H783+H785+H786, 0)</f>
        <v>0</v>
      </c>
      <c r="Y788">
        <f>IF(Source!BI248=3,H782+H783+H785+H786, 0)</f>
        <v>0</v>
      </c>
      <c r="Z788">
        <f>IF(Source!BI248=4,H782+H783+H785+H786, 0)</f>
        <v>0</v>
      </c>
    </row>
    <row r="789" spans="1:26" ht="28.5" x14ac:dyDescent="0.2">
      <c r="A789" s="49" t="str">
        <f>Source!E249</f>
        <v>79</v>
      </c>
      <c r="B789" s="50" t="str">
        <f>Source!F249</f>
        <v>м08-02-410-02</v>
      </c>
      <c r="C789" s="50" t="str">
        <f>Source!G249</f>
        <v>Прокладка гильз из трубы ПНД, диаметр до 50 мм (40 мм)</v>
      </c>
      <c r="D789" s="33" t="str">
        <f>Source!H249</f>
        <v>100 м</v>
      </c>
      <c r="E789" s="11">
        <f>Source!I249</f>
        <v>0.21199999999999999</v>
      </c>
      <c r="F789" s="34">
        <f>Source!AL249+Source!AM249+Source!AO249</f>
        <v>250.92</v>
      </c>
      <c r="G789" s="35"/>
      <c r="H789" s="34"/>
      <c r="I789" s="35" t="str">
        <f>Source!BO249</f>
        <v/>
      </c>
      <c r="J789" s="35"/>
      <c r="K789" s="34"/>
      <c r="L789" s="36"/>
      <c r="S789">
        <f>ROUND((Source!FX249/100)*((ROUND(Source!AF249*Source!I249, 2)+ROUND(Source!AE249*Source!I249, 2))), 2)</f>
        <v>29.49</v>
      </c>
      <c r="T789">
        <f>Source!X249</f>
        <v>210.24</v>
      </c>
      <c r="U789">
        <f>ROUND((Source!FY249/100)*((ROUND(Source!AF249*Source!I249, 2)+ROUND(Source!AE249*Source!I249, 2))), 2)</f>
        <v>20.18</v>
      </c>
      <c r="V789">
        <f>Source!Y249</f>
        <v>143.85</v>
      </c>
    </row>
    <row r="790" spans="1:26" x14ac:dyDescent="0.2">
      <c r="C790" s="26" t="str">
        <f>"Объем: "&amp;Source!I249&amp;"=21,2/"&amp;"100"</f>
        <v>Объем: 0,212=21,2/100</v>
      </c>
    </row>
    <row r="791" spans="1:26" ht="14.25" x14ac:dyDescent="0.2">
      <c r="A791" s="49"/>
      <c r="B791" s="50"/>
      <c r="C791" s="50" t="s">
        <v>1783</v>
      </c>
      <c r="D791" s="33"/>
      <c r="E791" s="11"/>
      <c r="F791" s="34">
        <f>Source!AO249</f>
        <v>143.63</v>
      </c>
      <c r="G791" s="35" t="str">
        <f>Source!DG249</f>
        <v/>
      </c>
      <c r="H791" s="34">
        <f>ROUND(Source!AF249*Source!I249, 2)</f>
        <v>30.45</v>
      </c>
      <c r="I791" s="35"/>
      <c r="J791" s="35">
        <f>IF(Source!BA249&lt;&gt; 0, Source!BA249, 1)</f>
        <v>7.13</v>
      </c>
      <c r="K791" s="34">
        <f>Source!S249</f>
        <v>217.11</v>
      </c>
      <c r="L791" s="36"/>
      <c r="R791">
        <f>H791</f>
        <v>30.45</v>
      </c>
    </row>
    <row r="792" spans="1:26" ht="14.25" x14ac:dyDescent="0.2">
      <c r="A792" s="49"/>
      <c r="B792" s="50"/>
      <c r="C792" s="50" t="s">
        <v>449</v>
      </c>
      <c r="D792" s="33"/>
      <c r="E792" s="11"/>
      <c r="F792" s="34">
        <f>Source!AM249</f>
        <v>19.55</v>
      </c>
      <c r="G792" s="35" t="str">
        <f>Source!DE249</f>
        <v/>
      </c>
      <c r="H792" s="34">
        <f>ROUND(Source!AD249*Source!I249, 2)</f>
        <v>4.1399999999999997</v>
      </c>
      <c r="I792" s="35"/>
      <c r="J792" s="35">
        <f>IF(Source!BB249&lt;&gt; 0, Source!BB249, 1)</f>
        <v>7.13</v>
      </c>
      <c r="K792" s="34">
        <f>Source!Q249</f>
        <v>29.55</v>
      </c>
      <c r="L792" s="36"/>
    </row>
    <row r="793" spans="1:26" ht="14.25" x14ac:dyDescent="0.2">
      <c r="A793" s="49"/>
      <c r="B793" s="50"/>
      <c r="C793" s="50" t="s">
        <v>1784</v>
      </c>
      <c r="D793" s="33"/>
      <c r="E793" s="11"/>
      <c r="F793" s="34">
        <f>Source!AN249</f>
        <v>2.77</v>
      </c>
      <c r="G793" s="35" t="str">
        <f>Source!DF249</f>
        <v/>
      </c>
      <c r="H793" s="37">
        <f>ROUND(Source!AE249*Source!I249, 2)</f>
        <v>0.59</v>
      </c>
      <c r="I793" s="35"/>
      <c r="J793" s="35">
        <f>IF(Source!BS249&lt;&gt; 0, Source!BS249, 1)</f>
        <v>7.13</v>
      </c>
      <c r="K793" s="37">
        <f>Source!R249</f>
        <v>4.1900000000000004</v>
      </c>
      <c r="L793" s="36"/>
      <c r="R793">
        <f>H793</f>
        <v>0.59</v>
      </c>
    </row>
    <row r="794" spans="1:26" ht="14.25" x14ac:dyDescent="0.2">
      <c r="A794" s="49"/>
      <c r="B794" s="50"/>
      <c r="C794" s="50" t="s">
        <v>1790</v>
      </c>
      <c r="D794" s="33"/>
      <c r="E794" s="11"/>
      <c r="F794" s="34">
        <f>Source!AL249</f>
        <v>87.74</v>
      </c>
      <c r="G794" s="35" t="str">
        <f>Source!DD249</f>
        <v/>
      </c>
      <c r="H794" s="34">
        <f>ROUND(Source!AC249*Source!I249, 2)</f>
        <v>18.600000000000001</v>
      </c>
      <c r="I794" s="35"/>
      <c r="J794" s="35">
        <f>IF(Source!BC249&lt;&gt; 0, Source!BC249, 1)</f>
        <v>7.13</v>
      </c>
      <c r="K794" s="34">
        <f>Source!P249</f>
        <v>132.62</v>
      </c>
      <c r="L794" s="36"/>
    </row>
    <row r="795" spans="1:26" ht="14.25" x14ac:dyDescent="0.2">
      <c r="A795" s="49"/>
      <c r="B795" s="50"/>
      <c r="C795" s="50" t="s">
        <v>1785</v>
      </c>
      <c r="D795" s="33" t="s">
        <v>1786</v>
      </c>
      <c r="E795" s="11">
        <f>Source!BZ249</f>
        <v>95</v>
      </c>
      <c r="F795" s="53"/>
      <c r="G795" s="35"/>
      <c r="H795" s="34">
        <f>SUM(S789:S798)</f>
        <v>29.49</v>
      </c>
      <c r="I795" s="38"/>
      <c r="J795" s="31">
        <f>Source!AT249</f>
        <v>95</v>
      </c>
      <c r="K795" s="34">
        <f>SUM(T789:T798)</f>
        <v>210.24</v>
      </c>
      <c r="L795" s="36"/>
    </row>
    <row r="796" spans="1:26" ht="14.25" x14ac:dyDescent="0.2">
      <c r="A796" s="49"/>
      <c r="B796" s="50"/>
      <c r="C796" s="50" t="s">
        <v>1787</v>
      </c>
      <c r="D796" s="33" t="s">
        <v>1786</v>
      </c>
      <c r="E796" s="11">
        <f>Source!CA249</f>
        <v>65</v>
      </c>
      <c r="F796" s="53"/>
      <c r="G796" s="35"/>
      <c r="H796" s="34">
        <f>SUM(U789:U798)</f>
        <v>20.18</v>
      </c>
      <c r="I796" s="38"/>
      <c r="J796" s="31">
        <f>Source!AU249</f>
        <v>65</v>
      </c>
      <c r="K796" s="34">
        <f>SUM(V789:V798)</f>
        <v>143.85</v>
      </c>
      <c r="L796" s="36"/>
    </row>
    <row r="797" spans="1:26" ht="14.25" x14ac:dyDescent="0.2">
      <c r="A797" s="49"/>
      <c r="B797" s="50"/>
      <c r="C797" s="50" t="s">
        <v>1788</v>
      </c>
      <c r="D797" s="33" t="s">
        <v>1789</v>
      </c>
      <c r="E797" s="11">
        <f>Source!AQ249</f>
        <v>15.28</v>
      </c>
      <c r="F797" s="34"/>
      <c r="G797" s="35" t="str">
        <f>Source!DI249</f>
        <v/>
      </c>
      <c r="H797" s="34"/>
      <c r="I797" s="35"/>
      <c r="J797" s="35"/>
      <c r="K797" s="34"/>
      <c r="L797" s="45">
        <f>Source!U249</f>
        <v>3.2393599999999996</v>
      </c>
    </row>
    <row r="798" spans="1:26" ht="28.5" x14ac:dyDescent="0.2">
      <c r="A798" s="51" t="str">
        <f>Source!E250</f>
        <v>79,1</v>
      </c>
      <c r="B798" s="52" t="str">
        <f>Source!F250</f>
        <v>24.3.03.13-0305</v>
      </c>
      <c r="C798" s="52" t="str">
        <f>Source!G250</f>
        <v>Трубы гладкие одностенные легкие из ПНД, диаметром 40 мм</v>
      </c>
      <c r="D798" s="39" t="str">
        <f>Source!H250</f>
        <v>10 м</v>
      </c>
      <c r="E798" s="40">
        <f>Source!I250</f>
        <v>2.12</v>
      </c>
      <c r="F798" s="41">
        <f>Source!AL250+Source!AM250+Source!AO250</f>
        <v>149.84</v>
      </c>
      <c r="G798" s="46" t="s">
        <v>6</v>
      </c>
      <c r="H798" s="41">
        <f>ROUND(Source!AC250*Source!I250, 2)+ROUND(Source!AD250*Source!I250, 2)+ROUND(Source!AF250*Source!I250, 2)</f>
        <v>317.66000000000003</v>
      </c>
      <c r="I798" s="42"/>
      <c r="J798" s="42">
        <f>IF(Source!BC250&lt;&gt; 0, Source!BC250, 1)</f>
        <v>7.13</v>
      </c>
      <c r="K798" s="41">
        <f>Source!O250</f>
        <v>2264.92</v>
      </c>
      <c r="L798" s="47"/>
      <c r="S798">
        <f>ROUND((Source!FX250/100)*((ROUND(Source!AF250*Source!I250, 2)+ROUND(Source!AE250*Source!I250, 2))), 2)</f>
        <v>0</v>
      </c>
      <c r="T798">
        <f>Source!X250</f>
        <v>0</v>
      </c>
      <c r="U798">
        <f>ROUND((Source!FY250/100)*((ROUND(Source!AF250*Source!I250, 2)+ROUND(Source!AE250*Source!I250, 2))), 2)</f>
        <v>0</v>
      </c>
      <c r="V798">
        <f>Source!Y250</f>
        <v>0</v>
      </c>
      <c r="W798">
        <f>IF(Source!BI250&lt;=1,H798, 0)</f>
        <v>0</v>
      </c>
      <c r="X798">
        <f>IF(Source!BI250=2,H798, 0)</f>
        <v>317.66000000000003</v>
      </c>
      <c r="Y798">
        <f>IF(Source!BI250=3,H798, 0)</f>
        <v>0</v>
      </c>
      <c r="Z798">
        <f>IF(Source!BI250=4,H798, 0)</f>
        <v>0</v>
      </c>
    </row>
    <row r="799" spans="1:26" ht="15" x14ac:dyDescent="0.25">
      <c r="G799" s="87">
        <f>H791+H792+H794+H795+H796+SUM(H798:H798)</f>
        <v>420.52</v>
      </c>
      <c r="H799" s="87"/>
      <c r="J799" s="87">
        <f>K791+K792+K794+K795+K796+SUM(K798:K798)</f>
        <v>2998.29</v>
      </c>
      <c r="K799" s="87"/>
      <c r="L799" s="44">
        <f>Source!U249</f>
        <v>3.2393599999999996</v>
      </c>
      <c r="O799" s="27">
        <f>G799</f>
        <v>420.52</v>
      </c>
      <c r="P799" s="27">
        <f>J799</f>
        <v>2998.29</v>
      </c>
      <c r="Q799" s="27">
        <f>L799</f>
        <v>3.2393599999999996</v>
      </c>
      <c r="W799">
        <f>IF(Source!BI249&lt;=1,H791+H792+H794+H795+H796, 0)</f>
        <v>0</v>
      </c>
      <c r="X799">
        <f>IF(Source!BI249=2,H791+H792+H794+H795+H796, 0)</f>
        <v>102.85999999999999</v>
      </c>
      <c r="Y799">
        <f>IF(Source!BI249=3,H791+H792+H794+H795+H796, 0)</f>
        <v>0</v>
      </c>
      <c r="Z799">
        <f>IF(Source!BI249=4,H791+H792+H794+H795+H796, 0)</f>
        <v>0</v>
      </c>
    </row>
    <row r="800" spans="1:26" ht="14.25" x14ac:dyDescent="0.2">
      <c r="A800" s="49" t="str">
        <f>Source!E251</f>
        <v>80</v>
      </c>
      <c r="B800" s="50" t="str">
        <f>Source!F251</f>
        <v>65-19-5</v>
      </c>
      <c r="C800" s="50" t="str">
        <f>Source!G251</f>
        <v>Демонтаж конвекторов</v>
      </c>
      <c r="D800" s="33" t="str">
        <f>Source!H251</f>
        <v>100 экм</v>
      </c>
      <c r="E800" s="11">
        <f>Source!I251</f>
        <v>0.37108000000000002</v>
      </c>
      <c r="F800" s="34">
        <f>Source!AL251+Source!AM251+Source!AO251</f>
        <v>150.27000000000001</v>
      </c>
      <c r="G800" s="35"/>
      <c r="H800" s="34"/>
      <c r="I800" s="35" t="str">
        <f>Source!BO251</f>
        <v/>
      </c>
      <c r="J800" s="35"/>
      <c r="K800" s="34"/>
      <c r="L800" s="36"/>
      <c r="S800">
        <f>ROUND((Source!FX251/100)*((ROUND(Source!AF251*Source!I251, 2)+ROUND(Source!AE251*Source!I251, 2))), 2)</f>
        <v>40.29</v>
      </c>
      <c r="T800">
        <f>Source!X251</f>
        <v>287.26</v>
      </c>
      <c r="U800">
        <f>ROUND((Source!FY251/100)*((ROUND(Source!AF251*Source!I251, 2)+ROUND(Source!AE251*Source!I251, 2))), 2)</f>
        <v>27.22</v>
      </c>
      <c r="V800">
        <f>Source!Y251</f>
        <v>194.1</v>
      </c>
    </row>
    <row r="801" spans="1:26" x14ac:dyDescent="0.2">
      <c r="C801" s="26" t="str">
        <f>"Объем: "&amp;Source!I251&amp;"=37,108/"&amp;"100"</f>
        <v>Объем: 0,37108=37,108/100</v>
      </c>
    </row>
    <row r="802" spans="1:26" ht="14.25" x14ac:dyDescent="0.2">
      <c r="A802" s="49"/>
      <c r="B802" s="50"/>
      <c r="C802" s="50" t="s">
        <v>1783</v>
      </c>
      <c r="D802" s="33"/>
      <c r="E802" s="11"/>
      <c r="F802" s="34">
        <f>Source!AO251</f>
        <v>144.02000000000001</v>
      </c>
      <c r="G802" s="35" t="str">
        <f>Source!DG251</f>
        <v/>
      </c>
      <c r="H802" s="34">
        <f>ROUND(Source!AF251*Source!I251, 2)</f>
        <v>53.44</v>
      </c>
      <c r="I802" s="35"/>
      <c r="J802" s="35">
        <f>IF(Source!BA251&lt;&gt; 0, Source!BA251, 1)</f>
        <v>7.13</v>
      </c>
      <c r="K802" s="34">
        <f>Source!S251</f>
        <v>381.05</v>
      </c>
      <c r="L802" s="36"/>
      <c r="R802">
        <f>H802</f>
        <v>53.44</v>
      </c>
    </row>
    <row r="803" spans="1:26" ht="14.25" x14ac:dyDescent="0.2">
      <c r="A803" s="49"/>
      <c r="B803" s="50"/>
      <c r="C803" s="50" t="s">
        <v>449</v>
      </c>
      <c r="D803" s="33"/>
      <c r="E803" s="11"/>
      <c r="F803" s="34">
        <f>Source!AM251</f>
        <v>6.25</v>
      </c>
      <c r="G803" s="35" t="str">
        <f>Source!DE251</f>
        <v/>
      </c>
      <c r="H803" s="34">
        <f>ROUND(Source!AD251*Source!I251, 2)</f>
        <v>2.3199999999999998</v>
      </c>
      <c r="I803" s="35"/>
      <c r="J803" s="35">
        <f>IF(Source!BB251&lt;&gt; 0, Source!BB251, 1)</f>
        <v>7.13</v>
      </c>
      <c r="K803" s="34">
        <f>Source!Q251</f>
        <v>16.54</v>
      </c>
      <c r="L803" s="36"/>
    </row>
    <row r="804" spans="1:26" ht="14.25" x14ac:dyDescent="0.2">
      <c r="A804" s="49"/>
      <c r="B804" s="50"/>
      <c r="C804" s="50" t="s">
        <v>1784</v>
      </c>
      <c r="D804" s="33"/>
      <c r="E804" s="11"/>
      <c r="F804" s="34">
        <f>Source!AN251</f>
        <v>2.7</v>
      </c>
      <c r="G804" s="35" t="str">
        <f>Source!DF251</f>
        <v/>
      </c>
      <c r="H804" s="37">
        <f>ROUND(Source!AE251*Source!I251, 2)</f>
        <v>1</v>
      </c>
      <c r="I804" s="35"/>
      <c r="J804" s="35">
        <f>IF(Source!BS251&lt;&gt; 0, Source!BS251, 1)</f>
        <v>7.13</v>
      </c>
      <c r="K804" s="37">
        <f>Source!R251</f>
        <v>7.14</v>
      </c>
      <c r="L804" s="36"/>
      <c r="R804">
        <f>H804</f>
        <v>1</v>
      </c>
    </row>
    <row r="805" spans="1:26" ht="14.25" x14ac:dyDescent="0.2">
      <c r="A805" s="49"/>
      <c r="B805" s="50"/>
      <c r="C805" s="50" t="s">
        <v>1785</v>
      </c>
      <c r="D805" s="33" t="s">
        <v>1786</v>
      </c>
      <c r="E805" s="11">
        <f>Source!BZ251</f>
        <v>74</v>
      </c>
      <c r="F805" s="53"/>
      <c r="G805" s="35"/>
      <c r="H805" s="34">
        <f>SUM(S800:S807)</f>
        <v>40.29</v>
      </c>
      <c r="I805" s="38"/>
      <c r="J805" s="31">
        <f>Source!AT251</f>
        <v>74</v>
      </c>
      <c r="K805" s="34">
        <f>SUM(T800:T807)</f>
        <v>287.26</v>
      </c>
      <c r="L805" s="36"/>
    </row>
    <row r="806" spans="1:26" ht="14.25" x14ac:dyDescent="0.2">
      <c r="A806" s="49"/>
      <c r="B806" s="50"/>
      <c r="C806" s="50" t="s">
        <v>1787</v>
      </c>
      <c r="D806" s="33" t="s">
        <v>1786</v>
      </c>
      <c r="E806" s="11">
        <f>Source!CA251</f>
        <v>50</v>
      </c>
      <c r="F806" s="53"/>
      <c r="G806" s="35"/>
      <c r="H806" s="34">
        <f>SUM(U800:U807)</f>
        <v>27.22</v>
      </c>
      <c r="I806" s="38"/>
      <c r="J806" s="31">
        <f>Source!AU251</f>
        <v>50</v>
      </c>
      <c r="K806" s="34">
        <f>SUM(V800:V807)</f>
        <v>194.1</v>
      </c>
      <c r="L806" s="36"/>
    </row>
    <row r="807" spans="1:26" ht="14.25" x14ac:dyDescent="0.2">
      <c r="A807" s="51"/>
      <c r="B807" s="52"/>
      <c r="C807" s="52" t="s">
        <v>1788</v>
      </c>
      <c r="D807" s="39" t="s">
        <v>1789</v>
      </c>
      <c r="E807" s="40">
        <f>Source!AQ251</f>
        <v>18.3</v>
      </c>
      <c r="F807" s="41"/>
      <c r="G807" s="42" t="str">
        <f>Source!DI251</f>
        <v/>
      </c>
      <c r="H807" s="41"/>
      <c r="I807" s="42"/>
      <c r="J807" s="42"/>
      <c r="K807" s="41"/>
      <c r="L807" s="43">
        <f>Source!U251</f>
        <v>6.7907640000000002</v>
      </c>
    </row>
    <row r="808" spans="1:26" ht="15" x14ac:dyDescent="0.25">
      <c r="G808" s="87">
        <f>H802+H803+H805+H806</f>
        <v>123.27</v>
      </c>
      <c r="H808" s="87"/>
      <c r="J808" s="87">
        <f>K802+K803+K805+K806</f>
        <v>878.95</v>
      </c>
      <c r="K808" s="87"/>
      <c r="L808" s="44">
        <f>Source!U251</f>
        <v>6.7907640000000002</v>
      </c>
      <c r="O808" s="27">
        <f>G808</f>
        <v>123.27</v>
      </c>
      <c r="P808" s="27">
        <f>J808</f>
        <v>878.95</v>
      </c>
      <c r="Q808" s="27">
        <f>L808</f>
        <v>6.7907640000000002</v>
      </c>
      <c r="W808">
        <f>IF(Source!BI251&lt;=1,H802+H803+H805+H806, 0)</f>
        <v>123.27</v>
      </c>
      <c r="X808">
        <f>IF(Source!BI251=2,H802+H803+H805+H806, 0)</f>
        <v>0</v>
      </c>
      <c r="Y808">
        <f>IF(Source!BI251=3,H802+H803+H805+H806, 0)</f>
        <v>0</v>
      </c>
      <c r="Z808">
        <f>IF(Source!BI251=4,H802+H803+H805+H806, 0)</f>
        <v>0</v>
      </c>
    </row>
    <row r="809" spans="1:26" ht="57" x14ac:dyDescent="0.2">
      <c r="A809" s="49" t="str">
        <f>Source!E252</f>
        <v>81</v>
      </c>
      <c r="B809" s="50" t="str">
        <f>Source!F252</f>
        <v>16-02-001-03</v>
      </c>
      <c r="C809" s="50" t="str">
        <f>Source!G252</f>
        <v>Прокладка трубопроводов отопления из стальных водогазопроводных неоцинкованных труб диаметром 25 мм</v>
      </c>
      <c r="D809" s="33" t="str">
        <f>Source!H252</f>
        <v>100 м</v>
      </c>
      <c r="E809" s="11">
        <f>Source!I252</f>
        <v>0.66900000000000004</v>
      </c>
      <c r="F809" s="34">
        <f>Source!AL252+Source!AM252+Source!AO252</f>
        <v>384.19000000000005</v>
      </c>
      <c r="G809" s="35"/>
      <c r="H809" s="34"/>
      <c r="I809" s="35" t="str">
        <f>Source!BO252</f>
        <v/>
      </c>
      <c r="J809" s="35"/>
      <c r="K809" s="34"/>
      <c r="L809" s="36"/>
      <c r="S809">
        <f>ROUND((Source!FX252/100)*((ROUND(Source!AF252*Source!I252, 2)+ROUND(Source!AE252*Source!I252, 2))), 2)</f>
        <v>286.97000000000003</v>
      </c>
      <c r="T809">
        <f>Source!X252</f>
        <v>2042.57</v>
      </c>
      <c r="U809">
        <f>ROUND((Source!FY252/100)*((ROUND(Source!AF252*Source!I252, 2)+ROUND(Source!AE252*Source!I252, 2))), 2)</f>
        <v>175.75</v>
      </c>
      <c r="V809">
        <f>Source!Y252</f>
        <v>1261.07</v>
      </c>
    </row>
    <row r="810" spans="1:26" x14ac:dyDescent="0.2">
      <c r="C810" s="26" t="str">
        <f>"Объем: "&amp;Source!I252&amp;"=66,9/"&amp;"100"</f>
        <v>Объем: 0,669=66,9/100</v>
      </c>
    </row>
    <row r="811" spans="1:26" ht="14.25" x14ac:dyDescent="0.2">
      <c r="A811" s="49"/>
      <c r="B811" s="50"/>
      <c r="C811" s="50" t="s">
        <v>1783</v>
      </c>
      <c r="D811" s="33"/>
      <c r="E811" s="11"/>
      <c r="F811" s="34">
        <f>Source!AO252</f>
        <v>317.17</v>
      </c>
      <c r="G811" s="35" t="str">
        <f>Source!DG252</f>
        <v>)*1,15</v>
      </c>
      <c r="H811" s="34">
        <f>ROUND(Source!AF252*Source!I252, 2)</f>
        <v>244.02</v>
      </c>
      <c r="I811" s="35"/>
      <c r="J811" s="35">
        <f>IF(Source!BA252&lt;&gt; 0, Source!BA252, 1)</f>
        <v>7.13</v>
      </c>
      <c r="K811" s="34">
        <f>Source!S252</f>
        <v>1739.85</v>
      </c>
      <c r="L811" s="36"/>
      <c r="R811">
        <f>H811</f>
        <v>244.02</v>
      </c>
    </row>
    <row r="812" spans="1:26" ht="14.25" x14ac:dyDescent="0.2">
      <c r="A812" s="49"/>
      <c r="B812" s="50"/>
      <c r="C812" s="50" t="s">
        <v>449</v>
      </c>
      <c r="D812" s="33"/>
      <c r="E812" s="11"/>
      <c r="F812" s="34">
        <f>Source!AM252</f>
        <v>39.130000000000003</v>
      </c>
      <c r="G812" s="35" t="str">
        <f>Source!DE252</f>
        <v>)*1,25</v>
      </c>
      <c r="H812" s="34">
        <f>ROUND(Source!AD252*Source!I252, 2)</f>
        <v>32.72</v>
      </c>
      <c r="I812" s="35"/>
      <c r="J812" s="35">
        <f>IF(Source!BB252&lt;&gt; 0, Source!BB252, 1)</f>
        <v>7.13</v>
      </c>
      <c r="K812" s="34">
        <f>Source!Q252</f>
        <v>233.3</v>
      </c>
      <c r="L812" s="36"/>
    </row>
    <row r="813" spans="1:26" ht="14.25" x14ac:dyDescent="0.2">
      <c r="A813" s="49"/>
      <c r="B813" s="50"/>
      <c r="C813" s="50" t="s">
        <v>1784</v>
      </c>
      <c r="D813" s="33"/>
      <c r="E813" s="11"/>
      <c r="F813" s="34">
        <f>Source!AN252</f>
        <v>6.09</v>
      </c>
      <c r="G813" s="35" t="str">
        <f>Source!DF252</f>
        <v>)*1,25</v>
      </c>
      <c r="H813" s="37">
        <f>ROUND(Source!AE252*Source!I252, 2)</f>
        <v>5.09</v>
      </c>
      <c r="I813" s="35"/>
      <c r="J813" s="35">
        <f>IF(Source!BS252&lt;&gt; 0, Source!BS252, 1)</f>
        <v>7.13</v>
      </c>
      <c r="K813" s="37">
        <f>Source!R252</f>
        <v>36.299999999999997</v>
      </c>
      <c r="L813" s="36"/>
      <c r="R813">
        <f>H813</f>
        <v>5.09</v>
      </c>
    </row>
    <row r="814" spans="1:26" ht="14.25" x14ac:dyDescent="0.2">
      <c r="A814" s="49"/>
      <c r="B814" s="50"/>
      <c r="C814" s="50" t="s">
        <v>1790</v>
      </c>
      <c r="D814" s="33"/>
      <c r="E814" s="11"/>
      <c r="F814" s="34">
        <f>Source!AL252</f>
        <v>27.89</v>
      </c>
      <c r="G814" s="35" t="str">
        <f>Source!DD252</f>
        <v/>
      </c>
      <c r="H814" s="34">
        <f>ROUND(Source!AC252*Source!I252, 2)</f>
        <v>18.66</v>
      </c>
      <c r="I814" s="35"/>
      <c r="J814" s="35">
        <f>IF(Source!BC252&lt;&gt; 0, Source!BC252, 1)</f>
        <v>7.13</v>
      </c>
      <c r="K814" s="34">
        <f>Source!P252</f>
        <v>133.03</v>
      </c>
      <c r="L814" s="36"/>
    </row>
    <row r="815" spans="1:26" ht="14.25" x14ac:dyDescent="0.2">
      <c r="A815" s="49"/>
      <c r="B815" s="50"/>
      <c r="C815" s="50" t="s">
        <v>1785</v>
      </c>
      <c r="D815" s="33" t="s">
        <v>1786</v>
      </c>
      <c r="E815" s="11">
        <f>Source!BZ252</f>
        <v>128</v>
      </c>
      <c r="F815" s="81" t="str">
        <f>CONCATENATE(" )", Source!DL252, Source!FT252, "=", Source!FX252)</f>
        <v xml:space="preserve"> )*0,9=115,2</v>
      </c>
      <c r="G815" s="88"/>
      <c r="H815" s="34">
        <f>SUM(S809:S820)</f>
        <v>286.97000000000003</v>
      </c>
      <c r="I815" s="38"/>
      <c r="J815" s="31">
        <f>Source!AT252</f>
        <v>115</v>
      </c>
      <c r="K815" s="34">
        <f>SUM(T809:T820)</f>
        <v>2042.57</v>
      </c>
      <c r="L815" s="36"/>
    </row>
    <row r="816" spans="1:26" ht="14.25" x14ac:dyDescent="0.2">
      <c r="A816" s="49"/>
      <c r="B816" s="50"/>
      <c r="C816" s="50" t="s">
        <v>1787</v>
      </c>
      <c r="D816" s="33" t="s">
        <v>1786</v>
      </c>
      <c r="E816" s="11">
        <f>Source!CA252</f>
        <v>83</v>
      </c>
      <c r="F816" s="81" t="str">
        <f>CONCATENATE(" )", Source!DM252, Source!FU252, "=", Source!FY252)</f>
        <v xml:space="preserve"> )*0,85=70,55</v>
      </c>
      <c r="G816" s="88"/>
      <c r="H816" s="34">
        <f>SUM(U809:U820)</f>
        <v>175.75</v>
      </c>
      <c r="I816" s="38"/>
      <c r="J816" s="31">
        <f>Source!AU252</f>
        <v>71</v>
      </c>
      <c r="K816" s="34">
        <f>SUM(V809:V820)</f>
        <v>1261.07</v>
      </c>
      <c r="L816" s="36"/>
    </row>
    <row r="817" spans="1:26" ht="14.25" x14ac:dyDescent="0.2">
      <c r="A817" s="49"/>
      <c r="B817" s="50"/>
      <c r="C817" s="50" t="s">
        <v>1788</v>
      </c>
      <c r="D817" s="33" t="s">
        <v>1789</v>
      </c>
      <c r="E817" s="11">
        <f>Source!AQ252</f>
        <v>32.97</v>
      </c>
      <c r="F817" s="34"/>
      <c r="G817" s="35" t="str">
        <f>Source!DI252</f>
        <v>)*1,15</v>
      </c>
      <c r="H817" s="34"/>
      <c r="I817" s="35"/>
      <c r="J817" s="35"/>
      <c r="K817" s="34"/>
      <c r="L817" s="45">
        <f>Source!U252</f>
        <v>25.365469499999996</v>
      </c>
    </row>
    <row r="818" spans="1:26" ht="57" x14ac:dyDescent="0.2">
      <c r="A818" s="49" t="str">
        <f>Source!E253</f>
        <v>81,1</v>
      </c>
      <c r="B818" s="50" t="str">
        <f>Source!F253</f>
        <v>23.1.02.06-0004</v>
      </c>
      <c r="C818" s="50" t="str">
        <f>Source!G253</f>
        <v>Хомут металлический с одним стопорным винтом и резиновым профилем для крепления трубопроводов диаметром 25-28 мм</v>
      </c>
      <c r="D818" s="33" t="str">
        <f>Source!H253</f>
        <v>10 шт.</v>
      </c>
      <c r="E818" s="11">
        <f>Source!I253</f>
        <v>3.4</v>
      </c>
      <c r="F818" s="34">
        <f>Source!AL253+Source!AM253+Source!AO253</f>
        <v>33</v>
      </c>
      <c r="G818" s="48" t="s">
        <v>6</v>
      </c>
      <c r="H818" s="34">
        <f>ROUND(Source!AC253*Source!I253, 2)+ROUND(Source!AD253*Source!I253, 2)+ROUND(Source!AF253*Source!I253, 2)</f>
        <v>112.2</v>
      </c>
      <c r="I818" s="35"/>
      <c r="J818" s="35">
        <f>IF(Source!BC253&lt;&gt; 0, Source!BC253, 1)</f>
        <v>7.13</v>
      </c>
      <c r="K818" s="34">
        <f>Source!O253</f>
        <v>799.99</v>
      </c>
      <c r="L818" s="36"/>
      <c r="S818">
        <f>ROUND((Source!FX253/100)*((ROUND(Source!AF253*Source!I253, 2)+ROUND(Source!AE253*Source!I253, 2))), 2)</f>
        <v>0</v>
      </c>
      <c r="T818">
        <f>Source!X253</f>
        <v>0</v>
      </c>
      <c r="U818">
        <f>ROUND((Source!FY253/100)*((ROUND(Source!AF253*Source!I253, 2)+ROUND(Source!AE253*Source!I253, 2))), 2)</f>
        <v>0</v>
      </c>
      <c r="V818">
        <f>Source!Y253</f>
        <v>0</v>
      </c>
      <c r="W818">
        <f>IF(Source!BI253&lt;=1,H818, 0)</f>
        <v>112.2</v>
      </c>
      <c r="X818">
        <f>IF(Source!BI253=2,H818, 0)</f>
        <v>0</v>
      </c>
      <c r="Y818">
        <f>IF(Source!BI253=3,H818, 0)</f>
        <v>0</v>
      </c>
      <c r="Z818">
        <f>IF(Source!BI253=4,H818, 0)</f>
        <v>0</v>
      </c>
    </row>
    <row r="819" spans="1:26" ht="57" x14ac:dyDescent="0.2">
      <c r="A819" s="49" t="str">
        <f>Source!E254</f>
        <v>81,2</v>
      </c>
      <c r="B819" s="50" t="str">
        <f>Source!F254</f>
        <v>23.7.01.03-0003</v>
      </c>
      <c r="C819" s="50" t="str">
        <f>Source!G254</f>
        <v>Трубопроводы из стальных водогазопроводных неоцинкованных труб с гильзами и креплениями для газоснабжения диаметром 25 мм</v>
      </c>
      <c r="D819" s="33" t="str">
        <f>Source!H254</f>
        <v>м</v>
      </c>
      <c r="E819" s="11">
        <f>Source!I254</f>
        <v>66.900000000000006</v>
      </c>
      <c r="F819" s="34">
        <f>Source!AL254+Source!AM254+Source!AO254</f>
        <v>27.2</v>
      </c>
      <c r="G819" s="48" t="s">
        <v>6</v>
      </c>
      <c r="H819" s="34">
        <f>ROUND(Source!AC254*Source!I254, 2)+ROUND(Source!AD254*Source!I254, 2)+ROUND(Source!AF254*Source!I254, 2)</f>
        <v>1819.68</v>
      </c>
      <c r="I819" s="35"/>
      <c r="J819" s="35">
        <f>IF(Source!BC254&lt;&gt; 0, Source!BC254, 1)</f>
        <v>7.13</v>
      </c>
      <c r="K819" s="34">
        <f>Source!O254</f>
        <v>12974.32</v>
      </c>
      <c r="L819" s="36"/>
      <c r="S819">
        <f>ROUND((Source!FX254/100)*((ROUND(Source!AF254*Source!I254, 2)+ROUND(Source!AE254*Source!I254, 2))), 2)</f>
        <v>0</v>
      </c>
      <c r="T819">
        <f>Source!X254</f>
        <v>0</v>
      </c>
      <c r="U819">
        <f>ROUND((Source!FY254/100)*((ROUND(Source!AF254*Source!I254, 2)+ROUND(Source!AE254*Source!I254, 2))), 2)</f>
        <v>0</v>
      </c>
      <c r="V819">
        <f>Source!Y254</f>
        <v>0</v>
      </c>
      <c r="W819">
        <f>IF(Source!BI254&lt;=1,H819, 0)</f>
        <v>1819.68</v>
      </c>
      <c r="X819">
        <f>IF(Source!BI254=2,H819, 0)</f>
        <v>0</v>
      </c>
      <c r="Y819">
        <f>IF(Source!BI254=3,H819, 0)</f>
        <v>0</v>
      </c>
      <c r="Z819">
        <f>IF(Source!BI254=4,H819, 0)</f>
        <v>0</v>
      </c>
    </row>
    <row r="820" spans="1:26" ht="14.25" x14ac:dyDescent="0.2">
      <c r="A820" s="51" t="str">
        <f>Source!E255</f>
        <v>81,3</v>
      </c>
      <c r="B820" s="52" t="str">
        <f>Source!F255</f>
        <v>23.7.01.07</v>
      </c>
      <c r="C820" s="52" t="str">
        <f>Source!G255</f>
        <v>Трубопроводы с гильзами</v>
      </c>
      <c r="D820" s="39" t="str">
        <f>Source!H255</f>
        <v>м</v>
      </c>
      <c r="E820" s="40">
        <f>Source!I255</f>
        <v>66.900000000000006</v>
      </c>
      <c r="F820" s="41">
        <f>Source!AL255+Source!AM255+Source!AO255</f>
        <v>0</v>
      </c>
      <c r="G820" s="46" t="s">
        <v>6</v>
      </c>
      <c r="H820" s="41">
        <f>ROUND(Source!AC255*Source!I255, 2)+ROUND(Source!AD255*Source!I255, 2)+ROUND(Source!AF255*Source!I255, 2)</f>
        <v>0</v>
      </c>
      <c r="I820" s="42"/>
      <c r="J820" s="42">
        <f>IF(Source!BC255&lt;&gt; 0, Source!BC255, 1)</f>
        <v>7.13</v>
      </c>
      <c r="K820" s="41">
        <f>Source!O255</f>
        <v>0</v>
      </c>
      <c r="L820" s="47"/>
      <c r="S820">
        <f>ROUND((Source!FX255/100)*((ROUND(Source!AF255*Source!I255, 2)+ROUND(Source!AE255*Source!I255, 2))), 2)</f>
        <v>0</v>
      </c>
      <c r="T820">
        <f>Source!X255</f>
        <v>0</v>
      </c>
      <c r="U820">
        <f>ROUND((Source!FY255/100)*((ROUND(Source!AF255*Source!I255, 2)+ROUND(Source!AE255*Source!I255, 2))), 2)</f>
        <v>0</v>
      </c>
      <c r="V820">
        <f>Source!Y255</f>
        <v>0</v>
      </c>
      <c r="W820">
        <f>IF(Source!BI255&lt;=1,H820, 0)</f>
        <v>0</v>
      </c>
      <c r="X820">
        <f>IF(Source!BI255=2,H820, 0)</f>
        <v>0</v>
      </c>
      <c r="Y820">
        <f>IF(Source!BI255=3,H820, 0)</f>
        <v>0</v>
      </c>
      <c r="Z820">
        <f>IF(Source!BI255=4,H820, 0)</f>
        <v>0</v>
      </c>
    </row>
    <row r="821" spans="1:26" ht="15" x14ac:dyDescent="0.25">
      <c r="G821" s="87">
        <f>H811+H812+H814+H815+H816+SUM(H818:H820)</f>
        <v>2690</v>
      </c>
      <c r="H821" s="87"/>
      <c r="J821" s="87">
        <f>K811+K812+K814+K815+K816+SUM(K818:K820)</f>
        <v>19184.129999999997</v>
      </c>
      <c r="K821" s="87"/>
      <c r="L821" s="44">
        <f>Source!U252</f>
        <v>25.365469499999996</v>
      </c>
      <c r="O821" s="27">
        <f>G821</f>
        <v>2690</v>
      </c>
      <c r="P821" s="27">
        <f>J821</f>
        <v>19184.129999999997</v>
      </c>
      <c r="Q821" s="27">
        <f>L821</f>
        <v>25.365469499999996</v>
      </c>
      <c r="W821">
        <f>IF(Source!BI252&lt;=1,H811+H812+H814+H815+H816, 0)</f>
        <v>758.12000000000012</v>
      </c>
      <c r="X821">
        <f>IF(Source!BI252=2,H811+H812+H814+H815+H816, 0)</f>
        <v>0</v>
      </c>
      <c r="Y821">
        <f>IF(Source!BI252=3,H811+H812+H814+H815+H816, 0)</f>
        <v>0</v>
      </c>
      <c r="Z821">
        <f>IF(Source!BI252=4,H811+H812+H814+H815+H816, 0)</f>
        <v>0</v>
      </c>
    </row>
    <row r="822" spans="1:26" ht="57" x14ac:dyDescent="0.2">
      <c r="A822" s="49" t="str">
        <f>Source!E256</f>
        <v>82</v>
      </c>
      <c r="B822" s="50" t="str">
        <f>Source!F256</f>
        <v>16-02-001-02</v>
      </c>
      <c r="C822" s="50" t="str">
        <f>Source!G256</f>
        <v>Прокладка трубопроводов отопления из стальных водогазопроводных неоцинкованных труб диаметром 20 мм</v>
      </c>
      <c r="D822" s="33" t="str">
        <f>Source!H256</f>
        <v>100 м</v>
      </c>
      <c r="E822" s="11">
        <f>Source!I256</f>
        <v>0.33500000000000002</v>
      </c>
      <c r="F822" s="34">
        <f>Source!AL256+Source!AM256+Source!AO256</f>
        <v>383.57000000000005</v>
      </c>
      <c r="G822" s="35"/>
      <c r="H822" s="34"/>
      <c r="I822" s="35" t="str">
        <f>Source!BO256</f>
        <v/>
      </c>
      <c r="J822" s="35"/>
      <c r="K822" s="34"/>
      <c r="L822" s="36"/>
      <c r="S822">
        <f>ROUND((Source!FX256/100)*((ROUND(Source!AF256*Source!I256, 2)+ROUND(Source!AE256*Source!I256, 2))), 2)</f>
        <v>143.69999999999999</v>
      </c>
      <c r="T822">
        <f>Source!X256</f>
        <v>1022.81</v>
      </c>
      <c r="U822">
        <f>ROUND((Source!FY256/100)*((ROUND(Source!AF256*Source!I256, 2)+ROUND(Source!AE256*Source!I256, 2))), 2)</f>
        <v>88</v>
      </c>
      <c r="V822">
        <f>Source!Y256</f>
        <v>631.47</v>
      </c>
    </row>
    <row r="823" spans="1:26" x14ac:dyDescent="0.2">
      <c r="C823" s="26" t="str">
        <f>"Объем: "&amp;Source!I256&amp;"=33,5/"&amp;"100"</f>
        <v>Объем: 0,335=33,5/100</v>
      </c>
    </row>
    <row r="824" spans="1:26" ht="14.25" x14ac:dyDescent="0.2">
      <c r="A824" s="49"/>
      <c r="B824" s="50"/>
      <c r="C824" s="50" t="s">
        <v>1783</v>
      </c>
      <c r="D824" s="33"/>
      <c r="E824" s="11"/>
      <c r="F824" s="34">
        <f>Source!AO256</f>
        <v>317.17</v>
      </c>
      <c r="G824" s="35" t="str">
        <f>Source!DG256</f>
        <v>)*1,15</v>
      </c>
      <c r="H824" s="34">
        <f>ROUND(Source!AF256*Source!I256, 2)</f>
        <v>122.19</v>
      </c>
      <c r="I824" s="35"/>
      <c r="J824" s="35">
        <f>IF(Source!BA256&lt;&gt; 0, Source!BA256, 1)</f>
        <v>7.13</v>
      </c>
      <c r="K824" s="34">
        <f>Source!S256</f>
        <v>871.22</v>
      </c>
      <c r="L824" s="36"/>
      <c r="R824">
        <f>H824</f>
        <v>122.19</v>
      </c>
    </row>
    <row r="825" spans="1:26" ht="14.25" x14ac:dyDescent="0.2">
      <c r="A825" s="49"/>
      <c r="B825" s="50"/>
      <c r="C825" s="50" t="s">
        <v>449</v>
      </c>
      <c r="D825" s="33"/>
      <c r="E825" s="11"/>
      <c r="F825" s="34">
        <f>Source!AM256</f>
        <v>39.130000000000003</v>
      </c>
      <c r="G825" s="35" t="str">
        <f>Source!DE256</f>
        <v>)*1,25</v>
      </c>
      <c r="H825" s="34">
        <f>ROUND(Source!AD256*Source!I256, 2)</f>
        <v>16.38</v>
      </c>
      <c r="I825" s="35"/>
      <c r="J825" s="35">
        <f>IF(Source!BB256&lt;&gt; 0, Source!BB256, 1)</f>
        <v>7.13</v>
      </c>
      <c r="K825" s="34">
        <f>Source!Q256</f>
        <v>116.82</v>
      </c>
      <c r="L825" s="36"/>
    </row>
    <row r="826" spans="1:26" ht="14.25" x14ac:dyDescent="0.2">
      <c r="A826" s="49"/>
      <c r="B826" s="50"/>
      <c r="C826" s="50" t="s">
        <v>1784</v>
      </c>
      <c r="D826" s="33"/>
      <c r="E826" s="11"/>
      <c r="F826" s="34">
        <f>Source!AN256</f>
        <v>6.09</v>
      </c>
      <c r="G826" s="35" t="str">
        <f>Source!DF256</f>
        <v>)*1,25</v>
      </c>
      <c r="H826" s="37">
        <f>ROUND(Source!AE256*Source!I256, 2)</f>
        <v>2.5499999999999998</v>
      </c>
      <c r="I826" s="35"/>
      <c r="J826" s="35">
        <f>IF(Source!BS256&lt;&gt; 0, Source!BS256, 1)</f>
        <v>7.13</v>
      </c>
      <c r="K826" s="37">
        <f>Source!R256</f>
        <v>18.18</v>
      </c>
      <c r="L826" s="36"/>
      <c r="R826">
        <f>H826</f>
        <v>2.5499999999999998</v>
      </c>
    </row>
    <row r="827" spans="1:26" ht="14.25" x14ac:dyDescent="0.2">
      <c r="A827" s="49"/>
      <c r="B827" s="50"/>
      <c r="C827" s="50" t="s">
        <v>1790</v>
      </c>
      <c r="D827" s="33"/>
      <c r="E827" s="11"/>
      <c r="F827" s="34">
        <f>Source!AL256</f>
        <v>27.27</v>
      </c>
      <c r="G827" s="35" t="str">
        <f>Source!DD256</f>
        <v/>
      </c>
      <c r="H827" s="34">
        <f>ROUND(Source!AC256*Source!I256, 2)</f>
        <v>9.14</v>
      </c>
      <c r="I827" s="35"/>
      <c r="J827" s="35">
        <f>IF(Source!BC256&lt;&gt; 0, Source!BC256, 1)</f>
        <v>7.13</v>
      </c>
      <c r="K827" s="34">
        <f>Source!P256</f>
        <v>65.14</v>
      </c>
      <c r="L827" s="36"/>
    </row>
    <row r="828" spans="1:26" ht="14.25" x14ac:dyDescent="0.2">
      <c r="A828" s="49"/>
      <c r="B828" s="50"/>
      <c r="C828" s="50" t="s">
        <v>1785</v>
      </c>
      <c r="D828" s="33" t="s">
        <v>1786</v>
      </c>
      <c r="E828" s="11">
        <f>Source!BZ256</f>
        <v>128</v>
      </c>
      <c r="F828" s="81" t="str">
        <f>CONCATENATE(" )", Source!DL256, Source!FT256, "=", Source!FX256)</f>
        <v xml:space="preserve"> )*0,9=115,2</v>
      </c>
      <c r="G828" s="88"/>
      <c r="H828" s="34">
        <f>SUM(S822:S833)</f>
        <v>143.69999999999999</v>
      </c>
      <c r="I828" s="38"/>
      <c r="J828" s="31">
        <f>Source!AT256</f>
        <v>115</v>
      </c>
      <c r="K828" s="34">
        <f>SUM(T822:T833)</f>
        <v>1022.81</v>
      </c>
      <c r="L828" s="36"/>
    </row>
    <row r="829" spans="1:26" ht="14.25" x14ac:dyDescent="0.2">
      <c r="A829" s="49"/>
      <c r="B829" s="50"/>
      <c r="C829" s="50" t="s">
        <v>1787</v>
      </c>
      <c r="D829" s="33" t="s">
        <v>1786</v>
      </c>
      <c r="E829" s="11">
        <f>Source!CA256</f>
        <v>83</v>
      </c>
      <c r="F829" s="81" t="str">
        <f>CONCATENATE(" )", Source!DM256, Source!FU256, "=", Source!FY256)</f>
        <v xml:space="preserve"> )*0,85=70,55</v>
      </c>
      <c r="G829" s="88"/>
      <c r="H829" s="34">
        <f>SUM(U822:U833)</f>
        <v>88</v>
      </c>
      <c r="I829" s="38"/>
      <c r="J829" s="31">
        <f>Source!AU256</f>
        <v>71</v>
      </c>
      <c r="K829" s="34">
        <f>SUM(V822:V833)</f>
        <v>631.47</v>
      </c>
      <c r="L829" s="36"/>
    </row>
    <row r="830" spans="1:26" ht="14.25" x14ac:dyDescent="0.2">
      <c r="A830" s="49"/>
      <c r="B830" s="50"/>
      <c r="C830" s="50" t="s">
        <v>1788</v>
      </c>
      <c r="D830" s="33" t="s">
        <v>1789</v>
      </c>
      <c r="E830" s="11">
        <f>Source!AQ256</f>
        <v>32.97</v>
      </c>
      <c r="F830" s="34"/>
      <c r="G830" s="35" t="str">
        <f>Source!DI256</f>
        <v>)*1,15</v>
      </c>
      <c r="H830" s="34"/>
      <c r="I830" s="35"/>
      <c r="J830" s="35"/>
      <c r="K830" s="34"/>
      <c r="L830" s="45">
        <f>Source!U256</f>
        <v>12.701692499999998</v>
      </c>
    </row>
    <row r="831" spans="1:26" ht="57" x14ac:dyDescent="0.2">
      <c r="A831" s="49" t="str">
        <f>Source!E257</f>
        <v>82,1</v>
      </c>
      <c r="B831" s="50" t="str">
        <f>Source!F257</f>
        <v>23.7.01.03-0002</v>
      </c>
      <c r="C831" s="50" t="str">
        <f>Source!G257</f>
        <v>Трубопроводы из стальных водогазопроводных неоцинкованных труб с гильзами и креплениями для газоснабжения диаметром 20 мм</v>
      </c>
      <c r="D831" s="33" t="str">
        <f>Source!H257</f>
        <v>м</v>
      </c>
      <c r="E831" s="11">
        <f>Source!I257</f>
        <v>33.5</v>
      </c>
      <c r="F831" s="34">
        <f>Source!AL257+Source!AM257+Source!AO257</f>
        <v>25.28</v>
      </c>
      <c r="G831" s="48" t="s">
        <v>6</v>
      </c>
      <c r="H831" s="34">
        <f>ROUND(Source!AC257*Source!I257, 2)+ROUND(Source!AD257*Source!I257, 2)+ROUND(Source!AF257*Source!I257, 2)</f>
        <v>846.88</v>
      </c>
      <c r="I831" s="35"/>
      <c r="J831" s="35">
        <f>IF(Source!BC257&lt;&gt; 0, Source!BC257, 1)</f>
        <v>7.13</v>
      </c>
      <c r="K831" s="34">
        <f>Source!O257</f>
        <v>6038.25</v>
      </c>
      <c r="L831" s="36"/>
      <c r="S831">
        <f>ROUND((Source!FX257/100)*((ROUND(Source!AF257*Source!I257, 2)+ROUND(Source!AE257*Source!I257, 2))), 2)</f>
        <v>0</v>
      </c>
      <c r="T831">
        <f>Source!X257</f>
        <v>0</v>
      </c>
      <c r="U831">
        <f>ROUND((Source!FY257/100)*((ROUND(Source!AF257*Source!I257, 2)+ROUND(Source!AE257*Source!I257, 2))), 2)</f>
        <v>0</v>
      </c>
      <c r="V831">
        <f>Source!Y257</f>
        <v>0</v>
      </c>
      <c r="W831">
        <f>IF(Source!BI257&lt;=1,H831, 0)</f>
        <v>846.88</v>
      </c>
      <c r="X831">
        <f>IF(Source!BI257=2,H831, 0)</f>
        <v>0</v>
      </c>
      <c r="Y831">
        <f>IF(Source!BI257=3,H831, 0)</f>
        <v>0</v>
      </c>
      <c r="Z831">
        <f>IF(Source!BI257=4,H831, 0)</f>
        <v>0</v>
      </c>
    </row>
    <row r="832" spans="1:26" ht="57" x14ac:dyDescent="0.2">
      <c r="A832" s="49" t="str">
        <f>Source!E258</f>
        <v>82,2</v>
      </c>
      <c r="B832" s="50" t="str">
        <f>Source!F258</f>
        <v>23.1.02.06-0003</v>
      </c>
      <c r="C832" s="50" t="str">
        <f>Source!G258</f>
        <v>Хомут металлический с одним стопорным винтом и резиновым профилем для крепления трубопроводов диаметром 20-23 мм</v>
      </c>
      <c r="D832" s="33" t="str">
        <f>Source!H258</f>
        <v>10 шт.</v>
      </c>
      <c r="E832" s="11">
        <f>Source!I258</f>
        <v>1.7</v>
      </c>
      <c r="F832" s="34">
        <f>Source!AL258+Source!AM258+Source!AO258</f>
        <v>31.8</v>
      </c>
      <c r="G832" s="48" t="s">
        <v>6</v>
      </c>
      <c r="H832" s="34">
        <f>ROUND(Source!AC258*Source!I258, 2)+ROUND(Source!AD258*Source!I258, 2)+ROUND(Source!AF258*Source!I258, 2)</f>
        <v>54.06</v>
      </c>
      <c r="I832" s="35"/>
      <c r="J832" s="35">
        <f>IF(Source!BC258&lt;&gt; 0, Source!BC258, 1)</f>
        <v>7.13</v>
      </c>
      <c r="K832" s="34">
        <f>Source!O258</f>
        <v>385.45</v>
      </c>
      <c r="L832" s="36"/>
      <c r="S832">
        <f>ROUND((Source!FX258/100)*((ROUND(Source!AF258*Source!I258, 2)+ROUND(Source!AE258*Source!I258, 2))), 2)</f>
        <v>0</v>
      </c>
      <c r="T832">
        <f>Source!X258</f>
        <v>0</v>
      </c>
      <c r="U832">
        <f>ROUND((Source!FY258/100)*((ROUND(Source!AF258*Source!I258, 2)+ROUND(Source!AE258*Source!I258, 2))), 2)</f>
        <v>0</v>
      </c>
      <c r="V832">
        <f>Source!Y258</f>
        <v>0</v>
      </c>
      <c r="W832">
        <f>IF(Source!BI258&lt;=1,H832, 0)</f>
        <v>54.06</v>
      </c>
      <c r="X832">
        <f>IF(Source!BI258=2,H832, 0)</f>
        <v>0</v>
      </c>
      <c r="Y832">
        <f>IF(Source!BI258=3,H832, 0)</f>
        <v>0</v>
      </c>
      <c r="Z832">
        <f>IF(Source!BI258=4,H832, 0)</f>
        <v>0</v>
      </c>
    </row>
    <row r="833" spans="1:26" ht="14.25" x14ac:dyDescent="0.2">
      <c r="A833" s="51" t="str">
        <f>Source!E259</f>
        <v>82,3</v>
      </c>
      <c r="B833" s="52" t="str">
        <f>Source!F259</f>
        <v>23.7.01.07</v>
      </c>
      <c r="C833" s="52" t="str">
        <f>Source!G259</f>
        <v>Трубопроводы с гильзами</v>
      </c>
      <c r="D833" s="39" t="str">
        <f>Source!H259</f>
        <v>м</v>
      </c>
      <c r="E833" s="40">
        <f>Source!I259</f>
        <v>33.5</v>
      </c>
      <c r="F833" s="41">
        <f>Source!AL259+Source!AM259+Source!AO259</f>
        <v>0</v>
      </c>
      <c r="G833" s="46" t="s">
        <v>6</v>
      </c>
      <c r="H833" s="41">
        <f>ROUND(Source!AC259*Source!I259, 2)+ROUND(Source!AD259*Source!I259, 2)+ROUND(Source!AF259*Source!I259, 2)</f>
        <v>0</v>
      </c>
      <c r="I833" s="42"/>
      <c r="J833" s="42">
        <f>IF(Source!BC259&lt;&gt; 0, Source!BC259, 1)</f>
        <v>7.13</v>
      </c>
      <c r="K833" s="41">
        <f>Source!O259</f>
        <v>0</v>
      </c>
      <c r="L833" s="47"/>
      <c r="S833">
        <f>ROUND((Source!FX259/100)*((ROUND(Source!AF259*Source!I259, 2)+ROUND(Source!AE259*Source!I259, 2))), 2)</f>
        <v>0</v>
      </c>
      <c r="T833">
        <f>Source!X259</f>
        <v>0</v>
      </c>
      <c r="U833">
        <f>ROUND((Source!FY259/100)*((ROUND(Source!AF259*Source!I259, 2)+ROUND(Source!AE259*Source!I259, 2))), 2)</f>
        <v>0</v>
      </c>
      <c r="V833">
        <f>Source!Y259</f>
        <v>0</v>
      </c>
      <c r="W833">
        <f>IF(Source!BI259&lt;=1,H833, 0)</f>
        <v>0</v>
      </c>
      <c r="X833">
        <f>IF(Source!BI259=2,H833, 0)</f>
        <v>0</v>
      </c>
      <c r="Y833">
        <f>IF(Source!BI259=3,H833, 0)</f>
        <v>0</v>
      </c>
      <c r="Z833">
        <f>IF(Source!BI259=4,H833, 0)</f>
        <v>0</v>
      </c>
    </row>
    <row r="834" spans="1:26" ht="15" x14ac:dyDescent="0.25">
      <c r="G834" s="87">
        <f>H824+H825+H827+H828+H829+SUM(H831:H833)</f>
        <v>1280.3499999999999</v>
      </c>
      <c r="H834" s="87"/>
      <c r="J834" s="87">
        <f>K824+K825+K827+K828+K829+SUM(K831:K833)</f>
        <v>9131.16</v>
      </c>
      <c r="K834" s="87"/>
      <c r="L834" s="44">
        <f>Source!U256</f>
        <v>12.701692499999998</v>
      </c>
      <c r="O834" s="27">
        <f>G834</f>
        <v>1280.3499999999999</v>
      </c>
      <c r="P834" s="27">
        <f>J834</f>
        <v>9131.16</v>
      </c>
      <c r="Q834" s="27">
        <f>L834</f>
        <v>12.701692499999998</v>
      </c>
      <c r="W834">
        <f>IF(Source!BI256&lt;=1,H824+H825+H827+H828+H829, 0)</f>
        <v>379.40999999999997</v>
      </c>
      <c r="X834">
        <f>IF(Source!BI256=2,H824+H825+H827+H828+H829, 0)</f>
        <v>0</v>
      </c>
      <c r="Y834">
        <f>IF(Source!BI256=3,H824+H825+H827+H828+H829, 0)</f>
        <v>0</v>
      </c>
      <c r="Z834">
        <f>IF(Source!BI256=4,H824+H825+H827+H828+H829, 0)</f>
        <v>0</v>
      </c>
    </row>
    <row r="835" spans="1:26" ht="14.25" x14ac:dyDescent="0.2">
      <c r="A835" s="49" t="str">
        <f>Source!E260</f>
        <v>83</v>
      </c>
      <c r="B835" s="50" t="str">
        <f>Source!F260</f>
        <v>65-33-1</v>
      </c>
      <c r="C835" s="50" t="str">
        <f>Source!G260</f>
        <v>Смена жалюзийных решеток</v>
      </c>
      <c r="D835" s="33" t="str">
        <f>Source!H260</f>
        <v>100 ШТ</v>
      </c>
      <c r="E835" s="11">
        <f>Source!I260</f>
        <v>0.14000000000000001</v>
      </c>
      <c r="F835" s="34">
        <f>Source!AL260+Source!AM260+Source!AO260</f>
        <v>430.86</v>
      </c>
      <c r="G835" s="35"/>
      <c r="H835" s="34"/>
      <c r="I835" s="35" t="str">
        <f>Source!BO260</f>
        <v/>
      </c>
      <c r="J835" s="35"/>
      <c r="K835" s="34"/>
      <c r="L835" s="36"/>
      <c r="S835">
        <f>ROUND((Source!FX260/100)*((ROUND(Source!AF260*Source!I260, 2)+ROUND(Source!AE260*Source!I260, 2))), 2)</f>
        <v>56.84</v>
      </c>
      <c r="T835">
        <f>Source!X260</f>
        <v>405.23</v>
      </c>
      <c r="U835">
        <f>ROUND((Source!FY260/100)*((ROUND(Source!AF260*Source!I260, 2)+ROUND(Source!AE260*Source!I260, 2))), 2)</f>
        <v>33.11</v>
      </c>
      <c r="V835">
        <f>Source!Y260</f>
        <v>236.06</v>
      </c>
    </row>
    <row r="836" spans="1:26" x14ac:dyDescent="0.2">
      <c r="C836" s="26" t="str">
        <f>"Объем: "&amp;Source!I260&amp;"=14/"&amp;"100"</f>
        <v>Объем: 0,14=14/100</v>
      </c>
    </row>
    <row r="837" spans="1:26" ht="14.25" x14ac:dyDescent="0.2">
      <c r="A837" s="49"/>
      <c r="B837" s="50"/>
      <c r="C837" s="50" t="s">
        <v>1783</v>
      </c>
      <c r="D837" s="33"/>
      <c r="E837" s="11"/>
      <c r="F837" s="34">
        <f>Source!AO260</f>
        <v>394</v>
      </c>
      <c r="G837" s="35" t="str">
        <f>Source!DG260</f>
        <v/>
      </c>
      <c r="H837" s="34">
        <f>ROUND(Source!AF260*Source!I260, 2)</f>
        <v>55.16</v>
      </c>
      <c r="I837" s="35"/>
      <c r="J837" s="35">
        <f>IF(Source!BA260&lt;&gt; 0, Source!BA260, 1)</f>
        <v>7.13</v>
      </c>
      <c r="K837" s="34">
        <f>Source!S260</f>
        <v>393.29</v>
      </c>
      <c r="L837" s="36"/>
      <c r="R837">
        <f>H837</f>
        <v>55.16</v>
      </c>
    </row>
    <row r="838" spans="1:26" ht="14.25" x14ac:dyDescent="0.2">
      <c r="A838" s="49"/>
      <c r="B838" s="50"/>
      <c r="C838" s="50" t="s">
        <v>449</v>
      </c>
      <c r="D838" s="33"/>
      <c r="E838" s="11"/>
      <c r="F838" s="34">
        <f>Source!AM260</f>
        <v>0.31</v>
      </c>
      <c r="G838" s="35" t="str">
        <f>Source!DE260</f>
        <v/>
      </c>
      <c r="H838" s="34">
        <f>ROUND(Source!AD260*Source!I260, 2)</f>
        <v>0.04</v>
      </c>
      <c r="I838" s="35"/>
      <c r="J838" s="35">
        <f>IF(Source!BB260&lt;&gt; 0, Source!BB260, 1)</f>
        <v>7.13</v>
      </c>
      <c r="K838" s="34">
        <f>Source!Q260</f>
        <v>0.31</v>
      </c>
      <c r="L838" s="36"/>
    </row>
    <row r="839" spans="1:26" ht="14.25" x14ac:dyDescent="0.2">
      <c r="A839" s="49"/>
      <c r="B839" s="50"/>
      <c r="C839" s="50" t="s">
        <v>1784</v>
      </c>
      <c r="D839" s="33"/>
      <c r="E839" s="11"/>
      <c r="F839" s="34">
        <f>Source!AN260</f>
        <v>0.14000000000000001</v>
      </c>
      <c r="G839" s="35" t="str">
        <f>Source!DF260</f>
        <v/>
      </c>
      <c r="H839" s="37">
        <f>ROUND(Source!AE260*Source!I260, 2)</f>
        <v>0.02</v>
      </c>
      <c r="I839" s="35"/>
      <c r="J839" s="35">
        <f>IF(Source!BS260&lt;&gt; 0, Source!BS260, 1)</f>
        <v>7.13</v>
      </c>
      <c r="K839" s="37">
        <f>Source!R260</f>
        <v>0.14000000000000001</v>
      </c>
      <c r="L839" s="36"/>
      <c r="R839">
        <f>H839</f>
        <v>0.02</v>
      </c>
    </row>
    <row r="840" spans="1:26" ht="14.25" x14ac:dyDescent="0.2">
      <c r="A840" s="49"/>
      <c r="B840" s="50"/>
      <c r="C840" s="50" t="s">
        <v>1790</v>
      </c>
      <c r="D840" s="33"/>
      <c r="E840" s="11"/>
      <c r="F840" s="34">
        <f>Source!AL260</f>
        <v>36.549999999999997</v>
      </c>
      <c r="G840" s="35" t="str">
        <f>Source!DD260</f>
        <v/>
      </c>
      <c r="H840" s="34">
        <f>ROUND(Source!AC260*Source!I260, 2)</f>
        <v>5.12</v>
      </c>
      <c r="I840" s="35"/>
      <c r="J840" s="35">
        <f>IF(Source!BC260&lt;&gt; 0, Source!BC260, 1)</f>
        <v>7.13</v>
      </c>
      <c r="K840" s="34">
        <f>Source!P260</f>
        <v>36.479999999999997</v>
      </c>
      <c r="L840" s="36"/>
    </row>
    <row r="841" spans="1:26" ht="14.25" x14ac:dyDescent="0.2">
      <c r="A841" s="49"/>
      <c r="B841" s="50"/>
      <c r="C841" s="50" t="s">
        <v>1785</v>
      </c>
      <c r="D841" s="33" t="s">
        <v>1786</v>
      </c>
      <c r="E841" s="11">
        <f>Source!BZ260</f>
        <v>103</v>
      </c>
      <c r="F841" s="53"/>
      <c r="G841" s="35"/>
      <c r="H841" s="34">
        <f>SUM(S835:S844)</f>
        <v>56.84</v>
      </c>
      <c r="I841" s="38"/>
      <c r="J841" s="31">
        <f>Source!AT260</f>
        <v>103</v>
      </c>
      <c r="K841" s="34">
        <f>SUM(T835:T844)</f>
        <v>405.23</v>
      </c>
      <c r="L841" s="36"/>
    </row>
    <row r="842" spans="1:26" ht="14.25" x14ac:dyDescent="0.2">
      <c r="A842" s="49"/>
      <c r="B842" s="50"/>
      <c r="C842" s="50" t="s">
        <v>1787</v>
      </c>
      <c r="D842" s="33" t="s">
        <v>1786</v>
      </c>
      <c r="E842" s="11">
        <f>Source!CA260</f>
        <v>60</v>
      </c>
      <c r="F842" s="53"/>
      <c r="G842" s="35"/>
      <c r="H842" s="34">
        <f>SUM(U835:U844)</f>
        <v>33.11</v>
      </c>
      <c r="I842" s="38"/>
      <c r="J842" s="31">
        <f>Source!AU260</f>
        <v>60</v>
      </c>
      <c r="K842" s="34">
        <f>SUM(V835:V844)</f>
        <v>236.06</v>
      </c>
      <c r="L842" s="36"/>
    </row>
    <row r="843" spans="1:26" ht="14.25" x14ac:dyDescent="0.2">
      <c r="A843" s="49"/>
      <c r="B843" s="50"/>
      <c r="C843" s="50" t="s">
        <v>1788</v>
      </c>
      <c r="D843" s="33" t="s">
        <v>1789</v>
      </c>
      <c r="E843" s="11">
        <f>Source!AQ260</f>
        <v>46.19</v>
      </c>
      <c r="F843" s="34"/>
      <c r="G843" s="35" t="str">
        <f>Source!DI260</f>
        <v/>
      </c>
      <c r="H843" s="34"/>
      <c r="I843" s="35"/>
      <c r="J843" s="35"/>
      <c r="K843" s="34"/>
      <c r="L843" s="45">
        <f>Source!U260</f>
        <v>6.4666000000000006</v>
      </c>
    </row>
    <row r="844" spans="1:26" ht="57" x14ac:dyDescent="0.2">
      <c r="A844" s="51" t="str">
        <f>Source!E261</f>
        <v>83,1</v>
      </c>
      <c r="B844" s="52" t="str">
        <f>Source!F261</f>
        <v>19.2.03.02-0177</v>
      </c>
      <c r="C844" s="52" t="str">
        <f>Source!G261</f>
        <v>Решетки жалюзийные регулируемые из алюминиевого профиля с порошковым покрытием марки Р-200, размером 200х200 мм</v>
      </c>
      <c r="D844" s="39" t="str">
        <f>Source!H261</f>
        <v>шт.</v>
      </c>
      <c r="E844" s="40">
        <f>Source!I261</f>
        <v>14</v>
      </c>
      <c r="F844" s="41">
        <f>Source!AL261+Source!AM261+Source!AO261</f>
        <v>60.35</v>
      </c>
      <c r="G844" s="46" t="s">
        <v>6</v>
      </c>
      <c r="H844" s="41">
        <f>ROUND(Source!AC261*Source!I261, 2)+ROUND(Source!AD261*Source!I261, 2)+ROUND(Source!AF261*Source!I261, 2)</f>
        <v>844.9</v>
      </c>
      <c r="I844" s="42"/>
      <c r="J844" s="42">
        <f>IF(Source!BC261&lt;&gt; 0, Source!BC261, 1)</f>
        <v>7.13</v>
      </c>
      <c r="K844" s="41">
        <f>Source!O261</f>
        <v>6024.14</v>
      </c>
      <c r="L844" s="47"/>
      <c r="S844">
        <f>ROUND((Source!FX261/100)*((ROUND(Source!AF261*Source!I261, 2)+ROUND(Source!AE261*Source!I261, 2))), 2)</f>
        <v>0</v>
      </c>
      <c r="T844">
        <f>Source!X261</f>
        <v>0</v>
      </c>
      <c r="U844">
        <f>ROUND((Source!FY261/100)*((ROUND(Source!AF261*Source!I261, 2)+ROUND(Source!AE261*Source!I261, 2))), 2)</f>
        <v>0</v>
      </c>
      <c r="V844">
        <f>Source!Y261</f>
        <v>0</v>
      </c>
      <c r="W844">
        <f>IF(Source!BI261&lt;=1,H844, 0)</f>
        <v>844.9</v>
      </c>
      <c r="X844">
        <f>IF(Source!BI261=2,H844, 0)</f>
        <v>0</v>
      </c>
      <c r="Y844">
        <f>IF(Source!BI261=3,H844, 0)</f>
        <v>0</v>
      </c>
      <c r="Z844">
        <f>IF(Source!BI261=4,H844, 0)</f>
        <v>0</v>
      </c>
    </row>
    <row r="845" spans="1:26" ht="15" x14ac:dyDescent="0.25">
      <c r="G845" s="87">
        <f>H837+H838+H840+H841+H842+SUM(H844:H844)</f>
        <v>995.17</v>
      </c>
      <c r="H845" s="87"/>
      <c r="J845" s="87">
        <f>K837+K838+K840+K841+K842+SUM(K844:K844)</f>
        <v>7095.51</v>
      </c>
      <c r="K845" s="87"/>
      <c r="L845" s="44">
        <f>Source!U260</f>
        <v>6.4666000000000006</v>
      </c>
      <c r="O845" s="27">
        <f>G845</f>
        <v>995.17</v>
      </c>
      <c r="P845" s="27">
        <f>J845</f>
        <v>7095.51</v>
      </c>
      <c r="Q845" s="27">
        <f>L845</f>
        <v>6.4666000000000006</v>
      </c>
      <c r="W845">
        <f>IF(Source!BI260&lt;=1,H837+H838+H840+H841+H842, 0)</f>
        <v>150.26999999999998</v>
      </c>
      <c r="X845">
        <f>IF(Source!BI260=2,H837+H838+H840+H841+H842, 0)</f>
        <v>0</v>
      </c>
      <c r="Y845">
        <f>IF(Source!BI260=3,H837+H838+H840+H841+H842, 0)</f>
        <v>0</v>
      </c>
      <c r="Z845">
        <f>IF(Source!BI260=4,H837+H838+H840+H841+H842, 0)</f>
        <v>0</v>
      </c>
    </row>
    <row r="846" spans="1:26" ht="28.5" x14ac:dyDescent="0.2">
      <c r="A846" s="49" t="str">
        <f>Source!E262</f>
        <v>84</v>
      </c>
      <c r="B846" s="50" t="str">
        <f>Source!F262</f>
        <v>18-03-001-02</v>
      </c>
      <c r="C846" s="50" t="str">
        <f>Source!G262</f>
        <v>Установка радиаторов стальных</v>
      </c>
      <c r="D846" s="33" t="str">
        <f>Source!H262</f>
        <v>100 квт</v>
      </c>
      <c r="E846" s="11">
        <f>Source!I262</f>
        <v>0.28489999999999999</v>
      </c>
      <c r="F846" s="34">
        <f>Source!AL262+Source!AM262+Source!AO262</f>
        <v>1942.27</v>
      </c>
      <c r="G846" s="35"/>
      <c r="H846" s="34"/>
      <c r="I846" s="35" t="str">
        <f>Source!BO262</f>
        <v/>
      </c>
      <c r="J846" s="35"/>
      <c r="K846" s="34"/>
      <c r="L846" s="36"/>
      <c r="S846">
        <f>ROUND((Source!FX262/100)*((ROUND(Source!AF262*Source!I262, 2)+ROUND(Source!AE262*Source!I262, 2))), 2)</f>
        <v>237.99</v>
      </c>
      <c r="T846">
        <f>Source!X262</f>
        <v>1693.94</v>
      </c>
      <c r="U846">
        <f>ROUND((Source!FY262/100)*((ROUND(Source!AF262*Source!I262, 2)+ROUND(Source!AE262*Source!I262, 2))), 2)</f>
        <v>145.75</v>
      </c>
      <c r="V846">
        <f>Source!Y262</f>
        <v>1045.82</v>
      </c>
    </row>
    <row r="847" spans="1:26" x14ac:dyDescent="0.2">
      <c r="C847" s="26" t="str">
        <f>"Объем: "&amp;Source!I262&amp;"=28,49/"&amp;"100"</f>
        <v>Объем: 0,2849=28,49/100</v>
      </c>
    </row>
    <row r="848" spans="1:26" ht="14.25" x14ac:dyDescent="0.2">
      <c r="A848" s="49"/>
      <c r="B848" s="50"/>
      <c r="C848" s="50" t="s">
        <v>1783</v>
      </c>
      <c r="D848" s="33"/>
      <c r="E848" s="11"/>
      <c r="F848" s="34">
        <f>Source!AO262</f>
        <v>588.42999999999995</v>
      </c>
      <c r="G848" s="35" t="str">
        <f>Source!DG262</f>
        <v>)*1,15</v>
      </c>
      <c r="H848" s="34">
        <f>ROUND(Source!AF262*Source!I262, 2)</f>
        <v>192.79</v>
      </c>
      <c r="I848" s="35"/>
      <c r="J848" s="35">
        <f>IF(Source!BA262&lt;&gt; 0, Source!BA262, 1)</f>
        <v>7.13</v>
      </c>
      <c r="K848" s="34">
        <f>Source!S262</f>
        <v>1374.59</v>
      </c>
      <c r="L848" s="36"/>
      <c r="R848">
        <f>H848</f>
        <v>192.79</v>
      </c>
    </row>
    <row r="849" spans="1:26" ht="14.25" x14ac:dyDescent="0.2">
      <c r="A849" s="49"/>
      <c r="B849" s="50"/>
      <c r="C849" s="50" t="s">
        <v>449</v>
      </c>
      <c r="D849" s="33"/>
      <c r="E849" s="11"/>
      <c r="F849" s="34">
        <f>Source!AM262</f>
        <v>192.58</v>
      </c>
      <c r="G849" s="35" t="str">
        <f>Source!DE262</f>
        <v>)*1,25</v>
      </c>
      <c r="H849" s="34">
        <f>ROUND(Source!AD262*Source!I262, 2)</f>
        <v>68.58</v>
      </c>
      <c r="I849" s="35"/>
      <c r="J849" s="35">
        <f>IF(Source!BB262&lt;&gt; 0, Source!BB262, 1)</f>
        <v>7.13</v>
      </c>
      <c r="K849" s="34">
        <f>Source!Q262</f>
        <v>489</v>
      </c>
      <c r="L849" s="36"/>
    </row>
    <row r="850" spans="1:26" ht="14.25" x14ac:dyDescent="0.2">
      <c r="A850" s="49"/>
      <c r="B850" s="50"/>
      <c r="C850" s="50" t="s">
        <v>1784</v>
      </c>
      <c r="D850" s="33"/>
      <c r="E850" s="11"/>
      <c r="F850" s="34">
        <f>Source!AN262</f>
        <v>38.75</v>
      </c>
      <c r="G850" s="35" t="str">
        <f>Source!DF262</f>
        <v>)*1,25</v>
      </c>
      <c r="H850" s="37">
        <f>ROUND(Source!AE262*Source!I262, 2)</f>
        <v>13.8</v>
      </c>
      <c r="I850" s="35"/>
      <c r="J850" s="35">
        <f>IF(Source!BS262&lt;&gt; 0, Source!BS262, 1)</f>
        <v>7.13</v>
      </c>
      <c r="K850" s="37">
        <f>Source!R262</f>
        <v>98.4</v>
      </c>
      <c r="L850" s="36"/>
      <c r="R850">
        <f>H850</f>
        <v>13.8</v>
      </c>
    </row>
    <row r="851" spans="1:26" ht="14.25" x14ac:dyDescent="0.2">
      <c r="A851" s="49"/>
      <c r="B851" s="50"/>
      <c r="C851" s="50" t="s">
        <v>1790</v>
      </c>
      <c r="D851" s="33"/>
      <c r="E851" s="11"/>
      <c r="F851" s="34">
        <f>Source!AL262</f>
        <v>1161.26</v>
      </c>
      <c r="G851" s="35" t="str">
        <f>Source!DD262</f>
        <v/>
      </c>
      <c r="H851" s="34">
        <f>ROUND(Source!AC262*Source!I262, 2)</f>
        <v>330.84</v>
      </c>
      <c r="I851" s="35"/>
      <c r="J851" s="35">
        <f>IF(Source!BC262&lt;&gt; 0, Source!BC262, 1)</f>
        <v>7.13</v>
      </c>
      <c r="K851" s="34">
        <f>Source!P262</f>
        <v>2358.91</v>
      </c>
      <c r="L851" s="36"/>
    </row>
    <row r="852" spans="1:26" ht="14.25" x14ac:dyDescent="0.2">
      <c r="A852" s="49"/>
      <c r="B852" s="50"/>
      <c r="C852" s="50" t="s">
        <v>1785</v>
      </c>
      <c r="D852" s="33" t="s">
        <v>1786</v>
      </c>
      <c r="E852" s="11">
        <f>Source!BZ262</f>
        <v>128</v>
      </c>
      <c r="F852" s="81" t="str">
        <f>CONCATENATE(" )", Source!DL262, Source!FT262, "=", Source!FX262)</f>
        <v xml:space="preserve"> )*0,9=115,2</v>
      </c>
      <c r="G852" s="88"/>
      <c r="H852" s="34">
        <f>SUM(S846:S860)</f>
        <v>237.99</v>
      </c>
      <c r="I852" s="38"/>
      <c r="J852" s="31">
        <f>Source!AT262</f>
        <v>115</v>
      </c>
      <c r="K852" s="34">
        <f>SUM(T846:T860)</f>
        <v>1693.94</v>
      </c>
      <c r="L852" s="36"/>
    </row>
    <row r="853" spans="1:26" ht="14.25" x14ac:dyDescent="0.2">
      <c r="A853" s="49"/>
      <c r="B853" s="50"/>
      <c r="C853" s="50" t="s">
        <v>1787</v>
      </c>
      <c r="D853" s="33" t="s">
        <v>1786</v>
      </c>
      <c r="E853" s="11">
        <f>Source!CA262</f>
        <v>83</v>
      </c>
      <c r="F853" s="81" t="str">
        <f>CONCATENATE(" )", Source!DM262, Source!FU262, "=", Source!FY262)</f>
        <v xml:space="preserve"> )*0,85=70,55</v>
      </c>
      <c r="G853" s="88"/>
      <c r="H853" s="34">
        <f>SUM(U846:U860)</f>
        <v>145.75</v>
      </c>
      <c r="I853" s="38"/>
      <c r="J853" s="31">
        <f>Source!AU262</f>
        <v>71</v>
      </c>
      <c r="K853" s="34">
        <f>SUM(V846:V860)</f>
        <v>1045.82</v>
      </c>
      <c r="L853" s="36"/>
    </row>
    <row r="854" spans="1:26" ht="14.25" x14ac:dyDescent="0.2">
      <c r="A854" s="49"/>
      <c r="B854" s="50"/>
      <c r="C854" s="50" t="s">
        <v>1788</v>
      </c>
      <c r="D854" s="33" t="s">
        <v>1789</v>
      </c>
      <c r="E854" s="11">
        <f>Source!AQ262</f>
        <v>65.599999999999994</v>
      </c>
      <c r="F854" s="34"/>
      <c r="G854" s="35" t="str">
        <f>Source!DI262</f>
        <v>)*1,15</v>
      </c>
      <c r="H854" s="34"/>
      <c r="I854" s="35"/>
      <c r="J854" s="35"/>
      <c r="K854" s="34"/>
      <c r="L854" s="45">
        <f>Source!U262</f>
        <v>21.492855999999993</v>
      </c>
    </row>
    <row r="855" spans="1:26" ht="42.75" x14ac:dyDescent="0.2">
      <c r="A855" s="49" t="str">
        <f>Source!E263</f>
        <v>84,1</v>
      </c>
      <c r="B855" s="50" t="str">
        <f>Source!F263</f>
        <v>18.5.10.05-0008</v>
      </c>
      <c r="C855" s="50" t="str">
        <f>Source!G263</f>
        <v>Радиаторы биметаллические, марка «Rifar-A 500», количество секций 10, мощность 1650 Вт</v>
      </c>
      <c r="D855" s="33" t="str">
        <f>Source!H263</f>
        <v>шт.</v>
      </c>
      <c r="E855" s="11">
        <f>Source!I263</f>
        <v>6</v>
      </c>
      <c r="F855" s="34">
        <f>Source!AL263+Source!AM263+Source!AO263</f>
        <v>1367</v>
      </c>
      <c r="G855" s="48" t="s">
        <v>6</v>
      </c>
      <c r="H855" s="34">
        <f>ROUND(Source!AC263*Source!I263, 2)+ROUND(Source!AD263*Source!I263, 2)+ROUND(Source!AF263*Source!I263, 2)</f>
        <v>8202</v>
      </c>
      <c r="I855" s="35"/>
      <c r="J855" s="35">
        <f>IF(Source!BC263&lt;&gt; 0, Source!BC263, 1)</f>
        <v>7.13</v>
      </c>
      <c r="K855" s="34">
        <f>Source!O263</f>
        <v>58480.26</v>
      </c>
      <c r="L855" s="36"/>
      <c r="S855">
        <f>ROUND((Source!FX263/100)*((ROUND(Source!AF263*Source!I263, 2)+ROUND(Source!AE263*Source!I263, 2))), 2)</f>
        <v>0</v>
      </c>
      <c r="T855">
        <f>Source!X263</f>
        <v>0</v>
      </c>
      <c r="U855">
        <f>ROUND((Source!FY263/100)*((ROUND(Source!AF263*Source!I263, 2)+ROUND(Source!AE263*Source!I263, 2))), 2)</f>
        <v>0</v>
      </c>
      <c r="V855">
        <f>Source!Y263</f>
        <v>0</v>
      </c>
      <c r="W855">
        <f>IF(Source!BI263&lt;=1,H855, 0)</f>
        <v>8202</v>
      </c>
      <c r="X855">
        <f>IF(Source!BI263=2,H855, 0)</f>
        <v>0</v>
      </c>
      <c r="Y855">
        <f>IF(Source!BI263=3,H855, 0)</f>
        <v>0</v>
      </c>
      <c r="Z855">
        <f>IF(Source!BI263=4,H855, 0)</f>
        <v>0</v>
      </c>
    </row>
    <row r="856" spans="1:26" ht="42.75" x14ac:dyDescent="0.2">
      <c r="A856" s="49" t="str">
        <f>Source!E264</f>
        <v>84,2</v>
      </c>
      <c r="B856" s="50" t="str">
        <f>Source!F264</f>
        <v>18.5.10.05-0006</v>
      </c>
      <c r="C856" s="50" t="str">
        <f>Source!G264</f>
        <v>Радиаторы биметаллические, марка «Rifar-A 500», количество секций 8, мощность 1320 Вт</v>
      </c>
      <c r="D856" s="33" t="str">
        <f>Source!H264</f>
        <v>шт.</v>
      </c>
      <c r="E856" s="11">
        <f>Source!I264</f>
        <v>7</v>
      </c>
      <c r="F856" s="34">
        <f>Source!AL264+Source!AM264+Source!AO264</f>
        <v>1093.5999999999999</v>
      </c>
      <c r="G856" s="48" t="s">
        <v>6</v>
      </c>
      <c r="H856" s="34">
        <f>ROUND(Source!AC264*Source!I264, 2)+ROUND(Source!AD264*Source!I264, 2)+ROUND(Source!AF264*Source!I264, 2)</f>
        <v>7655.2</v>
      </c>
      <c r="I856" s="35"/>
      <c r="J856" s="35">
        <f>IF(Source!BC264&lt;&gt; 0, Source!BC264, 1)</f>
        <v>7.13</v>
      </c>
      <c r="K856" s="34">
        <f>Source!O264</f>
        <v>54581.58</v>
      </c>
      <c r="L856" s="36"/>
      <c r="S856">
        <f>ROUND((Source!FX264/100)*((ROUND(Source!AF264*Source!I264, 2)+ROUND(Source!AE264*Source!I264, 2))), 2)</f>
        <v>0</v>
      </c>
      <c r="T856">
        <f>Source!X264</f>
        <v>0</v>
      </c>
      <c r="U856">
        <f>ROUND((Source!FY264/100)*((ROUND(Source!AF264*Source!I264, 2)+ROUND(Source!AE264*Source!I264, 2))), 2)</f>
        <v>0</v>
      </c>
      <c r="V856">
        <f>Source!Y264</f>
        <v>0</v>
      </c>
      <c r="W856">
        <f>IF(Source!BI264&lt;=1,H856, 0)</f>
        <v>7655.2</v>
      </c>
      <c r="X856">
        <f>IF(Source!BI264=2,H856, 0)</f>
        <v>0</v>
      </c>
      <c r="Y856">
        <f>IF(Source!BI264=3,H856, 0)</f>
        <v>0</v>
      </c>
      <c r="Z856">
        <f>IF(Source!BI264=4,H856, 0)</f>
        <v>0</v>
      </c>
    </row>
    <row r="857" spans="1:26" ht="42.75" x14ac:dyDescent="0.2">
      <c r="A857" s="49" t="str">
        <f>Source!E265</f>
        <v>84,3</v>
      </c>
      <c r="B857" s="50" t="str">
        <f>Source!F265</f>
        <v>18.5.10.05-0002</v>
      </c>
      <c r="C857" s="50" t="str">
        <f>Source!G265</f>
        <v>Радиаторы биметаллические, марка «Rifar-A 300», количество секций 4, мощность 660 Вт</v>
      </c>
      <c r="D857" s="33" t="str">
        <f>Source!H265</f>
        <v>шт.</v>
      </c>
      <c r="E857" s="11">
        <f>Source!I265</f>
        <v>9</v>
      </c>
      <c r="F857" s="34">
        <f>Source!AL265+Source!AM265+Source!AO265</f>
        <v>542.79999999999995</v>
      </c>
      <c r="G857" s="48" t="s">
        <v>6</v>
      </c>
      <c r="H857" s="34">
        <f>ROUND(Source!AC265*Source!I265, 2)+ROUND(Source!AD265*Source!I265, 2)+ROUND(Source!AF265*Source!I265, 2)</f>
        <v>4885.2</v>
      </c>
      <c r="I857" s="35"/>
      <c r="J857" s="35">
        <f>IF(Source!BC265&lt;&gt; 0, Source!BC265, 1)</f>
        <v>7.13</v>
      </c>
      <c r="K857" s="34">
        <f>Source!O265</f>
        <v>34831.480000000003</v>
      </c>
      <c r="L857" s="36"/>
      <c r="S857">
        <f>ROUND((Source!FX265/100)*((ROUND(Source!AF265*Source!I265, 2)+ROUND(Source!AE265*Source!I265, 2))), 2)</f>
        <v>0</v>
      </c>
      <c r="T857">
        <f>Source!X265</f>
        <v>0</v>
      </c>
      <c r="U857">
        <f>ROUND((Source!FY265/100)*((ROUND(Source!AF265*Source!I265, 2)+ROUND(Source!AE265*Source!I265, 2))), 2)</f>
        <v>0</v>
      </c>
      <c r="V857">
        <f>Source!Y265</f>
        <v>0</v>
      </c>
      <c r="W857">
        <f>IF(Source!BI265&lt;=1,H857, 0)</f>
        <v>4885.2</v>
      </c>
      <c r="X857">
        <f>IF(Source!BI265=2,H857, 0)</f>
        <v>0</v>
      </c>
      <c r="Y857">
        <f>IF(Source!BI265=3,H857, 0)</f>
        <v>0</v>
      </c>
      <c r="Z857">
        <f>IF(Source!BI265=4,H857, 0)</f>
        <v>0</v>
      </c>
    </row>
    <row r="858" spans="1:26" ht="14.25" x14ac:dyDescent="0.2">
      <c r="A858" s="49" t="str">
        <f>Source!E266</f>
        <v>84,4</v>
      </c>
      <c r="B858" s="50" t="str">
        <f>Source!F266</f>
        <v>01.7.15.07</v>
      </c>
      <c r="C858" s="50" t="str">
        <f>Source!G266</f>
        <v>Дюбели распорные полиэтиленовые</v>
      </c>
      <c r="D858" s="33" t="str">
        <f>Source!H266</f>
        <v>10 шт.</v>
      </c>
      <c r="E858" s="11">
        <f>Source!I266</f>
        <v>2.5610390000000001</v>
      </c>
      <c r="F858" s="34">
        <f>Source!AL266+Source!AM266+Source!AO266</f>
        <v>0</v>
      </c>
      <c r="G858" s="48" t="s">
        <v>6</v>
      </c>
      <c r="H858" s="34">
        <f>ROUND(Source!AC266*Source!I266, 2)+ROUND(Source!AD266*Source!I266, 2)+ROUND(Source!AF266*Source!I266, 2)</f>
        <v>0</v>
      </c>
      <c r="I858" s="35"/>
      <c r="J858" s="35">
        <f>IF(Source!BC266&lt;&gt; 0, Source!BC266, 1)</f>
        <v>7.13</v>
      </c>
      <c r="K858" s="34">
        <f>Source!O266</f>
        <v>0</v>
      </c>
      <c r="L858" s="36"/>
      <c r="S858">
        <f>ROUND((Source!FX266/100)*((ROUND(Source!AF266*Source!I266, 2)+ROUND(Source!AE266*Source!I266, 2))), 2)</f>
        <v>0</v>
      </c>
      <c r="T858">
        <f>Source!X266</f>
        <v>0</v>
      </c>
      <c r="U858">
        <f>ROUND((Source!FY266/100)*((ROUND(Source!AF266*Source!I266, 2)+ROUND(Source!AE266*Source!I266, 2))), 2)</f>
        <v>0</v>
      </c>
      <c r="V858">
        <f>Source!Y266</f>
        <v>0</v>
      </c>
      <c r="W858">
        <f>IF(Source!BI266&lt;=1,H858, 0)</f>
        <v>0</v>
      </c>
      <c r="X858">
        <f>IF(Source!BI266=2,H858, 0)</f>
        <v>0</v>
      </c>
      <c r="Y858">
        <f>IF(Source!BI266=3,H858, 0)</f>
        <v>0</v>
      </c>
      <c r="Z858">
        <f>IF(Source!BI266=4,H858, 0)</f>
        <v>0</v>
      </c>
    </row>
    <row r="859" spans="1:26" ht="28.5" x14ac:dyDescent="0.2">
      <c r="A859" s="49" t="str">
        <f>Source!E267</f>
        <v>84,5</v>
      </c>
      <c r="B859" s="50" t="str">
        <f>Source!F267</f>
        <v>01.7.15.07-0008</v>
      </c>
      <c r="C859" s="50" t="str">
        <f>Source!G267</f>
        <v>Дюбели пластмассовые с шурупами 8х40 мм</v>
      </c>
      <c r="D859" s="33" t="str">
        <f>Source!H267</f>
        <v>100 шт.</v>
      </c>
      <c r="E859" s="11">
        <f>Source!I267</f>
        <v>0.256104</v>
      </c>
      <c r="F859" s="34">
        <f>Source!AL267+Source!AM267+Source!AO267</f>
        <v>26.2</v>
      </c>
      <c r="G859" s="48" t="s">
        <v>6</v>
      </c>
      <c r="H859" s="34">
        <f>ROUND(Source!AC267*Source!I267, 2)+ROUND(Source!AD267*Source!I267, 2)+ROUND(Source!AF267*Source!I267, 2)</f>
        <v>6.71</v>
      </c>
      <c r="I859" s="35"/>
      <c r="J859" s="35">
        <f>IF(Source!BC267&lt;&gt; 0, Source!BC267, 1)</f>
        <v>7.13</v>
      </c>
      <c r="K859" s="34">
        <f>Source!O267</f>
        <v>47.84</v>
      </c>
      <c r="L859" s="36"/>
      <c r="S859">
        <f>ROUND((Source!FX267/100)*((ROUND(Source!AF267*Source!I267, 2)+ROUND(Source!AE267*Source!I267, 2))), 2)</f>
        <v>0</v>
      </c>
      <c r="T859">
        <f>Source!X267</f>
        <v>0</v>
      </c>
      <c r="U859">
        <f>ROUND((Source!FY267/100)*((ROUND(Source!AF267*Source!I267, 2)+ROUND(Source!AE267*Source!I267, 2))), 2)</f>
        <v>0</v>
      </c>
      <c r="V859">
        <f>Source!Y267</f>
        <v>0</v>
      </c>
      <c r="W859">
        <f>IF(Source!BI267&lt;=1,H859, 0)</f>
        <v>6.71</v>
      </c>
      <c r="X859">
        <f>IF(Source!BI267=2,H859, 0)</f>
        <v>0</v>
      </c>
      <c r="Y859">
        <f>IF(Source!BI267=3,H859, 0)</f>
        <v>0</v>
      </c>
      <c r="Z859">
        <f>IF(Source!BI267=4,H859, 0)</f>
        <v>0</v>
      </c>
    </row>
    <row r="860" spans="1:26" ht="14.25" x14ac:dyDescent="0.2">
      <c r="A860" s="51" t="str">
        <f>Source!E268</f>
        <v>84,6</v>
      </c>
      <c r="B860" s="52" t="str">
        <f>Source!F268</f>
        <v>18.5.10.06</v>
      </c>
      <c r="C860" s="52" t="str">
        <f>Source!G268</f>
        <v>Радиаторы</v>
      </c>
      <c r="D860" s="39" t="str">
        <f>Source!H268</f>
        <v>квт</v>
      </c>
      <c r="E860" s="40">
        <f>Source!I268</f>
        <v>28.49</v>
      </c>
      <c r="F860" s="41">
        <f>Source!AL268+Source!AM268+Source!AO268</f>
        <v>0</v>
      </c>
      <c r="G860" s="46" t="s">
        <v>6</v>
      </c>
      <c r="H860" s="41">
        <f>ROUND(Source!AC268*Source!I268, 2)+ROUND(Source!AD268*Source!I268, 2)+ROUND(Source!AF268*Source!I268, 2)</f>
        <v>0</v>
      </c>
      <c r="I860" s="42"/>
      <c r="J860" s="42">
        <f>IF(Source!BC268&lt;&gt; 0, Source!BC268, 1)</f>
        <v>7.13</v>
      </c>
      <c r="K860" s="41">
        <f>Source!O268</f>
        <v>0</v>
      </c>
      <c r="L860" s="47"/>
      <c r="S860">
        <f>ROUND((Source!FX268/100)*((ROUND(Source!AF268*Source!I268, 2)+ROUND(Source!AE268*Source!I268, 2))), 2)</f>
        <v>0</v>
      </c>
      <c r="T860">
        <f>Source!X268</f>
        <v>0</v>
      </c>
      <c r="U860">
        <f>ROUND((Source!FY268/100)*((ROUND(Source!AF268*Source!I268, 2)+ROUND(Source!AE268*Source!I268, 2))), 2)</f>
        <v>0</v>
      </c>
      <c r="V860">
        <f>Source!Y268</f>
        <v>0</v>
      </c>
      <c r="W860">
        <f>IF(Source!BI268&lt;=1,H860, 0)</f>
        <v>0</v>
      </c>
      <c r="X860">
        <f>IF(Source!BI268=2,H860, 0)</f>
        <v>0</v>
      </c>
      <c r="Y860">
        <f>IF(Source!BI268=3,H860, 0)</f>
        <v>0</v>
      </c>
      <c r="Z860">
        <f>IF(Source!BI268=4,H860, 0)</f>
        <v>0</v>
      </c>
    </row>
    <row r="861" spans="1:26" ht="15" x14ac:dyDescent="0.25">
      <c r="G861" s="87">
        <f>H848+H849+H851+H852+H853+SUM(H855:H860)</f>
        <v>21725.06</v>
      </c>
      <c r="H861" s="87"/>
      <c r="J861" s="87">
        <f>K848+K849+K851+K852+K853+SUM(K855:K860)</f>
        <v>154903.42000000001</v>
      </c>
      <c r="K861" s="87"/>
      <c r="L861" s="44">
        <f>Source!U262</f>
        <v>21.492855999999993</v>
      </c>
      <c r="O861" s="27">
        <f>G861</f>
        <v>21725.06</v>
      </c>
      <c r="P861" s="27">
        <f>J861</f>
        <v>154903.42000000001</v>
      </c>
      <c r="Q861" s="27">
        <f>L861</f>
        <v>21.492855999999993</v>
      </c>
      <c r="W861">
        <f>IF(Source!BI262&lt;=1,H848+H849+H851+H852+H853, 0)</f>
        <v>975.95</v>
      </c>
      <c r="X861">
        <f>IF(Source!BI262=2,H848+H849+H851+H852+H853, 0)</f>
        <v>0</v>
      </c>
      <c r="Y861">
        <f>IF(Source!BI262=3,H848+H849+H851+H852+H853, 0)</f>
        <v>0</v>
      </c>
      <c r="Z861">
        <f>IF(Source!BI262=4,H848+H849+H851+H852+H853, 0)</f>
        <v>0</v>
      </c>
    </row>
    <row r="862" spans="1:26" ht="57" x14ac:dyDescent="0.2">
      <c r="A862" s="49" t="str">
        <f>Source!E269</f>
        <v>85</v>
      </c>
      <c r="B862" s="50" t="str">
        <f>Source!F269</f>
        <v>16-05-001-01</v>
      </c>
      <c r="C862" s="50" t="str">
        <f>Source!G269</f>
        <v>Установка вентилей, задвижек, затворов, клапанов , кранов проходных на трубопроводах из стальных труб диаметром до 25 мм</v>
      </c>
      <c r="D862" s="33" t="str">
        <f>Source!H269</f>
        <v>ШТ</v>
      </c>
      <c r="E862" s="11">
        <f>Source!I269</f>
        <v>48</v>
      </c>
      <c r="F862" s="34">
        <f>Source!AL269+Source!AM269+Source!AO269</f>
        <v>42.04</v>
      </c>
      <c r="G862" s="35"/>
      <c r="H862" s="34"/>
      <c r="I862" s="35" t="str">
        <f>Source!BO269</f>
        <v/>
      </c>
      <c r="J862" s="35"/>
      <c r="K862" s="34"/>
      <c r="L862" s="36"/>
      <c r="S862">
        <f>ROUND((Source!FX269/100)*((ROUND(Source!AF269*Source!I269, 2)+ROUND(Source!AE269*Source!I269, 2))), 2)</f>
        <v>855.98</v>
      </c>
      <c r="T862">
        <f>Source!X269</f>
        <v>6092.56</v>
      </c>
      <c r="U862">
        <f>ROUND((Source!FY269/100)*((ROUND(Source!AF269*Source!I269, 2)+ROUND(Source!AE269*Source!I269, 2))), 2)</f>
        <v>524.21</v>
      </c>
      <c r="V862">
        <f>Source!Y269</f>
        <v>3761.49</v>
      </c>
    </row>
    <row r="863" spans="1:26" ht="14.25" x14ac:dyDescent="0.2">
      <c r="A863" s="49"/>
      <c r="B863" s="50"/>
      <c r="C863" s="50" t="s">
        <v>1783</v>
      </c>
      <c r="D863" s="33"/>
      <c r="E863" s="11"/>
      <c r="F863" s="34">
        <f>Source!AO269</f>
        <v>13.33</v>
      </c>
      <c r="G863" s="35" t="str">
        <f>Source!DG269</f>
        <v>)*1,15</v>
      </c>
      <c r="H863" s="34">
        <f>ROUND(Source!AF269*Source!I269, 2)</f>
        <v>735.84</v>
      </c>
      <c r="I863" s="35"/>
      <c r="J863" s="35">
        <f>IF(Source!BA269&lt;&gt; 0, Source!BA269, 1)</f>
        <v>7.13</v>
      </c>
      <c r="K863" s="34">
        <f>Source!S269</f>
        <v>5246.54</v>
      </c>
      <c r="L863" s="36"/>
      <c r="R863">
        <f>H863</f>
        <v>735.84</v>
      </c>
    </row>
    <row r="864" spans="1:26" ht="14.25" x14ac:dyDescent="0.2">
      <c r="A864" s="49"/>
      <c r="B864" s="50"/>
      <c r="C864" s="50" t="s">
        <v>449</v>
      </c>
      <c r="D864" s="33"/>
      <c r="E864" s="11"/>
      <c r="F864" s="34">
        <f>Source!AM269</f>
        <v>3.5</v>
      </c>
      <c r="G864" s="35" t="str">
        <f>Source!DE269</f>
        <v>)*1,25</v>
      </c>
      <c r="H864" s="34">
        <f>ROUND(Source!AD269*Source!I269, 2)</f>
        <v>210.24</v>
      </c>
      <c r="I864" s="35"/>
      <c r="J864" s="35">
        <f>IF(Source!BB269&lt;&gt; 0, Source!BB269, 1)</f>
        <v>7.13</v>
      </c>
      <c r="K864" s="34">
        <f>Source!Q269</f>
        <v>1499.01</v>
      </c>
      <c r="L864" s="36"/>
    </row>
    <row r="865" spans="1:26" ht="14.25" x14ac:dyDescent="0.2">
      <c r="A865" s="49"/>
      <c r="B865" s="50"/>
      <c r="C865" s="50" t="s">
        <v>1784</v>
      </c>
      <c r="D865" s="33"/>
      <c r="E865" s="11"/>
      <c r="F865" s="34">
        <f>Source!AN269</f>
        <v>0.12</v>
      </c>
      <c r="G865" s="35" t="str">
        <f>Source!DF269</f>
        <v>)*1,25</v>
      </c>
      <c r="H865" s="37">
        <f>ROUND(Source!AE269*Source!I269, 2)</f>
        <v>7.2</v>
      </c>
      <c r="I865" s="35"/>
      <c r="J865" s="35">
        <f>IF(Source!BS269&lt;&gt; 0, Source!BS269, 1)</f>
        <v>7.13</v>
      </c>
      <c r="K865" s="37">
        <f>Source!R269</f>
        <v>51.34</v>
      </c>
      <c r="L865" s="36"/>
      <c r="R865">
        <f>H865</f>
        <v>7.2</v>
      </c>
    </row>
    <row r="866" spans="1:26" ht="14.25" x14ac:dyDescent="0.2">
      <c r="A866" s="49"/>
      <c r="B866" s="50"/>
      <c r="C866" s="50" t="s">
        <v>1790</v>
      </c>
      <c r="D866" s="33"/>
      <c r="E866" s="11"/>
      <c r="F866" s="34">
        <f>Source!AL269</f>
        <v>25.21</v>
      </c>
      <c r="G866" s="35" t="str">
        <f>Source!DD269</f>
        <v/>
      </c>
      <c r="H866" s="34">
        <f>ROUND(Source!AC269*Source!I269, 2)</f>
        <v>1210.08</v>
      </c>
      <c r="I866" s="35"/>
      <c r="J866" s="35">
        <f>IF(Source!BC269&lt;&gt; 0, Source!BC269, 1)</f>
        <v>7.13</v>
      </c>
      <c r="K866" s="34">
        <f>Source!P269</f>
        <v>8627.8700000000008</v>
      </c>
      <c r="L866" s="36"/>
    </row>
    <row r="867" spans="1:26" ht="14.25" x14ac:dyDescent="0.2">
      <c r="A867" s="49"/>
      <c r="B867" s="50"/>
      <c r="C867" s="50" t="s">
        <v>1785</v>
      </c>
      <c r="D867" s="33" t="s">
        <v>1786</v>
      </c>
      <c r="E867" s="11">
        <f>Source!BZ269</f>
        <v>128</v>
      </c>
      <c r="F867" s="81" t="str">
        <f>CONCATENATE(" )", Source!DL269, Source!FT269, "=", Source!FX269)</f>
        <v xml:space="preserve"> )*0,9=115,2</v>
      </c>
      <c r="G867" s="88"/>
      <c r="H867" s="34">
        <f>SUM(S862:S872)</f>
        <v>855.98</v>
      </c>
      <c r="I867" s="38"/>
      <c r="J867" s="31">
        <f>Source!AT269</f>
        <v>115</v>
      </c>
      <c r="K867" s="34">
        <f>SUM(T862:T872)</f>
        <v>6092.56</v>
      </c>
      <c r="L867" s="36"/>
    </row>
    <row r="868" spans="1:26" ht="14.25" x14ac:dyDescent="0.2">
      <c r="A868" s="49"/>
      <c r="B868" s="50"/>
      <c r="C868" s="50" t="s">
        <v>1787</v>
      </c>
      <c r="D868" s="33" t="s">
        <v>1786</v>
      </c>
      <c r="E868" s="11">
        <f>Source!CA269</f>
        <v>83</v>
      </c>
      <c r="F868" s="81" t="str">
        <f>CONCATENATE(" )", Source!DM269, Source!FU269, "=", Source!FY269)</f>
        <v xml:space="preserve"> )*0,85=70,55</v>
      </c>
      <c r="G868" s="88"/>
      <c r="H868" s="34">
        <f>SUM(U862:U872)</f>
        <v>524.21</v>
      </c>
      <c r="I868" s="38"/>
      <c r="J868" s="31">
        <f>Source!AU269</f>
        <v>71</v>
      </c>
      <c r="K868" s="34">
        <f>SUM(V862:V872)</f>
        <v>3761.49</v>
      </c>
      <c r="L868" s="36"/>
    </row>
    <row r="869" spans="1:26" ht="14.25" x14ac:dyDescent="0.2">
      <c r="A869" s="49"/>
      <c r="B869" s="50"/>
      <c r="C869" s="50" t="s">
        <v>1788</v>
      </c>
      <c r="D869" s="33" t="s">
        <v>1789</v>
      </c>
      <c r="E869" s="11">
        <f>Source!AQ269</f>
        <v>1.47</v>
      </c>
      <c r="F869" s="34"/>
      <c r="G869" s="35" t="str">
        <f>Source!DI269</f>
        <v>)*1,15</v>
      </c>
      <c r="H869" s="34"/>
      <c r="I869" s="35"/>
      <c r="J869" s="35"/>
      <c r="K869" s="34"/>
      <c r="L869" s="45">
        <f>Source!U269</f>
        <v>81.143999999999991</v>
      </c>
    </row>
    <row r="870" spans="1:26" ht="57" x14ac:dyDescent="0.2">
      <c r="A870" s="49" t="str">
        <f>Source!E270</f>
        <v>85,1</v>
      </c>
      <c r="B870" s="50" t="str">
        <f>Source!F270</f>
        <v>18.1.09.07-0207</v>
      </c>
      <c r="C870" s="50" t="str">
        <f>Source!G270</f>
        <v>Краны шаровые под приварку "Danfoss" JiP-WW с рукояткой, давлением 4,0 МПа (40 кгс/см2), диаметром 20 мм</v>
      </c>
      <c r="D870" s="33" t="str">
        <f>Source!H270</f>
        <v>шт.</v>
      </c>
      <c r="E870" s="11">
        <f>Source!I270</f>
        <v>32</v>
      </c>
      <c r="F870" s="34">
        <f>Source!AL270+Source!AM270+Source!AO270</f>
        <v>350.88</v>
      </c>
      <c r="G870" s="48" t="s">
        <v>6</v>
      </c>
      <c r="H870" s="34">
        <f>ROUND(Source!AC270*Source!I270, 2)+ROUND(Source!AD270*Source!I270, 2)+ROUND(Source!AF270*Source!I270, 2)</f>
        <v>11228.16</v>
      </c>
      <c r="I870" s="35"/>
      <c r="J870" s="35">
        <f>IF(Source!BC270&lt;&gt; 0, Source!BC270, 1)</f>
        <v>7.13</v>
      </c>
      <c r="K870" s="34">
        <f>Source!O270</f>
        <v>80056.78</v>
      </c>
      <c r="L870" s="36"/>
      <c r="S870">
        <f>ROUND((Source!FX270/100)*((ROUND(Source!AF270*Source!I270, 2)+ROUND(Source!AE270*Source!I270, 2))), 2)</f>
        <v>0</v>
      </c>
      <c r="T870">
        <f>Source!X270</f>
        <v>0</v>
      </c>
      <c r="U870">
        <f>ROUND((Source!FY270/100)*((ROUND(Source!AF270*Source!I270, 2)+ROUND(Source!AE270*Source!I270, 2))), 2)</f>
        <v>0</v>
      </c>
      <c r="V870">
        <f>Source!Y270</f>
        <v>0</v>
      </c>
      <c r="W870">
        <f>IF(Source!BI270&lt;=1,H870, 0)</f>
        <v>11228.16</v>
      </c>
      <c r="X870">
        <f>IF(Source!BI270=2,H870, 0)</f>
        <v>0</v>
      </c>
      <c r="Y870">
        <f>IF(Source!BI270=3,H870, 0)</f>
        <v>0</v>
      </c>
      <c r="Z870">
        <f>IF(Source!BI270=4,H870, 0)</f>
        <v>0</v>
      </c>
    </row>
    <row r="871" spans="1:26" ht="57" x14ac:dyDescent="0.2">
      <c r="A871" s="49" t="str">
        <f>Source!E271</f>
        <v>85,2</v>
      </c>
      <c r="B871" s="50" t="str">
        <f>Source!F271</f>
        <v>18.1.10.06-0013</v>
      </c>
      <c r="C871" s="50" t="str">
        <f>Source!G271</f>
        <v>Клапан термостатический из цветных металлов (без головки) для установки на радиатор, давлением 1,0 МПа (10 кгс/см2), диаметром 20 мм марка RA-N</v>
      </c>
      <c r="D871" s="33" t="str">
        <f>Source!H271</f>
        <v>шт.</v>
      </c>
      <c r="E871" s="11">
        <f>Source!I271</f>
        <v>16</v>
      </c>
      <c r="F871" s="34">
        <f>Source!AL271+Source!AM271+Source!AO271</f>
        <v>143.43</v>
      </c>
      <c r="G871" s="48" t="s">
        <v>6</v>
      </c>
      <c r="H871" s="34">
        <f>ROUND(Source!AC271*Source!I271, 2)+ROUND(Source!AD271*Source!I271, 2)+ROUND(Source!AF271*Source!I271, 2)</f>
        <v>2294.88</v>
      </c>
      <c r="I871" s="35"/>
      <c r="J871" s="35">
        <f>IF(Source!BC271&lt;&gt; 0, Source!BC271, 1)</f>
        <v>7.13</v>
      </c>
      <c r="K871" s="34">
        <f>Source!O271</f>
        <v>16362.49</v>
      </c>
      <c r="L871" s="36"/>
      <c r="S871">
        <f>ROUND((Source!FX271/100)*((ROUND(Source!AF271*Source!I271, 2)+ROUND(Source!AE271*Source!I271, 2))), 2)</f>
        <v>0</v>
      </c>
      <c r="T871">
        <f>Source!X271</f>
        <v>0</v>
      </c>
      <c r="U871">
        <f>ROUND((Source!FY271/100)*((ROUND(Source!AF271*Source!I271, 2)+ROUND(Source!AE271*Source!I271, 2))), 2)</f>
        <v>0</v>
      </c>
      <c r="V871">
        <f>Source!Y271</f>
        <v>0</v>
      </c>
      <c r="W871">
        <f>IF(Source!BI271&lt;=1,H871, 0)</f>
        <v>2294.88</v>
      </c>
      <c r="X871">
        <f>IF(Source!BI271=2,H871, 0)</f>
        <v>0</v>
      </c>
      <c r="Y871">
        <f>IF(Source!BI271=3,H871, 0)</f>
        <v>0</v>
      </c>
      <c r="Z871">
        <f>IF(Source!BI271=4,H871, 0)</f>
        <v>0</v>
      </c>
    </row>
    <row r="872" spans="1:26" ht="71.25" x14ac:dyDescent="0.2">
      <c r="A872" s="51" t="str">
        <f>Source!E272</f>
        <v>85,3</v>
      </c>
      <c r="B872" s="52" t="str">
        <f>Source!F272</f>
        <v>18.5.10.08-0002</v>
      </c>
      <c r="C872" s="52" t="str">
        <f>Source!G272</f>
        <v>Головка термостатическая со встроенным датчиком для автоматического регулирования расхода теплоносителя через отопительный прибор , марка RA 2940</v>
      </c>
      <c r="D872" s="39" t="str">
        <f>Source!H272</f>
        <v>шт.</v>
      </c>
      <c r="E872" s="40">
        <f>Source!I272</f>
        <v>16</v>
      </c>
      <c r="F872" s="41">
        <f>Source!AL272+Source!AM272+Source!AO272</f>
        <v>128.94</v>
      </c>
      <c r="G872" s="46" t="s">
        <v>6</v>
      </c>
      <c r="H872" s="41">
        <f>ROUND(Source!AC272*Source!I272, 2)+ROUND(Source!AD272*Source!I272, 2)+ROUND(Source!AF272*Source!I272, 2)</f>
        <v>2063.04</v>
      </c>
      <c r="I872" s="42"/>
      <c r="J872" s="42">
        <f>IF(Source!BC272&lt;&gt; 0, Source!BC272, 1)</f>
        <v>7.13</v>
      </c>
      <c r="K872" s="41">
        <f>Source!O272</f>
        <v>14709.48</v>
      </c>
      <c r="L872" s="47"/>
      <c r="S872">
        <f>ROUND((Source!FX272/100)*((ROUND(Source!AF272*Source!I272, 2)+ROUND(Source!AE272*Source!I272, 2))), 2)</f>
        <v>0</v>
      </c>
      <c r="T872">
        <f>Source!X272</f>
        <v>0</v>
      </c>
      <c r="U872">
        <f>ROUND((Source!FY272/100)*((ROUND(Source!AF272*Source!I272, 2)+ROUND(Source!AE272*Source!I272, 2))), 2)</f>
        <v>0</v>
      </c>
      <c r="V872">
        <f>Source!Y272</f>
        <v>0</v>
      </c>
      <c r="W872">
        <f>IF(Source!BI272&lt;=1,H872, 0)</f>
        <v>2063.04</v>
      </c>
      <c r="X872">
        <f>IF(Source!BI272=2,H872, 0)</f>
        <v>0</v>
      </c>
      <c r="Y872">
        <f>IF(Source!BI272=3,H872, 0)</f>
        <v>0</v>
      </c>
      <c r="Z872">
        <f>IF(Source!BI272=4,H872, 0)</f>
        <v>0</v>
      </c>
    </row>
    <row r="873" spans="1:26" ht="15" x14ac:dyDescent="0.25">
      <c r="G873" s="87">
        <f>H863+H864+H866+H867+H868+SUM(H870:H872)</f>
        <v>19122.43</v>
      </c>
      <c r="H873" s="87"/>
      <c r="J873" s="87">
        <f>K863+K864+K866+K867+K868+SUM(K870:K872)</f>
        <v>136356.22</v>
      </c>
      <c r="K873" s="87"/>
      <c r="L873" s="44">
        <f>Source!U269</f>
        <v>81.143999999999991</v>
      </c>
      <c r="O873" s="27">
        <f>G873</f>
        <v>19122.43</v>
      </c>
      <c r="P873" s="27">
        <f>J873</f>
        <v>136356.22</v>
      </c>
      <c r="Q873" s="27">
        <f>L873</f>
        <v>81.143999999999991</v>
      </c>
      <c r="W873">
        <f>IF(Source!BI269&lt;=1,H863+H864+H866+H867+H868, 0)</f>
        <v>3536.35</v>
      </c>
      <c r="X873">
        <f>IF(Source!BI269=2,H863+H864+H866+H867+H868, 0)</f>
        <v>0</v>
      </c>
      <c r="Y873">
        <f>IF(Source!BI269=3,H863+H864+H866+H867+H868, 0)</f>
        <v>0</v>
      </c>
      <c r="Z873">
        <f>IF(Source!BI269=4,H863+H864+H866+H867+H868, 0)</f>
        <v>0</v>
      </c>
    </row>
    <row r="874" spans="1:26" ht="28.5" x14ac:dyDescent="0.2">
      <c r="A874" s="49" t="str">
        <f>Source!E273</f>
        <v>86</v>
      </c>
      <c r="B874" s="50" t="str">
        <f>Source!F273</f>
        <v>18-06-003-10</v>
      </c>
      <c r="C874" s="50" t="str">
        <f>Source!G273</f>
        <v>Установка воздухоотводчиков</v>
      </c>
      <c r="D874" s="33" t="str">
        <f>Source!H273</f>
        <v>ШТ</v>
      </c>
      <c r="E874" s="11">
        <f>Source!I273</f>
        <v>16</v>
      </c>
      <c r="F874" s="34">
        <f>Source!AL273+Source!AM273+Source!AO273</f>
        <v>31.509999999999998</v>
      </c>
      <c r="G874" s="35"/>
      <c r="H874" s="34"/>
      <c r="I874" s="35" t="str">
        <f>Source!BO273</f>
        <v/>
      </c>
      <c r="J874" s="35"/>
      <c r="K874" s="34"/>
      <c r="L874" s="36"/>
      <c r="S874">
        <f>ROUND((Source!FX273/100)*((ROUND(Source!AF273*Source!I273, 2)+ROUND(Source!AE273*Source!I273, 2))), 2)</f>
        <v>359.61</v>
      </c>
      <c r="T874">
        <f>Source!X273</f>
        <v>2559.56</v>
      </c>
      <c r="U874">
        <f>ROUND((Source!FY273/100)*((ROUND(Source!AF273*Source!I273, 2)+ROUND(Source!AE273*Source!I273, 2))), 2)</f>
        <v>220.23</v>
      </c>
      <c r="V874">
        <f>Source!Y273</f>
        <v>1580.25</v>
      </c>
    </row>
    <row r="875" spans="1:26" ht="14.25" x14ac:dyDescent="0.2">
      <c r="A875" s="49"/>
      <c r="B875" s="50"/>
      <c r="C875" s="50" t="s">
        <v>1783</v>
      </c>
      <c r="D875" s="33"/>
      <c r="E875" s="11"/>
      <c r="F875" s="34">
        <f>Source!AO273</f>
        <v>15.79</v>
      </c>
      <c r="G875" s="35" t="str">
        <f>Source!DG273</f>
        <v>)*1,15</v>
      </c>
      <c r="H875" s="34">
        <f>ROUND(Source!AF273*Source!I273, 2)</f>
        <v>290.56</v>
      </c>
      <c r="I875" s="35"/>
      <c r="J875" s="35">
        <f>IF(Source!BA273&lt;&gt; 0, Source!BA273, 1)</f>
        <v>7.13</v>
      </c>
      <c r="K875" s="34">
        <f>Source!S273</f>
        <v>2071.69</v>
      </c>
      <c r="L875" s="36"/>
      <c r="R875">
        <f>H875</f>
        <v>290.56</v>
      </c>
    </row>
    <row r="876" spans="1:26" ht="14.25" x14ac:dyDescent="0.2">
      <c r="A876" s="49"/>
      <c r="B876" s="50"/>
      <c r="C876" s="50" t="s">
        <v>449</v>
      </c>
      <c r="D876" s="33"/>
      <c r="E876" s="11"/>
      <c r="F876" s="34">
        <f>Source!AM273</f>
        <v>6.84</v>
      </c>
      <c r="G876" s="35" t="str">
        <f>Source!DE273</f>
        <v>)*1,25</v>
      </c>
      <c r="H876" s="34">
        <f>ROUND(Source!AD273*Source!I273, 2)</f>
        <v>136.80000000000001</v>
      </c>
      <c r="I876" s="35"/>
      <c r="J876" s="35">
        <f>IF(Source!BB273&lt;&gt; 0, Source!BB273, 1)</f>
        <v>7.13</v>
      </c>
      <c r="K876" s="34">
        <f>Source!Q273</f>
        <v>975.38</v>
      </c>
      <c r="L876" s="36"/>
    </row>
    <row r="877" spans="1:26" ht="14.25" x14ac:dyDescent="0.2">
      <c r="A877" s="49"/>
      <c r="B877" s="50"/>
      <c r="C877" s="50" t="s">
        <v>1784</v>
      </c>
      <c r="D877" s="33"/>
      <c r="E877" s="11"/>
      <c r="F877" s="34">
        <f>Source!AN273</f>
        <v>1.08</v>
      </c>
      <c r="G877" s="35" t="str">
        <f>Source!DF273</f>
        <v>)*1,25</v>
      </c>
      <c r="H877" s="37">
        <f>ROUND(Source!AE273*Source!I273, 2)</f>
        <v>21.6</v>
      </c>
      <c r="I877" s="35"/>
      <c r="J877" s="35">
        <f>IF(Source!BS273&lt;&gt; 0, Source!BS273, 1)</f>
        <v>7.13</v>
      </c>
      <c r="K877" s="37">
        <f>Source!R273</f>
        <v>154.01</v>
      </c>
      <c r="L877" s="36"/>
      <c r="R877">
        <f>H877</f>
        <v>21.6</v>
      </c>
    </row>
    <row r="878" spans="1:26" ht="14.25" x14ac:dyDescent="0.2">
      <c r="A878" s="49"/>
      <c r="B878" s="50"/>
      <c r="C878" s="50" t="s">
        <v>1790</v>
      </c>
      <c r="D878" s="33"/>
      <c r="E878" s="11"/>
      <c r="F878" s="34">
        <f>Source!AL273</f>
        <v>8.8800000000000008</v>
      </c>
      <c r="G878" s="35" t="str">
        <f>Source!DD273</f>
        <v/>
      </c>
      <c r="H878" s="34">
        <f>ROUND(Source!AC273*Source!I273, 2)</f>
        <v>142.08000000000001</v>
      </c>
      <c r="I878" s="35"/>
      <c r="J878" s="35">
        <f>IF(Source!BC273&lt;&gt; 0, Source!BC273, 1)</f>
        <v>7.13</v>
      </c>
      <c r="K878" s="34">
        <f>Source!P273</f>
        <v>1013.03</v>
      </c>
      <c r="L878" s="36"/>
    </row>
    <row r="879" spans="1:26" ht="14.25" x14ac:dyDescent="0.2">
      <c r="A879" s="49"/>
      <c r="B879" s="50"/>
      <c r="C879" s="50" t="s">
        <v>1785</v>
      </c>
      <c r="D879" s="33" t="s">
        <v>1786</v>
      </c>
      <c r="E879" s="11">
        <f>Source!BZ273</f>
        <v>128</v>
      </c>
      <c r="F879" s="81" t="str">
        <f>CONCATENATE(" )", Source!DL273, Source!FT273, "=", Source!FX273)</f>
        <v xml:space="preserve"> )*0,9=115,2</v>
      </c>
      <c r="G879" s="88"/>
      <c r="H879" s="34">
        <f>SUM(S874:S882)</f>
        <v>359.61</v>
      </c>
      <c r="I879" s="38"/>
      <c r="J879" s="31">
        <f>Source!AT273</f>
        <v>115</v>
      </c>
      <c r="K879" s="34">
        <f>SUM(T874:T882)</f>
        <v>2559.56</v>
      </c>
      <c r="L879" s="36"/>
    </row>
    <row r="880" spans="1:26" ht="14.25" x14ac:dyDescent="0.2">
      <c r="A880" s="49"/>
      <c r="B880" s="50"/>
      <c r="C880" s="50" t="s">
        <v>1787</v>
      </c>
      <c r="D880" s="33" t="s">
        <v>1786</v>
      </c>
      <c r="E880" s="11">
        <f>Source!CA273</f>
        <v>83</v>
      </c>
      <c r="F880" s="81" t="str">
        <f>CONCATENATE(" )", Source!DM273, Source!FU273, "=", Source!FY273)</f>
        <v xml:space="preserve"> )*0,85=70,55</v>
      </c>
      <c r="G880" s="88"/>
      <c r="H880" s="34">
        <f>SUM(U874:U882)</f>
        <v>220.23</v>
      </c>
      <c r="I880" s="38"/>
      <c r="J880" s="31">
        <f>Source!AU273</f>
        <v>71</v>
      </c>
      <c r="K880" s="34">
        <f>SUM(V874:V882)</f>
        <v>1580.25</v>
      </c>
      <c r="L880" s="36"/>
    </row>
    <row r="881" spans="1:26" ht="14.25" x14ac:dyDescent="0.2">
      <c r="A881" s="49"/>
      <c r="B881" s="50"/>
      <c r="C881" s="50" t="s">
        <v>1788</v>
      </c>
      <c r="D881" s="33" t="s">
        <v>1789</v>
      </c>
      <c r="E881" s="11">
        <f>Source!AQ273</f>
        <v>1.66</v>
      </c>
      <c r="F881" s="34"/>
      <c r="G881" s="35" t="str">
        <f>Source!DI273</f>
        <v>)*1,15</v>
      </c>
      <c r="H881" s="34"/>
      <c r="I881" s="35"/>
      <c r="J881" s="35"/>
      <c r="K881" s="34"/>
      <c r="L881" s="45">
        <f>Source!U273</f>
        <v>30.543999999999997</v>
      </c>
    </row>
    <row r="882" spans="1:26" ht="57" x14ac:dyDescent="0.2">
      <c r="A882" s="51" t="str">
        <f>Source!E274</f>
        <v>86,1</v>
      </c>
      <c r="B882" s="52" t="str">
        <f>Source!F274</f>
        <v>19.1.02.01-0011</v>
      </c>
      <c r="C882" s="52" t="str">
        <f>Source!G274</f>
        <v>Воздухоотводчик автоматический с наружным резьбовым присоединением Рр=1,0 МПа, Т max = 120 град С, D = 15 мм</v>
      </c>
      <c r="D882" s="39" t="str">
        <f>Source!H274</f>
        <v>шт.</v>
      </c>
      <c r="E882" s="40">
        <f>Source!I274</f>
        <v>16</v>
      </c>
      <c r="F882" s="41">
        <f>Source!AL274+Source!AM274+Source!AO274</f>
        <v>60.7</v>
      </c>
      <c r="G882" s="46" t="s">
        <v>6</v>
      </c>
      <c r="H882" s="41">
        <f>ROUND(Source!AC274*Source!I274, 2)+ROUND(Source!AD274*Source!I274, 2)+ROUND(Source!AF274*Source!I274, 2)</f>
        <v>971.2</v>
      </c>
      <c r="I882" s="42"/>
      <c r="J882" s="42">
        <f>IF(Source!BC274&lt;&gt; 0, Source!BC274, 1)</f>
        <v>7.13</v>
      </c>
      <c r="K882" s="41">
        <f>Source!O274</f>
        <v>6924.66</v>
      </c>
      <c r="L882" s="47"/>
      <c r="S882">
        <f>ROUND((Source!FX274/100)*((ROUND(Source!AF274*Source!I274, 2)+ROUND(Source!AE274*Source!I274, 2))), 2)</f>
        <v>0</v>
      </c>
      <c r="T882">
        <f>Source!X274</f>
        <v>0</v>
      </c>
      <c r="U882">
        <f>ROUND((Source!FY274/100)*((ROUND(Source!AF274*Source!I274, 2)+ROUND(Source!AE274*Source!I274, 2))), 2)</f>
        <v>0</v>
      </c>
      <c r="V882">
        <f>Source!Y274</f>
        <v>0</v>
      </c>
      <c r="W882">
        <f>IF(Source!BI274&lt;=1,H882, 0)</f>
        <v>971.2</v>
      </c>
      <c r="X882">
        <f>IF(Source!BI274=2,H882, 0)</f>
        <v>0</v>
      </c>
      <c r="Y882">
        <f>IF(Source!BI274=3,H882, 0)</f>
        <v>0</v>
      </c>
      <c r="Z882">
        <f>IF(Source!BI274=4,H882, 0)</f>
        <v>0</v>
      </c>
    </row>
    <row r="883" spans="1:26" ht="15" x14ac:dyDescent="0.25">
      <c r="G883" s="87">
        <f>H875+H876+H878+H879+H880+SUM(H882:H882)</f>
        <v>2120.48</v>
      </c>
      <c r="H883" s="87"/>
      <c r="J883" s="87">
        <f>K875+K876+K878+K879+K880+SUM(K882:K882)</f>
        <v>15124.57</v>
      </c>
      <c r="K883" s="87"/>
      <c r="L883" s="44">
        <f>Source!U273</f>
        <v>30.543999999999997</v>
      </c>
      <c r="O883" s="27">
        <f>G883</f>
        <v>2120.48</v>
      </c>
      <c r="P883" s="27">
        <f>J883</f>
        <v>15124.57</v>
      </c>
      <c r="Q883" s="27">
        <f>L883</f>
        <v>30.543999999999997</v>
      </c>
      <c r="W883">
        <f>IF(Source!BI273&lt;=1,H875+H876+H878+H879+H880, 0)</f>
        <v>1149.28</v>
      </c>
      <c r="X883">
        <f>IF(Source!BI273=2,H875+H876+H878+H879+H880, 0)</f>
        <v>0</v>
      </c>
      <c r="Y883">
        <f>IF(Source!BI273=3,H875+H876+H878+H879+H880, 0)</f>
        <v>0</v>
      </c>
      <c r="Z883">
        <f>IF(Source!BI273=4,H875+H876+H878+H879+H880, 0)</f>
        <v>0</v>
      </c>
    </row>
    <row r="884" spans="1:26" ht="42.75" x14ac:dyDescent="0.2">
      <c r="A884" s="49" t="str">
        <f>Source!E275</f>
        <v>87</v>
      </c>
      <c r="B884" s="50" t="str">
        <f>Source!F275</f>
        <v>16-07-003-03</v>
      </c>
      <c r="C884" s="50" t="str">
        <f>Source!G275</f>
        <v>Врезка в действующие внутренние сети трубопроводов отопления и водоснабжения диаметром 25 мм</v>
      </c>
      <c r="D884" s="33" t="str">
        <f>Source!H275</f>
        <v>ШТ</v>
      </c>
      <c r="E884" s="11">
        <f>Source!I275</f>
        <v>16</v>
      </c>
      <c r="F884" s="34">
        <f>Source!AL275+Source!AM275+Source!AO275</f>
        <v>63.550000000000004</v>
      </c>
      <c r="G884" s="35"/>
      <c r="H884" s="34"/>
      <c r="I884" s="35" t="str">
        <f>Source!BO275</f>
        <v/>
      </c>
      <c r="J884" s="35"/>
      <c r="K884" s="34"/>
      <c r="L884" s="36"/>
      <c r="S884">
        <f>ROUND((Source!FX275/100)*((ROUND(Source!AF275*Source!I275, 2)+ROUND(Source!AE275*Source!I275, 2))), 2)</f>
        <v>940.58</v>
      </c>
      <c r="T884">
        <f>Source!X275</f>
        <v>6694.73</v>
      </c>
      <c r="U884">
        <f>ROUND((Source!FY275/100)*((ROUND(Source!AF275*Source!I275, 2)+ROUND(Source!AE275*Source!I275, 2))), 2)</f>
        <v>576.03</v>
      </c>
      <c r="V884">
        <f>Source!Y275</f>
        <v>4133.2700000000004</v>
      </c>
    </row>
    <row r="885" spans="1:26" ht="14.25" x14ac:dyDescent="0.2">
      <c r="A885" s="49"/>
      <c r="B885" s="50"/>
      <c r="C885" s="50" t="s">
        <v>1783</v>
      </c>
      <c r="D885" s="33"/>
      <c r="E885" s="11"/>
      <c r="F885" s="34">
        <f>Source!AO275</f>
        <v>44.24</v>
      </c>
      <c r="G885" s="35" t="str">
        <f>Source!DG275</f>
        <v>)*1,15</v>
      </c>
      <c r="H885" s="34">
        <f>ROUND(Source!AF275*Source!I275, 2)</f>
        <v>814.08</v>
      </c>
      <c r="I885" s="35"/>
      <c r="J885" s="35">
        <f>IF(Source!BA275&lt;&gt; 0, Source!BA275, 1)</f>
        <v>7.13</v>
      </c>
      <c r="K885" s="34">
        <f>Source!S275</f>
        <v>5804.39</v>
      </c>
      <c r="L885" s="36"/>
      <c r="R885">
        <f>H885</f>
        <v>814.08</v>
      </c>
    </row>
    <row r="886" spans="1:26" ht="14.25" x14ac:dyDescent="0.2">
      <c r="A886" s="49"/>
      <c r="B886" s="50"/>
      <c r="C886" s="50" t="s">
        <v>449</v>
      </c>
      <c r="D886" s="33"/>
      <c r="E886" s="11"/>
      <c r="F886" s="34">
        <f>Source!AM275</f>
        <v>4.7300000000000004</v>
      </c>
      <c r="G886" s="35" t="str">
        <f>Source!DE275</f>
        <v>)*1,25</v>
      </c>
      <c r="H886" s="34">
        <f>ROUND(Source!AD275*Source!I275, 2)</f>
        <v>94.56</v>
      </c>
      <c r="I886" s="35"/>
      <c r="J886" s="35">
        <f>IF(Source!BB275&lt;&gt; 0, Source!BB275, 1)</f>
        <v>7.13</v>
      </c>
      <c r="K886" s="34">
        <f>Source!Q275</f>
        <v>674.21</v>
      </c>
      <c r="L886" s="36"/>
    </row>
    <row r="887" spans="1:26" ht="14.25" x14ac:dyDescent="0.2">
      <c r="A887" s="49"/>
      <c r="B887" s="50"/>
      <c r="C887" s="50" t="s">
        <v>1784</v>
      </c>
      <c r="D887" s="33"/>
      <c r="E887" s="11"/>
      <c r="F887" s="34">
        <f>Source!AN275</f>
        <v>0.12</v>
      </c>
      <c r="G887" s="35" t="str">
        <f>Source!DF275</f>
        <v>)*1,25</v>
      </c>
      <c r="H887" s="37">
        <f>ROUND(Source!AE275*Source!I275, 2)</f>
        <v>2.4</v>
      </c>
      <c r="I887" s="35"/>
      <c r="J887" s="35">
        <f>IF(Source!BS275&lt;&gt; 0, Source!BS275, 1)</f>
        <v>7.13</v>
      </c>
      <c r="K887" s="37">
        <f>Source!R275</f>
        <v>17.11</v>
      </c>
      <c r="L887" s="36"/>
      <c r="R887">
        <f>H887</f>
        <v>2.4</v>
      </c>
    </row>
    <row r="888" spans="1:26" ht="14.25" x14ac:dyDescent="0.2">
      <c r="A888" s="49"/>
      <c r="B888" s="50"/>
      <c r="C888" s="50" t="s">
        <v>1790</v>
      </c>
      <c r="D888" s="33"/>
      <c r="E888" s="11"/>
      <c r="F888" s="34">
        <f>Source!AL275</f>
        <v>14.58</v>
      </c>
      <c r="G888" s="35" t="str">
        <f>Source!DD275</f>
        <v/>
      </c>
      <c r="H888" s="34">
        <f>ROUND(Source!AC275*Source!I275, 2)</f>
        <v>233.28</v>
      </c>
      <c r="I888" s="35"/>
      <c r="J888" s="35">
        <f>IF(Source!BC275&lt;&gt; 0, Source!BC275, 1)</f>
        <v>7.13</v>
      </c>
      <c r="K888" s="34">
        <f>Source!P275</f>
        <v>1663.29</v>
      </c>
      <c r="L888" s="36"/>
    </row>
    <row r="889" spans="1:26" ht="14.25" x14ac:dyDescent="0.2">
      <c r="A889" s="49"/>
      <c r="B889" s="50"/>
      <c r="C889" s="50" t="s">
        <v>1785</v>
      </c>
      <c r="D889" s="33" t="s">
        <v>1786</v>
      </c>
      <c r="E889" s="11">
        <f>Source!BZ275</f>
        <v>128</v>
      </c>
      <c r="F889" s="81" t="str">
        <f>CONCATENATE(" )", Source!DL275, Source!FT275, "=", Source!FX275)</f>
        <v xml:space="preserve"> )*0,9=115,2</v>
      </c>
      <c r="G889" s="88"/>
      <c r="H889" s="34">
        <f>SUM(S884:S891)</f>
        <v>940.58</v>
      </c>
      <c r="I889" s="38"/>
      <c r="J889" s="31">
        <f>Source!AT275</f>
        <v>115</v>
      </c>
      <c r="K889" s="34">
        <f>SUM(T884:T891)</f>
        <v>6694.73</v>
      </c>
      <c r="L889" s="36"/>
    </row>
    <row r="890" spans="1:26" ht="14.25" x14ac:dyDescent="0.2">
      <c r="A890" s="49"/>
      <c r="B890" s="50"/>
      <c r="C890" s="50" t="s">
        <v>1787</v>
      </c>
      <c r="D890" s="33" t="s">
        <v>1786</v>
      </c>
      <c r="E890" s="11">
        <f>Source!CA275</f>
        <v>83</v>
      </c>
      <c r="F890" s="81" t="str">
        <f>CONCATENATE(" )", Source!DM275, Source!FU275, "=", Source!FY275)</f>
        <v xml:space="preserve"> )*0,85=70,55</v>
      </c>
      <c r="G890" s="88"/>
      <c r="H890" s="34">
        <f>SUM(U884:U891)</f>
        <v>576.03</v>
      </c>
      <c r="I890" s="38"/>
      <c r="J890" s="31">
        <f>Source!AU275</f>
        <v>71</v>
      </c>
      <c r="K890" s="34">
        <f>SUM(V884:V891)</f>
        <v>4133.2700000000004</v>
      </c>
      <c r="L890" s="36"/>
    </row>
    <row r="891" spans="1:26" ht="14.25" x14ac:dyDescent="0.2">
      <c r="A891" s="51"/>
      <c r="B891" s="52"/>
      <c r="C891" s="52" t="s">
        <v>1788</v>
      </c>
      <c r="D891" s="39" t="s">
        <v>1789</v>
      </c>
      <c r="E891" s="40">
        <f>Source!AQ275</f>
        <v>4.46</v>
      </c>
      <c r="F891" s="41"/>
      <c r="G891" s="42" t="str">
        <f>Source!DI275</f>
        <v>)*1,15</v>
      </c>
      <c r="H891" s="41"/>
      <c r="I891" s="42"/>
      <c r="J891" s="42"/>
      <c r="K891" s="41"/>
      <c r="L891" s="43">
        <f>Source!U275</f>
        <v>82.063999999999993</v>
      </c>
    </row>
    <row r="892" spans="1:26" ht="15" x14ac:dyDescent="0.25">
      <c r="G892" s="87">
        <f>H885+H886+H888+H889+H890</f>
        <v>2658.5299999999997</v>
      </c>
      <c r="H892" s="87"/>
      <c r="J892" s="87">
        <f>K885+K886+K888+K889+K890</f>
        <v>18969.89</v>
      </c>
      <c r="K892" s="87"/>
      <c r="L892" s="44">
        <f>Source!U275</f>
        <v>82.063999999999993</v>
      </c>
      <c r="O892" s="27">
        <f>G892</f>
        <v>2658.5299999999997</v>
      </c>
      <c r="P892" s="27">
        <f>J892</f>
        <v>18969.89</v>
      </c>
      <c r="Q892" s="27">
        <f>L892</f>
        <v>82.063999999999993</v>
      </c>
      <c r="W892">
        <f>IF(Source!BI275&lt;=1,H885+H886+H888+H889+H890, 0)</f>
        <v>2658.5299999999997</v>
      </c>
      <c r="X892">
        <f>IF(Source!BI275=2,H885+H886+H888+H889+H890, 0)</f>
        <v>0</v>
      </c>
      <c r="Y892">
        <f>IF(Source!BI275=3,H885+H886+H888+H889+H890, 0)</f>
        <v>0</v>
      </c>
      <c r="Z892">
        <f>IF(Source!BI275=4,H885+H886+H888+H889+H890, 0)</f>
        <v>0</v>
      </c>
    </row>
    <row r="893" spans="1:26" ht="57" x14ac:dyDescent="0.2">
      <c r="A893" s="49" t="str">
        <f>Source!E276</f>
        <v>88</v>
      </c>
      <c r="B893" s="50" t="str">
        <f>Source!F276</f>
        <v>16-07-005-01</v>
      </c>
      <c r="C893" s="50" t="str">
        <f>Source!G276</f>
        <v>Гидравлическое испытание трубопроводов систем отопления, водопровода и горячего водоснабжения диаметром до 50 мм</v>
      </c>
      <c r="D893" s="33" t="str">
        <f>Source!H276</f>
        <v>100 м</v>
      </c>
      <c r="E893" s="11">
        <f>Source!I276</f>
        <v>1.004</v>
      </c>
      <c r="F893" s="34">
        <f>Source!AL276+Source!AM276+Source!AO276</f>
        <v>107.12</v>
      </c>
      <c r="G893" s="35"/>
      <c r="H893" s="34"/>
      <c r="I893" s="35" t="str">
        <f>Source!BO276</f>
        <v/>
      </c>
      <c r="J893" s="35"/>
      <c r="K893" s="34"/>
      <c r="L893" s="36"/>
      <c r="S893">
        <f>ROUND((Source!FX276/100)*((ROUND(Source!AF276*Source!I276, 2)+ROUND(Source!AE276*Source!I276, 2))), 2)</f>
        <v>77.58</v>
      </c>
      <c r="T893">
        <f>Source!X276</f>
        <v>552.14</v>
      </c>
      <c r="U893">
        <f>ROUND((Source!FY276/100)*((ROUND(Source!AF276*Source!I276, 2)+ROUND(Source!AE276*Source!I276, 2))), 2)</f>
        <v>47.51</v>
      </c>
      <c r="V893">
        <f>Source!Y276</f>
        <v>340.89</v>
      </c>
    </row>
    <row r="894" spans="1:26" x14ac:dyDescent="0.2">
      <c r="C894" s="26" t="str">
        <f>"Объем: "&amp;Source!I276&amp;"=100,4/"&amp;"100"</f>
        <v>Объем: 1,004=100,4/100</v>
      </c>
    </row>
    <row r="895" spans="1:26" ht="14.25" x14ac:dyDescent="0.2">
      <c r="A895" s="49"/>
      <c r="B895" s="50"/>
      <c r="C895" s="50" t="s">
        <v>1783</v>
      </c>
      <c r="D895" s="33"/>
      <c r="E895" s="11"/>
      <c r="F895" s="34">
        <f>Source!AO276</f>
        <v>58.32</v>
      </c>
      <c r="G895" s="35" t="str">
        <f>Source!DG276</f>
        <v>)*1,15</v>
      </c>
      <c r="H895" s="34">
        <f>ROUND(Source!AF276*Source!I276, 2)</f>
        <v>67.34</v>
      </c>
      <c r="I895" s="35"/>
      <c r="J895" s="35">
        <f>IF(Source!BA276&lt;&gt; 0, Source!BA276, 1)</f>
        <v>7.13</v>
      </c>
      <c r="K895" s="34">
        <f>Source!S276</f>
        <v>480.12</v>
      </c>
      <c r="L895" s="36"/>
      <c r="R895">
        <f>H895</f>
        <v>67.34</v>
      </c>
    </row>
    <row r="896" spans="1:26" ht="14.25" x14ac:dyDescent="0.2">
      <c r="A896" s="49"/>
      <c r="B896" s="50"/>
      <c r="C896" s="50" t="s">
        <v>449</v>
      </c>
      <c r="D896" s="33"/>
      <c r="E896" s="11"/>
      <c r="F896" s="34">
        <f>Source!AM276</f>
        <v>44.51</v>
      </c>
      <c r="G896" s="35" t="str">
        <f>Source!DE276</f>
        <v>)*1,25</v>
      </c>
      <c r="H896" s="34">
        <f>ROUND(Source!AD276*Source!I276, 2)</f>
        <v>55.86</v>
      </c>
      <c r="I896" s="35"/>
      <c r="J896" s="35">
        <f>IF(Source!BB276&lt;&gt; 0, Source!BB276, 1)</f>
        <v>7.13</v>
      </c>
      <c r="K896" s="34">
        <f>Source!Q276</f>
        <v>398.3</v>
      </c>
      <c r="L896" s="36"/>
    </row>
    <row r="897" spans="1:26" ht="14.25" x14ac:dyDescent="0.2">
      <c r="A897" s="49"/>
      <c r="B897" s="50"/>
      <c r="C897" s="50" t="s">
        <v>1790</v>
      </c>
      <c r="D897" s="33"/>
      <c r="E897" s="11"/>
      <c r="F897" s="34">
        <f>Source!AL276</f>
        <v>4.29</v>
      </c>
      <c r="G897" s="35" t="str">
        <f>Source!DD276</f>
        <v/>
      </c>
      <c r="H897" s="34">
        <f>ROUND(Source!AC276*Source!I276, 2)</f>
        <v>4.3099999999999996</v>
      </c>
      <c r="I897" s="35"/>
      <c r="J897" s="35">
        <f>IF(Source!BC276&lt;&gt; 0, Source!BC276, 1)</f>
        <v>7.13</v>
      </c>
      <c r="K897" s="34">
        <f>Source!P276</f>
        <v>30.71</v>
      </c>
      <c r="L897" s="36"/>
    </row>
    <row r="898" spans="1:26" ht="14.25" x14ac:dyDescent="0.2">
      <c r="A898" s="49"/>
      <c r="B898" s="50"/>
      <c r="C898" s="50" t="s">
        <v>1785</v>
      </c>
      <c r="D898" s="33" t="s">
        <v>1786</v>
      </c>
      <c r="E898" s="11">
        <f>Source!BZ276</f>
        <v>128</v>
      </c>
      <c r="F898" s="81" t="str">
        <f>CONCATENATE(" )", Source!DL276, Source!FT276, "=", Source!FX276)</f>
        <v xml:space="preserve"> )*0,9=115,2</v>
      </c>
      <c r="G898" s="88"/>
      <c r="H898" s="34">
        <f>SUM(S893:S900)</f>
        <v>77.58</v>
      </c>
      <c r="I898" s="38"/>
      <c r="J898" s="31">
        <f>Source!AT276</f>
        <v>115</v>
      </c>
      <c r="K898" s="34">
        <f>SUM(T893:T900)</f>
        <v>552.14</v>
      </c>
      <c r="L898" s="36"/>
    </row>
    <row r="899" spans="1:26" ht="14.25" x14ac:dyDescent="0.2">
      <c r="A899" s="49"/>
      <c r="B899" s="50"/>
      <c r="C899" s="50" t="s">
        <v>1787</v>
      </c>
      <c r="D899" s="33" t="s">
        <v>1786</v>
      </c>
      <c r="E899" s="11">
        <f>Source!CA276</f>
        <v>83</v>
      </c>
      <c r="F899" s="81" t="str">
        <f>CONCATENATE(" )", Source!DM276, Source!FU276, "=", Source!FY276)</f>
        <v xml:space="preserve"> )*0,85=70,55</v>
      </c>
      <c r="G899" s="88"/>
      <c r="H899" s="34">
        <f>SUM(U893:U900)</f>
        <v>47.51</v>
      </c>
      <c r="I899" s="38"/>
      <c r="J899" s="31">
        <f>Source!AU276</f>
        <v>71</v>
      </c>
      <c r="K899" s="34">
        <f>SUM(V893:V900)</f>
        <v>340.89</v>
      </c>
      <c r="L899" s="36"/>
    </row>
    <row r="900" spans="1:26" ht="14.25" x14ac:dyDescent="0.2">
      <c r="A900" s="51"/>
      <c r="B900" s="52"/>
      <c r="C900" s="52" t="s">
        <v>1788</v>
      </c>
      <c r="D900" s="39" t="s">
        <v>1789</v>
      </c>
      <c r="E900" s="40">
        <f>Source!AQ276</f>
        <v>5.01</v>
      </c>
      <c r="F900" s="41"/>
      <c r="G900" s="42" t="str">
        <f>Source!DI276</f>
        <v>)*1,15</v>
      </c>
      <c r="H900" s="41"/>
      <c r="I900" s="42"/>
      <c r="J900" s="42"/>
      <c r="K900" s="41"/>
      <c r="L900" s="43">
        <f>Source!U276</f>
        <v>5.7845459999999989</v>
      </c>
    </row>
    <row r="901" spans="1:26" ht="15" x14ac:dyDescent="0.25">
      <c r="G901" s="87">
        <f>H895+H896+H897+H898+H899</f>
        <v>252.6</v>
      </c>
      <c r="H901" s="87"/>
      <c r="J901" s="87">
        <f>K895+K896+K897+K898+K899</f>
        <v>1802.1599999999999</v>
      </c>
      <c r="K901" s="87"/>
      <c r="L901" s="44">
        <f>Source!U276</f>
        <v>5.7845459999999989</v>
      </c>
      <c r="O901" s="27">
        <f>G901</f>
        <v>252.6</v>
      </c>
      <c r="P901" s="27">
        <f>J901</f>
        <v>1802.1599999999999</v>
      </c>
      <c r="Q901" s="27">
        <f>L901</f>
        <v>5.7845459999999989</v>
      </c>
      <c r="W901">
        <f>IF(Source!BI276&lt;=1,H895+H896+H897+H898+H899, 0)</f>
        <v>252.6</v>
      </c>
      <c r="X901">
        <f>IF(Source!BI276=2,H895+H896+H897+H898+H899, 0)</f>
        <v>0</v>
      </c>
      <c r="Y901">
        <f>IF(Source!BI276=3,H895+H896+H897+H898+H899, 0)</f>
        <v>0</v>
      </c>
      <c r="Z901">
        <f>IF(Source!BI276=4,H895+H896+H897+H898+H899, 0)</f>
        <v>0</v>
      </c>
    </row>
    <row r="902" spans="1:26" ht="57" x14ac:dyDescent="0.2">
      <c r="A902" s="49" t="str">
        <f>Source!E277</f>
        <v>89</v>
      </c>
      <c r="B902" s="50" t="str">
        <f>Source!F277</f>
        <v>20-01-001-01</v>
      </c>
      <c r="C902" s="50" t="str">
        <f>Source!G277</f>
        <v>Прокладка воздуховодов из листовой, оцинкованной стали и алюминия класса Н (нормальные) толщиной 0,5 мм, диаметром до 200 мм</v>
      </c>
      <c r="D902" s="33" t="str">
        <f>Source!H277</f>
        <v>100 м2</v>
      </c>
      <c r="E902" s="11">
        <f>Source!I277</f>
        <v>2.12E-2</v>
      </c>
      <c r="F902" s="34">
        <f>Source!AL277+Source!AM277+Source!AO277</f>
        <v>2028.33</v>
      </c>
      <c r="G902" s="35"/>
      <c r="H902" s="34"/>
      <c r="I902" s="35" t="str">
        <f>Source!BO277</f>
        <v/>
      </c>
      <c r="J902" s="35"/>
      <c r="K902" s="34"/>
      <c r="L902" s="36"/>
      <c r="S902">
        <f>ROUND((Source!FX277/100)*((ROUND(Source!AF277*Source!I277, 2)+ROUND(Source!AE277*Source!I277, 2))), 2)</f>
        <v>41.7</v>
      </c>
      <c r="T902">
        <f>Source!X277</f>
        <v>296.77999999999997</v>
      </c>
      <c r="U902">
        <f>ROUND((Source!FY277/100)*((ROUND(Source!AF277*Source!I277, 2)+ROUND(Source!AE277*Source!I277, 2))), 2)</f>
        <v>25.54</v>
      </c>
      <c r="V902">
        <f>Source!Y277</f>
        <v>183.23</v>
      </c>
    </row>
    <row r="903" spans="1:26" x14ac:dyDescent="0.2">
      <c r="C903" s="26" t="str">
        <f>"Объем: "&amp;Source!I277&amp;"=2,12/"&amp;"100"</f>
        <v>Объем: 0,0212=2,12/100</v>
      </c>
    </row>
    <row r="904" spans="1:26" ht="14.25" x14ac:dyDescent="0.2">
      <c r="A904" s="49"/>
      <c r="B904" s="50"/>
      <c r="C904" s="50" t="s">
        <v>1783</v>
      </c>
      <c r="D904" s="33"/>
      <c r="E904" s="11"/>
      <c r="F904" s="34">
        <f>Source!AO277</f>
        <v>1467.1</v>
      </c>
      <c r="G904" s="35" t="str">
        <f>Source!DG277</f>
        <v>)*1,15</v>
      </c>
      <c r="H904" s="34">
        <f>ROUND(Source!AF277*Source!I277, 2)</f>
        <v>35.770000000000003</v>
      </c>
      <c r="I904" s="35"/>
      <c r="J904" s="35">
        <f>IF(Source!BA277&lt;&gt; 0, Source!BA277, 1)</f>
        <v>7.13</v>
      </c>
      <c r="K904" s="34">
        <f>Source!S277</f>
        <v>255.03</v>
      </c>
      <c r="L904" s="36"/>
      <c r="R904">
        <f>H904</f>
        <v>35.770000000000003</v>
      </c>
    </row>
    <row r="905" spans="1:26" ht="14.25" x14ac:dyDescent="0.2">
      <c r="A905" s="49"/>
      <c r="B905" s="50"/>
      <c r="C905" s="50" t="s">
        <v>449</v>
      </c>
      <c r="D905" s="33"/>
      <c r="E905" s="11"/>
      <c r="F905" s="34">
        <f>Source!AM277</f>
        <v>126.58</v>
      </c>
      <c r="G905" s="35" t="str">
        <f>Source!DE277</f>
        <v>)*1,25</v>
      </c>
      <c r="H905" s="34">
        <f>ROUND(Source!AD277*Source!I277, 2)</f>
        <v>3.35</v>
      </c>
      <c r="I905" s="35"/>
      <c r="J905" s="35">
        <f>IF(Source!BB277&lt;&gt; 0, Source!BB277, 1)</f>
        <v>7.13</v>
      </c>
      <c r="K905" s="34">
        <f>Source!Q277</f>
        <v>23.92</v>
      </c>
      <c r="L905" s="36"/>
    </row>
    <row r="906" spans="1:26" ht="14.25" x14ac:dyDescent="0.2">
      <c r="A906" s="49"/>
      <c r="B906" s="50"/>
      <c r="C906" s="50" t="s">
        <v>1784</v>
      </c>
      <c r="D906" s="33"/>
      <c r="E906" s="11"/>
      <c r="F906" s="34">
        <f>Source!AN277</f>
        <v>16.07</v>
      </c>
      <c r="G906" s="35" t="str">
        <f>Source!DF277</f>
        <v>)*1,25</v>
      </c>
      <c r="H906" s="37">
        <f>ROUND(Source!AE277*Source!I277, 2)</f>
        <v>0.43</v>
      </c>
      <c r="I906" s="35"/>
      <c r="J906" s="35">
        <f>IF(Source!BS277&lt;&gt; 0, Source!BS277, 1)</f>
        <v>7.13</v>
      </c>
      <c r="K906" s="37">
        <f>Source!R277</f>
        <v>3.04</v>
      </c>
      <c r="L906" s="36"/>
      <c r="R906">
        <f>H906</f>
        <v>0.43</v>
      </c>
    </row>
    <row r="907" spans="1:26" ht="14.25" x14ac:dyDescent="0.2">
      <c r="A907" s="49"/>
      <c r="B907" s="50"/>
      <c r="C907" s="50" t="s">
        <v>1790</v>
      </c>
      <c r="D907" s="33"/>
      <c r="E907" s="11"/>
      <c r="F907" s="34">
        <f>Source!AL277</f>
        <v>434.65</v>
      </c>
      <c r="G907" s="35" t="str">
        <f>Source!DD277</f>
        <v/>
      </c>
      <c r="H907" s="34">
        <f>ROUND(Source!AC277*Source!I277, 2)</f>
        <v>9.2100000000000009</v>
      </c>
      <c r="I907" s="35"/>
      <c r="J907" s="35">
        <f>IF(Source!BC277&lt;&gt; 0, Source!BC277, 1)</f>
        <v>7.13</v>
      </c>
      <c r="K907" s="34">
        <f>Source!P277</f>
        <v>65.7</v>
      </c>
      <c r="L907" s="36"/>
    </row>
    <row r="908" spans="1:26" ht="14.25" x14ac:dyDescent="0.2">
      <c r="A908" s="49"/>
      <c r="B908" s="50"/>
      <c r="C908" s="50" t="s">
        <v>1785</v>
      </c>
      <c r="D908" s="33" t="s">
        <v>1786</v>
      </c>
      <c r="E908" s="11">
        <f>Source!BZ277</f>
        <v>128</v>
      </c>
      <c r="F908" s="81" t="str">
        <f>CONCATENATE(" )", Source!DL277, Source!FT277, "=", Source!FX277)</f>
        <v xml:space="preserve"> )*0,9=115,2</v>
      </c>
      <c r="G908" s="88"/>
      <c r="H908" s="34">
        <f>SUM(S902:S911)</f>
        <v>41.7</v>
      </c>
      <c r="I908" s="38"/>
      <c r="J908" s="31">
        <f>Source!AT277</f>
        <v>115</v>
      </c>
      <c r="K908" s="34">
        <f>SUM(T902:T911)</f>
        <v>296.77999999999997</v>
      </c>
      <c r="L908" s="36"/>
    </row>
    <row r="909" spans="1:26" ht="14.25" x14ac:dyDescent="0.2">
      <c r="A909" s="49"/>
      <c r="B909" s="50"/>
      <c r="C909" s="50" t="s">
        <v>1787</v>
      </c>
      <c r="D909" s="33" t="s">
        <v>1786</v>
      </c>
      <c r="E909" s="11">
        <f>Source!CA277</f>
        <v>83</v>
      </c>
      <c r="F909" s="81" t="str">
        <f>CONCATENATE(" )", Source!DM277, Source!FU277, "=", Source!FY277)</f>
        <v xml:space="preserve"> )*0,85=70,55</v>
      </c>
      <c r="G909" s="88"/>
      <c r="H909" s="34">
        <f>SUM(U902:U911)</f>
        <v>25.54</v>
      </c>
      <c r="I909" s="38"/>
      <c r="J909" s="31">
        <f>Source!AU277</f>
        <v>71</v>
      </c>
      <c r="K909" s="34">
        <f>SUM(V902:V911)</f>
        <v>183.23</v>
      </c>
      <c r="L909" s="36"/>
    </row>
    <row r="910" spans="1:26" ht="14.25" x14ac:dyDescent="0.2">
      <c r="A910" s="49"/>
      <c r="B910" s="50"/>
      <c r="C910" s="50" t="s">
        <v>1788</v>
      </c>
      <c r="D910" s="33" t="s">
        <v>1789</v>
      </c>
      <c r="E910" s="11">
        <f>Source!AQ277</f>
        <v>167.86</v>
      </c>
      <c r="F910" s="34"/>
      <c r="G910" s="35" t="str">
        <f>Source!DI277</f>
        <v>)*1,15</v>
      </c>
      <c r="H910" s="34"/>
      <c r="I910" s="35"/>
      <c r="J910" s="35"/>
      <c r="K910" s="34"/>
      <c r="L910" s="45">
        <f>Source!U277</f>
        <v>4.0924268000000001</v>
      </c>
    </row>
    <row r="911" spans="1:26" ht="42.75" x14ac:dyDescent="0.2">
      <c r="A911" s="51" t="str">
        <f>Source!E278</f>
        <v>89,1</v>
      </c>
      <c r="B911" s="52" t="str">
        <f>Source!F278</f>
        <v>19.1.01.01-0021</v>
      </c>
      <c r="C911" s="52" t="str">
        <f>Source!G278</f>
        <v>Воздуховоды типа ALUDUCT (POLAR BEAR) неизолированные  диаметром 125 мм</v>
      </c>
      <c r="D911" s="39" t="str">
        <f>Source!H278</f>
        <v>м2</v>
      </c>
      <c r="E911" s="40">
        <f>Source!I278</f>
        <v>2.12</v>
      </c>
      <c r="F911" s="41">
        <f>Source!AL278+Source!AM278+Source!AO278</f>
        <v>66.31</v>
      </c>
      <c r="G911" s="46" t="s">
        <v>6</v>
      </c>
      <c r="H911" s="41">
        <f>ROUND(Source!AC278*Source!I278, 2)+ROUND(Source!AD278*Source!I278, 2)+ROUND(Source!AF278*Source!I278, 2)</f>
        <v>140.58000000000001</v>
      </c>
      <c r="I911" s="42"/>
      <c r="J911" s="42">
        <f>IF(Source!BC278&lt;&gt; 0, Source!BC278, 1)</f>
        <v>7.13</v>
      </c>
      <c r="K911" s="41">
        <f>Source!O278</f>
        <v>1002.32</v>
      </c>
      <c r="L911" s="47"/>
      <c r="S911">
        <f>ROUND((Source!FX278/100)*((ROUND(Source!AF278*Source!I278, 2)+ROUND(Source!AE278*Source!I278, 2))), 2)</f>
        <v>0</v>
      </c>
      <c r="T911">
        <f>Source!X278</f>
        <v>0</v>
      </c>
      <c r="U911">
        <f>ROUND((Source!FY278/100)*((ROUND(Source!AF278*Source!I278, 2)+ROUND(Source!AE278*Source!I278, 2))), 2)</f>
        <v>0</v>
      </c>
      <c r="V911">
        <f>Source!Y278</f>
        <v>0</v>
      </c>
      <c r="W911">
        <f>IF(Source!BI278&lt;=1,H911, 0)</f>
        <v>140.58000000000001</v>
      </c>
      <c r="X911">
        <f>IF(Source!BI278=2,H911, 0)</f>
        <v>0</v>
      </c>
      <c r="Y911">
        <f>IF(Source!BI278=3,H911, 0)</f>
        <v>0</v>
      </c>
      <c r="Z911">
        <f>IF(Source!BI278=4,H911, 0)</f>
        <v>0</v>
      </c>
    </row>
    <row r="912" spans="1:26" ht="15" x14ac:dyDescent="0.25">
      <c r="G912" s="87">
        <f>H904+H905+H907+H908+H909+SUM(H911:H911)</f>
        <v>256.14999999999998</v>
      </c>
      <c r="H912" s="87"/>
      <c r="J912" s="87">
        <f>K904+K905+K907+K908+K909+SUM(K911:K911)</f>
        <v>1826.98</v>
      </c>
      <c r="K912" s="87"/>
      <c r="L912" s="44">
        <f>Source!U277</f>
        <v>4.0924268000000001</v>
      </c>
      <c r="O912" s="27">
        <f>G912</f>
        <v>256.14999999999998</v>
      </c>
      <c r="P912" s="27">
        <f>J912</f>
        <v>1826.98</v>
      </c>
      <c r="Q912" s="27">
        <f>L912</f>
        <v>4.0924268000000001</v>
      </c>
      <c r="W912">
        <f>IF(Source!BI277&lt;=1,H904+H905+H907+H908+H909, 0)</f>
        <v>115.57</v>
      </c>
      <c r="X912">
        <f>IF(Source!BI277=2,H904+H905+H907+H908+H909, 0)</f>
        <v>0</v>
      </c>
      <c r="Y912">
        <f>IF(Source!BI277=3,H904+H905+H907+H908+H909, 0)</f>
        <v>0</v>
      </c>
      <c r="Z912">
        <f>IF(Source!BI277=4,H904+H905+H907+H908+H909, 0)</f>
        <v>0</v>
      </c>
    </row>
    <row r="913" spans="1:26" ht="28.5" x14ac:dyDescent="0.2">
      <c r="A913" s="49" t="str">
        <f>Source!E279</f>
        <v>90</v>
      </c>
      <c r="B913" s="50" t="str">
        <f>Source!F279</f>
        <v>20-02-012-01</v>
      </c>
      <c r="C913" s="50" t="str">
        <f>Source!G279</f>
        <v>Установка дефлекторов диаметром патрубка 280 мм</v>
      </c>
      <c r="D913" s="33" t="str">
        <f>Source!H279</f>
        <v>ШТ</v>
      </c>
      <c r="E913" s="11">
        <f>Source!I279</f>
        <v>6</v>
      </c>
      <c r="F913" s="34">
        <f>Source!AL279+Source!AM279+Source!AO279</f>
        <v>31.880000000000003</v>
      </c>
      <c r="G913" s="35"/>
      <c r="H913" s="34"/>
      <c r="I913" s="35" t="str">
        <f>Source!BO279</f>
        <v/>
      </c>
      <c r="J913" s="35"/>
      <c r="K913" s="34"/>
      <c r="L913" s="36"/>
      <c r="S913">
        <f>ROUND((Source!FX279/100)*((ROUND(Source!AF279*Source!I279, 2)+ROUND(Source!AE279*Source!I279, 2))), 2)</f>
        <v>199.07</v>
      </c>
      <c r="T913">
        <f>Source!X279</f>
        <v>1416.88</v>
      </c>
      <c r="U913">
        <f>ROUND((Source!FY279/100)*((ROUND(Source!AF279*Source!I279, 2)+ROUND(Source!AE279*Source!I279, 2))), 2)</f>
        <v>121.91</v>
      </c>
      <c r="V913">
        <f>Source!Y279</f>
        <v>874.77</v>
      </c>
    </row>
    <row r="914" spans="1:26" ht="14.25" x14ac:dyDescent="0.2">
      <c r="A914" s="49"/>
      <c r="B914" s="50"/>
      <c r="C914" s="50" t="s">
        <v>1783</v>
      </c>
      <c r="D914" s="33"/>
      <c r="E914" s="11"/>
      <c r="F914" s="34">
        <f>Source!AO279</f>
        <v>24.91</v>
      </c>
      <c r="G914" s="35" t="str">
        <f>Source!DG279</f>
        <v>)*1,15</v>
      </c>
      <c r="H914" s="34">
        <f>ROUND(Source!AF279*Source!I279, 2)</f>
        <v>171.9</v>
      </c>
      <c r="I914" s="35"/>
      <c r="J914" s="35">
        <f>IF(Source!BA279&lt;&gt; 0, Source!BA279, 1)</f>
        <v>7.13</v>
      </c>
      <c r="K914" s="34">
        <f>Source!S279</f>
        <v>1225.6500000000001</v>
      </c>
      <c r="L914" s="36"/>
      <c r="R914">
        <f>H914</f>
        <v>171.9</v>
      </c>
    </row>
    <row r="915" spans="1:26" ht="14.25" x14ac:dyDescent="0.2">
      <c r="A915" s="49"/>
      <c r="B915" s="50"/>
      <c r="C915" s="50" t="s">
        <v>449</v>
      </c>
      <c r="D915" s="33"/>
      <c r="E915" s="11"/>
      <c r="F915" s="34">
        <f>Source!AM279</f>
        <v>2.72</v>
      </c>
      <c r="G915" s="35" t="str">
        <f>Source!DE279</f>
        <v>)*1,25</v>
      </c>
      <c r="H915" s="34">
        <f>ROUND(Source!AD279*Source!I279, 2)</f>
        <v>20.399999999999999</v>
      </c>
      <c r="I915" s="35"/>
      <c r="J915" s="35">
        <f>IF(Source!BB279&lt;&gt; 0, Source!BB279, 1)</f>
        <v>7.13</v>
      </c>
      <c r="K915" s="34">
        <f>Source!Q279</f>
        <v>145.44999999999999</v>
      </c>
      <c r="L915" s="36"/>
    </row>
    <row r="916" spans="1:26" ht="14.25" x14ac:dyDescent="0.2">
      <c r="A916" s="49"/>
      <c r="B916" s="50"/>
      <c r="C916" s="50" t="s">
        <v>1784</v>
      </c>
      <c r="D916" s="33"/>
      <c r="E916" s="11"/>
      <c r="F916" s="34">
        <f>Source!AN279</f>
        <v>0.12</v>
      </c>
      <c r="G916" s="35" t="str">
        <f>Source!DF279</f>
        <v>)*1,25</v>
      </c>
      <c r="H916" s="37">
        <f>ROUND(Source!AE279*Source!I279, 2)</f>
        <v>0.9</v>
      </c>
      <c r="I916" s="35"/>
      <c r="J916" s="35">
        <f>IF(Source!BS279&lt;&gt; 0, Source!BS279, 1)</f>
        <v>7.13</v>
      </c>
      <c r="K916" s="37">
        <f>Source!R279</f>
        <v>6.42</v>
      </c>
      <c r="L916" s="36"/>
      <c r="R916">
        <f>H916</f>
        <v>0.9</v>
      </c>
    </row>
    <row r="917" spans="1:26" ht="14.25" x14ac:dyDescent="0.2">
      <c r="A917" s="49"/>
      <c r="B917" s="50"/>
      <c r="C917" s="50" t="s">
        <v>1790</v>
      </c>
      <c r="D917" s="33"/>
      <c r="E917" s="11"/>
      <c r="F917" s="34">
        <f>Source!AL279</f>
        <v>4.25</v>
      </c>
      <c r="G917" s="35" t="str">
        <f>Source!DD279</f>
        <v/>
      </c>
      <c r="H917" s="34">
        <f>ROUND(Source!AC279*Source!I279, 2)</f>
        <v>25.5</v>
      </c>
      <c r="I917" s="35"/>
      <c r="J917" s="35">
        <f>IF(Source!BC279&lt;&gt; 0, Source!BC279, 1)</f>
        <v>7.13</v>
      </c>
      <c r="K917" s="34">
        <f>Source!P279</f>
        <v>181.82</v>
      </c>
      <c r="L917" s="36"/>
    </row>
    <row r="918" spans="1:26" ht="14.25" x14ac:dyDescent="0.2">
      <c r="A918" s="49"/>
      <c r="B918" s="50"/>
      <c r="C918" s="50" t="s">
        <v>1785</v>
      </c>
      <c r="D918" s="33" t="s">
        <v>1786</v>
      </c>
      <c r="E918" s="11">
        <f>Source!BZ279</f>
        <v>128</v>
      </c>
      <c r="F918" s="81" t="str">
        <f>CONCATENATE(" )", Source!DL279, Source!FT279, "=", Source!FX279)</f>
        <v xml:space="preserve"> )*0,9=115,2</v>
      </c>
      <c r="G918" s="88"/>
      <c r="H918" s="34">
        <f>SUM(S913:S921)</f>
        <v>199.07</v>
      </c>
      <c r="I918" s="38"/>
      <c r="J918" s="31">
        <f>Source!AT279</f>
        <v>115</v>
      </c>
      <c r="K918" s="34">
        <f>SUM(T913:T921)</f>
        <v>1416.88</v>
      </c>
      <c r="L918" s="36"/>
    </row>
    <row r="919" spans="1:26" ht="14.25" x14ac:dyDescent="0.2">
      <c r="A919" s="49"/>
      <c r="B919" s="50"/>
      <c r="C919" s="50" t="s">
        <v>1787</v>
      </c>
      <c r="D919" s="33" t="s">
        <v>1786</v>
      </c>
      <c r="E919" s="11">
        <f>Source!CA279</f>
        <v>83</v>
      </c>
      <c r="F919" s="81" t="str">
        <f>CONCATENATE(" )", Source!DM279, Source!FU279, "=", Source!FY279)</f>
        <v xml:space="preserve"> )*0,85=70,55</v>
      </c>
      <c r="G919" s="88"/>
      <c r="H919" s="34">
        <f>SUM(U913:U921)</f>
        <v>121.91</v>
      </c>
      <c r="I919" s="38"/>
      <c r="J919" s="31">
        <f>Source!AU279</f>
        <v>71</v>
      </c>
      <c r="K919" s="34">
        <f>SUM(V913:V921)</f>
        <v>874.77</v>
      </c>
      <c r="L919" s="36"/>
    </row>
    <row r="920" spans="1:26" ht="14.25" x14ac:dyDescent="0.2">
      <c r="A920" s="49"/>
      <c r="B920" s="50"/>
      <c r="C920" s="50" t="s">
        <v>1788</v>
      </c>
      <c r="D920" s="33" t="s">
        <v>1789</v>
      </c>
      <c r="E920" s="11">
        <f>Source!AQ279</f>
        <v>2.92</v>
      </c>
      <c r="F920" s="34"/>
      <c r="G920" s="35" t="str">
        <f>Source!DI279</f>
        <v>)*1,15</v>
      </c>
      <c r="H920" s="34"/>
      <c r="I920" s="35"/>
      <c r="J920" s="35"/>
      <c r="K920" s="34"/>
      <c r="L920" s="45">
        <f>Source!U279</f>
        <v>20.147999999999996</v>
      </c>
    </row>
    <row r="921" spans="1:26" ht="71.25" x14ac:dyDescent="0.2">
      <c r="A921" s="51" t="str">
        <f>Source!E280</f>
        <v>90,1</v>
      </c>
      <c r="B921" s="52" t="str">
        <f>Source!F280</f>
        <v>19.1.04.01-0002</v>
      </c>
      <c r="C921" s="52" t="str">
        <f>Source!G280</f>
        <v>Дефлекторы вытяжные цилиндрические из листовой грунтованной или оцинкованной стали, серия 5.904-51, диаметр патрубка 125 мм</v>
      </c>
      <c r="D921" s="39" t="str">
        <f>Source!H280</f>
        <v>шт.</v>
      </c>
      <c r="E921" s="40">
        <f>Source!I280</f>
        <v>6</v>
      </c>
      <c r="F921" s="41">
        <f>Source!AL280+Source!AM280+Source!AO280</f>
        <v>418.3</v>
      </c>
      <c r="G921" s="46" t="s">
        <v>6</v>
      </c>
      <c r="H921" s="41">
        <f>ROUND(Source!AC280*Source!I280, 2)+ROUND(Source!AD280*Source!I280, 2)+ROUND(Source!AF280*Source!I280, 2)</f>
        <v>2509.8000000000002</v>
      </c>
      <c r="I921" s="42"/>
      <c r="J921" s="42">
        <f>IF(Source!BC280&lt;&gt; 0, Source!BC280, 1)</f>
        <v>7.13</v>
      </c>
      <c r="K921" s="41">
        <f>Source!O280</f>
        <v>17894.87</v>
      </c>
      <c r="L921" s="47"/>
      <c r="S921">
        <f>ROUND((Source!FX280/100)*((ROUND(Source!AF280*Source!I280, 2)+ROUND(Source!AE280*Source!I280, 2))), 2)</f>
        <v>0</v>
      </c>
      <c r="T921">
        <f>Source!X280</f>
        <v>0</v>
      </c>
      <c r="U921">
        <f>ROUND((Source!FY280/100)*((ROUND(Source!AF280*Source!I280, 2)+ROUND(Source!AE280*Source!I280, 2))), 2)</f>
        <v>0</v>
      </c>
      <c r="V921">
        <f>Source!Y280</f>
        <v>0</v>
      </c>
      <c r="W921">
        <f>IF(Source!BI280&lt;=1,H921, 0)</f>
        <v>2509.8000000000002</v>
      </c>
      <c r="X921">
        <f>IF(Source!BI280=2,H921, 0)</f>
        <v>0</v>
      </c>
      <c r="Y921">
        <f>IF(Source!BI280=3,H921, 0)</f>
        <v>0</v>
      </c>
      <c r="Z921">
        <f>IF(Source!BI280=4,H921, 0)</f>
        <v>0</v>
      </c>
    </row>
    <row r="922" spans="1:26" ht="15" x14ac:dyDescent="0.25">
      <c r="G922" s="87">
        <f>H914+H915+H917+H918+H919+SUM(H921:H921)</f>
        <v>3048.58</v>
      </c>
      <c r="H922" s="87"/>
      <c r="J922" s="87">
        <f>K914+K915+K917+K918+K919+SUM(K921:K921)</f>
        <v>21739.439999999999</v>
      </c>
      <c r="K922" s="87"/>
      <c r="L922" s="44">
        <f>Source!U279</f>
        <v>20.147999999999996</v>
      </c>
      <c r="O922" s="27">
        <f>G922</f>
        <v>3048.58</v>
      </c>
      <c r="P922" s="27">
        <f>J922</f>
        <v>21739.439999999999</v>
      </c>
      <c r="Q922" s="27">
        <f>L922</f>
        <v>20.147999999999996</v>
      </c>
      <c r="W922">
        <f>IF(Source!BI279&lt;=1,H914+H915+H917+H918+H919, 0)</f>
        <v>538.78</v>
      </c>
      <c r="X922">
        <f>IF(Source!BI279=2,H914+H915+H917+H918+H919, 0)</f>
        <v>0</v>
      </c>
      <c r="Y922">
        <f>IF(Source!BI279=3,H914+H915+H917+H918+H919, 0)</f>
        <v>0</v>
      </c>
      <c r="Z922">
        <f>IF(Source!BI279=4,H914+H915+H917+H918+H919, 0)</f>
        <v>0</v>
      </c>
    </row>
    <row r="923" spans="1:26" ht="28.5" x14ac:dyDescent="0.2">
      <c r="A923" s="49" t="str">
        <f>Source!E281</f>
        <v>91</v>
      </c>
      <c r="B923" s="50" t="str">
        <f>Source!F281</f>
        <v>20-03-002-03</v>
      </c>
      <c r="C923" s="50" t="str">
        <f>Source!G281</f>
        <v>Установка вентиляторов осевых массой до 0,1 т</v>
      </c>
      <c r="D923" s="33" t="str">
        <f>Source!H281</f>
        <v>ШТ</v>
      </c>
      <c r="E923" s="11">
        <f>Source!I281</f>
        <v>2</v>
      </c>
      <c r="F923" s="34">
        <f>Source!AL281+Source!AM281+Source!AO281</f>
        <v>123.60000000000001</v>
      </c>
      <c r="G923" s="35"/>
      <c r="H923" s="34"/>
      <c r="I923" s="35" t="str">
        <f>Source!BO281</f>
        <v/>
      </c>
      <c r="J923" s="35"/>
      <c r="K923" s="34"/>
      <c r="L923" s="36"/>
      <c r="S923">
        <f>ROUND((Source!FX281/100)*((ROUND(Source!AF281*Source!I281, 2)+ROUND(Source!AE281*Source!I281, 2))), 2)</f>
        <v>270.77</v>
      </c>
      <c r="T923">
        <f>Source!X281</f>
        <v>1927.22</v>
      </c>
      <c r="U923">
        <f>ROUND((Source!FY281/100)*((ROUND(Source!AF281*Source!I281, 2)+ROUND(Source!AE281*Source!I281, 2))), 2)</f>
        <v>165.82</v>
      </c>
      <c r="V923">
        <f>Source!Y281</f>
        <v>1189.8499999999999</v>
      </c>
    </row>
    <row r="924" spans="1:26" ht="14.25" x14ac:dyDescent="0.2">
      <c r="A924" s="49"/>
      <c r="B924" s="50"/>
      <c r="C924" s="50" t="s">
        <v>1783</v>
      </c>
      <c r="D924" s="33"/>
      <c r="E924" s="11"/>
      <c r="F924" s="34">
        <f>Source!AO281</f>
        <v>99.76</v>
      </c>
      <c r="G924" s="35" t="str">
        <f>Source!DG281</f>
        <v>)*1,15</v>
      </c>
      <c r="H924" s="34">
        <f>ROUND(Source!AF281*Source!I281, 2)</f>
        <v>229.44</v>
      </c>
      <c r="I924" s="35"/>
      <c r="J924" s="35">
        <f>IF(Source!BA281&lt;&gt; 0, Source!BA281, 1)</f>
        <v>7.13</v>
      </c>
      <c r="K924" s="34">
        <f>Source!S281</f>
        <v>1635.91</v>
      </c>
      <c r="L924" s="36"/>
      <c r="R924">
        <f>H924</f>
        <v>229.44</v>
      </c>
    </row>
    <row r="925" spans="1:26" ht="14.25" x14ac:dyDescent="0.2">
      <c r="A925" s="49"/>
      <c r="B925" s="50"/>
      <c r="C925" s="50" t="s">
        <v>449</v>
      </c>
      <c r="D925" s="33"/>
      <c r="E925" s="11"/>
      <c r="F925" s="34">
        <f>Source!AM281</f>
        <v>20.8</v>
      </c>
      <c r="G925" s="35" t="str">
        <f>Source!DE281</f>
        <v>)*1,25</v>
      </c>
      <c r="H925" s="34">
        <f>ROUND(Source!AD281*Source!I281, 2)</f>
        <v>52</v>
      </c>
      <c r="I925" s="35"/>
      <c r="J925" s="35">
        <f>IF(Source!BB281&lt;&gt; 0, Source!BB281, 1)</f>
        <v>7.13</v>
      </c>
      <c r="K925" s="34">
        <f>Source!Q281</f>
        <v>370.76</v>
      </c>
      <c r="L925" s="36"/>
    </row>
    <row r="926" spans="1:26" ht="14.25" x14ac:dyDescent="0.2">
      <c r="A926" s="49"/>
      <c r="B926" s="50"/>
      <c r="C926" s="50" t="s">
        <v>1784</v>
      </c>
      <c r="D926" s="33"/>
      <c r="E926" s="11"/>
      <c r="F926" s="34">
        <f>Source!AN281</f>
        <v>2.2400000000000002</v>
      </c>
      <c r="G926" s="35" t="str">
        <f>Source!DF281</f>
        <v>)*1,25</v>
      </c>
      <c r="H926" s="37">
        <f>ROUND(Source!AE281*Source!I281, 2)</f>
        <v>5.6</v>
      </c>
      <c r="I926" s="35"/>
      <c r="J926" s="35">
        <f>IF(Source!BS281&lt;&gt; 0, Source!BS281, 1)</f>
        <v>7.13</v>
      </c>
      <c r="K926" s="37">
        <f>Source!R281</f>
        <v>39.93</v>
      </c>
      <c r="L926" s="36"/>
      <c r="R926">
        <f>H926</f>
        <v>5.6</v>
      </c>
    </row>
    <row r="927" spans="1:26" ht="14.25" x14ac:dyDescent="0.2">
      <c r="A927" s="49"/>
      <c r="B927" s="50"/>
      <c r="C927" s="50" t="s">
        <v>1790</v>
      </c>
      <c r="D927" s="33"/>
      <c r="E927" s="11"/>
      <c r="F927" s="34">
        <f>Source!AL281</f>
        <v>3.04</v>
      </c>
      <c r="G927" s="35" t="str">
        <f>Source!DD281</f>
        <v/>
      </c>
      <c r="H927" s="34">
        <f>ROUND(Source!AC281*Source!I281, 2)</f>
        <v>6.08</v>
      </c>
      <c r="I927" s="35"/>
      <c r="J927" s="35">
        <f>IF(Source!BC281&lt;&gt; 0, Source!BC281, 1)</f>
        <v>7.13</v>
      </c>
      <c r="K927" s="34">
        <f>Source!P281</f>
        <v>43.35</v>
      </c>
      <c r="L927" s="36"/>
    </row>
    <row r="928" spans="1:26" ht="14.25" x14ac:dyDescent="0.2">
      <c r="A928" s="49"/>
      <c r="B928" s="50"/>
      <c r="C928" s="50" t="s">
        <v>1785</v>
      </c>
      <c r="D928" s="33" t="s">
        <v>1786</v>
      </c>
      <c r="E928" s="11">
        <f>Source!BZ281</f>
        <v>128</v>
      </c>
      <c r="F928" s="81" t="str">
        <f>CONCATENATE(" )", Source!DL281, Source!FT281, "=", Source!FX281)</f>
        <v xml:space="preserve"> )*0,9=115,2</v>
      </c>
      <c r="G928" s="88"/>
      <c r="H928" s="34">
        <f>SUM(S923:S931)</f>
        <v>270.77</v>
      </c>
      <c r="I928" s="38"/>
      <c r="J928" s="31">
        <f>Source!AT281</f>
        <v>115</v>
      </c>
      <c r="K928" s="34">
        <f>SUM(T923:T931)</f>
        <v>1927.22</v>
      </c>
      <c r="L928" s="36"/>
    </row>
    <row r="929" spans="1:26" ht="14.25" x14ac:dyDescent="0.2">
      <c r="A929" s="49"/>
      <c r="B929" s="50"/>
      <c r="C929" s="50" t="s">
        <v>1787</v>
      </c>
      <c r="D929" s="33" t="s">
        <v>1786</v>
      </c>
      <c r="E929" s="11">
        <f>Source!CA281</f>
        <v>83</v>
      </c>
      <c r="F929" s="81" t="str">
        <f>CONCATENATE(" )", Source!DM281, Source!FU281, "=", Source!FY281)</f>
        <v xml:space="preserve"> )*0,85=70,55</v>
      </c>
      <c r="G929" s="88"/>
      <c r="H929" s="34">
        <f>SUM(U923:U931)</f>
        <v>165.82</v>
      </c>
      <c r="I929" s="38"/>
      <c r="J929" s="31">
        <f>Source!AU281</f>
        <v>71</v>
      </c>
      <c r="K929" s="34">
        <f>SUM(V923:V931)</f>
        <v>1189.8499999999999</v>
      </c>
      <c r="L929" s="36"/>
    </row>
    <row r="930" spans="1:26" ht="14.25" x14ac:dyDescent="0.2">
      <c r="A930" s="49"/>
      <c r="B930" s="50"/>
      <c r="C930" s="50" t="s">
        <v>1788</v>
      </c>
      <c r="D930" s="33" t="s">
        <v>1789</v>
      </c>
      <c r="E930" s="11">
        <f>Source!AQ281</f>
        <v>10.37</v>
      </c>
      <c r="F930" s="34"/>
      <c r="G930" s="35" t="str">
        <f>Source!DI281</f>
        <v>)*1,15</v>
      </c>
      <c r="H930" s="34"/>
      <c r="I930" s="35"/>
      <c r="J930" s="35"/>
      <c r="K930" s="34"/>
      <c r="L930" s="45">
        <f>Source!U281</f>
        <v>23.850999999999996</v>
      </c>
    </row>
    <row r="931" spans="1:26" ht="57" x14ac:dyDescent="0.2">
      <c r="A931" s="51" t="str">
        <f>Source!E282</f>
        <v>91,1</v>
      </c>
      <c r="B931" s="52" t="str">
        <f>Source!F282</f>
        <v>64.1.02.01-0011</v>
      </c>
      <c r="C931" s="52" t="str">
        <f>Source!G282</f>
        <v>Вентиляторы канальные "Systemair" для круглых воздуховодов KV 125 XL, с консолью М125 и двумя муфтами F125, производительность 352 м3/час</v>
      </c>
      <c r="D931" s="39" t="str">
        <f>Source!H282</f>
        <v>компл.</v>
      </c>
      <c r="E931" s="40">
        <f>Source!I282</f>
        <v>2</v>
      </c>
      <c r="F931" s="41">
        <f>Source!AL282+Source!AM282+Source!AO282</f>
        <v>1514.57</v>
      </c>
      <c r="G931" s="46" t="s">
        <v>6</v>
      </c>
      <c r="H931" s="41">
        <f>ROUND(Source!AC282*Source!I282, 2)+ROUND(Source!AD282*Source!I282, 2)+ROUND(Source!AF282*Source!I282, 2)</f>
        <v>3029.14</v>
      </c>
      <c r="I931" s="42"/>
      <c r="J931" s="42">
        <f>IF(Source!BC282&lt;&gt; 0, Source!BC282, 1)</f>
        <v>7.13</v>
      </c>
      <c r="K931" s="41">
        <f>Source!O282</f>
        <v>21597.77</v>
      </c>
      <c r="L931" s="47"/>
      <c r="S931">
        <f>ROUND((Source!FX282/100)*((ROUND(Source!AF282*Source!I282, 2)+ROUND(Source!AE282*Source!I282, 2))), 2)</f>
        <v>0</v>
      </c>
      <c r="T931">
        <f>Source!X282</f>
        <v>0</v>
      </c>
      <c r="U931">
        <f>ROUND((Source!FY282/100)*((ROUND(Source!AF282*Source!I282, 2)+ROUND(Source!AE282*Source!I282, 2))), 2)</f>
        <v>0</v>
      </c>
      <c r="V931">
        <f>Source!Y282</f>
        <v>0</v>
      </c>
      <c r="W931">
        <f>IF(Source!BI282&lt;=1,H931, 0)</f>
        <v>3029.14</v>
      </c>
      <c r="X931">
        <f>IF(Source!BI282=2,H931, 0)</f>
        <v>0</v>
      </c>
      <c r="Y931">
        <f>IF(Source!BI282=3,H931, 0)</f>
        <v>0</v>
      </c>
      <c r="Z931">
        <f>IF(Source!BI282=4,H931, 0)</f>
        <v>0</v>
      </c>
    </row>
    <row r="932" spans="1:26" ht="15" x14ac:dyDescent="0.25">
      <c r="G932" s="87">
        <f>H924+H925+H927+H928+H929+SUM(H931:H931)</f>
        <v>3753.25</v>
      </c>
      <c r="H932" s="87"/>
      <c r="J932" s="87">
        <f>K924+K925+K927+K928+K929+SUM(K931:K931)</f>
        <v>26764.86</v>
      </c>
      <c r="K932" s="87"/>
      <c r="L932" s="44">
        <f>Source!U281</f>
        <v>23.850999999999996</v>
      </c>
      <c r="O932" s="27">
        <f>G932</f>
        <v>3753.25</v>
      </c>
      <c r="P932" s="27">
        <f>J932</f>
        <v>26764.86</v>
      </c>
      <c r="Q932" s="27">
        <f>L932</f>
        <v>23.850999999999996</v>
      </c>
      <c r="W932">
        <f>IF(Source!BI281&lt;=1,H924+H925+H927+H928+H929, 0)</f>
        <v>724.1099999999999</v>
      </c>
      <c r="X932">
        <f>IF(Source!BI281=2,H924+H925+H927+H928+H929, 0)</f>
        <v>0</v>
      </c>
      <c r="Y932">
        <f>IF(Source!BI281=3,H924+H925+H927+H928+H929, 0)</f>
        <v>0</v>
      </c>
      <c r="Z932">
        <f>IF(Source!BI281=4,H924+H925+H927+H928+H929, 0)</f>
        <v>0</v>
      </c>
    </row>
    <row r="933" spans="1:26" ht="28.5" x14ac:dyDescent="0.2">
      <c r="A933" s="49" t="str">
        <f>Source!E283</f>
        <v>92</v>
      </c>
      <c r="B933" s="50" t="str">
        <f>Source!F283</f>
        <v>м10-08-019-04</v>
      </c>
      <c r="C933" s="50" t="str">
        <f>Source!G283</f>
        <v>Реле времени программное, ТЭ -15</v>
      </c>
      <c r="D933" s="33" t="str">
        <f>Source!H283</f>
        <v>ШТ</v>
      </c>
      <c r="E933" s="11">
        <f>Source!I283</f>
        <v>2</v>
      </c>
      <c r="F933" s="34">
        <f>Source!AL283+Source!AM283+Source!AO283</f>
        <v>6.6499999999999995</v>
      </c>
      <c r="G933" s="35"/>
      <c r="H933" s="34"/>
      <c r="I933" s="35" t="str">
        <f>Source!BO283</f>
        <v/>
      </c>
      <c r="J933" s="35"/>
      <c r="K933" s="34"/>
      <c r="L933" s="36"/>
      <c r="S933">
        <f>ROUND((Source!FX283/100)*((ROUND(Source!AF283*Source!I283, 2)+ROUND(Source!AE283*Source!I283, 2))), 2)</f>
        <v>9.02</v>
      </c>
      <c r="T933">
        <f>Source!X283</f>
        <v>64.34</v>
      </c>
      <c r="U933">
        <f>ROUND((Source!FY283/100)*((ROUND(Source!AF283*Source!I283, 2)+ROUND(Source!AE283*Source!I283, 2))), 2)</f>
        <v>6.77</v>
      </c>
      <c r="V933">
        <f>Source!Y283</f>
        <v>48.26</v>
      </c>
    </row>
    <row r="934" spans="1:26" ht="14.25" x14ac:dyDescent="0.2">
      <c r="A934" s="49"/>
      <c r="B934" s="50"/>
      <c r="C934" s="50" t="s">
        <v>1783</v>
      </c>
      <c r="D934" s="33"/>
      <c r="E934" s="11"/>
      <c r="F934" s="34">
        <f>Source!AO283</f>
        <v>5.64</v>
      </c>
      <c r="G934" s="35" t="str">
        <f>Source!DG283</f>
        <v/>
      </c>
      <c r="H934" s="34">
        <f>ROUND(Source!AF283*Source!I283, 2)</f>
        <v>11.28</v>
      </c>
      <c r="I934" s="35"/>
      <c r="J934" s="35">
        <f>IF(Source!BA283&lt;&gt; 0, Source!BA283, 1)</f>
        <v>7.13</v>
      </c>
      <c r="K934" s="34">
        <f>Source!S283</f>
        <v>80.430000000000007</v>
      </c>
      <c r="L934" s="36"/>
      <c r="R934">
        <f>H934</f>
        <v>11.28</v>
      </c>
    </row>
    <row r="935" spans="1:26" ht="14.25" x14ac:dyDescent="0.2">
      <c r="A935" s="49"/>
      <c r="B935" s="50"/>
      <c r="C935" s="50" t="s">
        <v>1790</v>
      </c>
      <c r="D935" s="33"/>
      <c r="E935" s="11"/>
      <c r="F935" s="34">
        <f>Source!AL283</f>
        <v>1.01</v>
      </c>
      <c r="G935" s="35" t="str">
        <f>Source!DD283</f>
        <v/>
      </c>
      <c r="H935" s="34">
        <f>ROUND(Source!AC283*Source!I283, 2)</f>
        <v>2.02</v>
      </c>
      <c r="I935" s="35"/>
      <c r="J935" s="35">
        <f>IF(Source!BC283&lt;&gt; 0, Source!BC283, 1)</f>
        <v>7.13</v>
      </c>
      <c r="K935" s="34">
        <f>Source!P283</f>
        <v>14.4</v>
      </c>
      <c r="L935" s="36"/>
    </row>
    <row r="936" spans="1:26" ht="14.25" x14ac:dyDescent="0.2">
      <c r="A936" s="49"/>
      <c r="B936" s="50"/>
      <c r="C936" s="50" t="s">
        <v>1785</v>
      </c>
      <c r="D936" s="33" t="s">
        <v>1786</v>
      </c>
      <c r="E936" s="11">
        <f>Source!BZ283</f>
        <v>80</v>
      </c>
      <c r="F936" s="53"/>
      <c r="G936" s="35"/>
      <c r="H936" s="34">
        <f>SUM(S933:S939)</f>
        <v>9.02</v>
      </c>
      <c r="I936" s="38"/>
      <c r="J936" s="31">
        <f>Source!AT283</f>
        <v>80</v>
      </c>
      <c r="K936" s="34">
        <f>SUM(T933:T939)</f>
        <v>64.34</v>
      </c>
      <c r="L936" s="36"/>
    </row>
    <row r="937" spans="1:26" ht="14.25" x14ac:dyDescent="0.2">
      <c r="A937" s="49"/>
      <c r="B937" s="50"/>
      <c r="C937" s="50" t="s">
        <v>1787</v>
      </c>
      <c r="D937" s="33" t="s">
        <v>1786</v>
      </c>
      <c r="E937" s="11">
        <f>Source!CA283</f>
        <v>60</v>
      </c>
      <c r="F937" s="53"/>
      <c r="G937" s="35"/>
      <c r="H937" s="34">
        <f>SUM(U933:U939)</f>
        <v>6.77</v>
      </c>
      <c r="I937" s="38"/>
      <c r="J937" s="31">
        <f>Source!AU283</f>
        <v>60</v>
      </c>
      <c r="K937" s="34">
        <f>SUM(V933:V939)</f>
        <v>48.26</v>
      </c>
      <c r="L937" s="36"/>
    </row>
    <row r="938" spans="1:26" ht="14.25" x14ac:dyDescent="0.2">
      <c r="A938" s="49"/>
      <c r="B938" s="50"/>
      <c r="C938" s="50" t="s">
        <v>1788</v>
      </c>
      <c r="D938" s="33" t="s">
        <v>1789</v>
      </c>
      <c r="E938" s="11">
        <f>Source!AQ283</f>
        <v>0.6</v>
      </c>
      <c r="F938" s="34"/>
      <c r="G938" s="35" t="str">
        <f>Source!DI283</f>
        <v/>
      </c>
      <c r="H938" s="34"/>
      <c r="I938" s="35"/>
      <c r="J938" s="35"/>
      <c r="K938" s="34"/>
      <c r="L938" s="45">
        <f>Source!U283</f>
        <v>1.2</v>
      </c>
    </row>
    <row r="939" spans="1:26" ht="28.5" x14ac:dyDescent="0.2">
      <c r="A939" s="51" t="str">
        <f>Source!E284</f>
        <v>92,1</v>
      </c>
      <c r="B939" s="52" t="str">
        <f>Source!F284</f>
        <v>62.1.04.02-0003</v>
      </c>
      <c r="C939" s="52" t="str">
        <f>Source!G284</f>
        <v>Реле времени ВЛ-56</v>
      </c>
      <c r="D939" s="39" t="str">
        <f>Source!H284</f>
        <v>шт.</v>
      </c>
      <c r="E939" s="40">
        <f>Source!I284</f>
        <v>2</v>
      </c>
      <c r="F939" s="41">
        <f>Source!AL284+Source!AM284+Source!AO284</f>
        <v>362.89</v>
      </c>
      <c r="G939" s="46" t="s">
        <v>6</v>
      </c>
      <c r="H939" s="41">
        <f>ROUND(Source!AC284*Source!I284, 2)+ROUND(Source!AD284*Source!I284, 2)+ROUND(Source!AF284*Source!I284, 2)</f>
        <v>725.78</v>
      </c>
      <c r="I939" s="42"/>
      <c r="J939" s="42">
        <f>IF(Source!BC284&lt;&gt; 0, Source!BC284, 1)</f>
        <v>7.13</v>
      </c>
      <c r="K939" s="41">
        <f>Source!O284</f>
        <v>5174.8100000000004</v>
      </c>
      <c r="L939" s="47"/>
      <c r="S939">
        <f>ROUND((Source!FX284/100)*((ROUND(Source!AF284*Source!I284, 2)+ROUND(Source!AE284*Source!I284, 2))), 2)</f>
        <v>0</v>
      </c>
      <c r="T939">
        <f>Source!X284</f>
        <v>0</v>
      </c>
      <c r="U939">
        <f>ROUND((Source!FY284/100)*((ROUND(Source!AF284*Source!I284, 2)+ROUND(Source!AE284*Source!I284, 2))), 2)</f>
        <v>0</v>
      </c>
      <c r="V939">
        <f>Source!Y284</f>
        <v>0</v>
      </c>
      <c r="W939">
        <f>IF(Source!BI284&lt;=1,H939, 0)</f>
        <v>0</v>
      </c>
      <c r="X939">
        <f>IF(Source!BI284=2,H939, 0)</f>
        <v>725.78</v>
      </c>
      <c r="Y939">
        <f>IF(Source!BI284=3,H939, 0)</f>
        <v>0</v>
      </c>
      <c r="Z939">
        <f>IF(Source!BI284=4,H939, 0)</f>
        <v>0</v>
      </c>
    </row>
    <row r="940" spans="1:26" ht="15" x14ac:dyDescent="0.25">
      <c r="G940" s="87">
        <f>H934+H935+H936+H937+SUM(H939:H939)</f>
        <v>754.87</v>
      </c>
      <c r="H940" s="87"/>
      <c r="J940" s="87">
        <f>K934+K935+K936+K937+SUM(K939:K939)</f>
        <v>5382.2400000000007</v>
      </c>
      <c r="K940" s="87"/>
      <c r="L940" s="44">
        <f>Source!U283</f>
        <v>1.2</v>
      </c>
      <c r="O940" s="27">
        <f>G940</f>
        <v>754.87</v>
      </c>
      <c r="P940" s="27">
        <f>J940</f>
        <v>5382.2400000000007</v>
      </c>
      <c r="Q940" s="27">
        <f>L940</f>
        <v>1.2</v>
      </c>
      <c r="W940">
        <f>IF(Source!BI283&lt;=1,H934+H935+H936+H937, 0)</f>
        <v>0</v>
      </c>
      <c r="X940">
        <f>IF(Source!BI283=2,H934+H935+H936+H937, 0)</f>
        <v>29.09</v>
      </c>
      <c r="Y940">
        <f>IF(Source!BI283=3,H934+H935+H936+H937, 0)</f>
        <v>0</v>
      </c>
      <c r="Z940">
        <f>IF(Source!BI283=4,H934+H935+H936+H937, 0)</f>
        <v>0</v>
      </c>
    </row>
    <row r="942" spans="1:26" ht="15" x14ac:dyDescent="0.25">
      <c r="A942" s="91" t="str">
        <f>CONCATENATE("Итого по разделу: ",IF(Source!G286&lt;&gt;"Новый раздел", Source!G286, ""))</f>
        <v>Итого по разделу: Отопление и вентиляция</v>
      </c>
      <c r="B942" s="91"/>
      <c r="C942" s="91"/>
      <c r="D942" s="91"/>
      <c r="E942" s="91"/>
      <c r="F942" s="91"/>
      <c r="G942" s="92">
        <f>SUM(O779:O941)</f>
        <v>59786.540000000008</v>
      </c>
      <c r="H942" s="92"/>
      <c r="I942" s="30"/>
      <c r="J942" s="92">
        <f>SUM(P779:P941)</f>
        <v>426330.76999999996</v>
      </c>
      <c r="K942" s="92"/>
      <c r="L942" s="44">
        <f>SUM(Q779:Q941)</f>
        <v>355.90541479999996</v>
      </c>
    </row>
    <row r="944" spans="1:26" ht="16.5" x14ac:dyDescent="0.25">
      <c r="A944" s="89" t="str">
        <f>CONCATENATE("Раздел: ",IF(Source!G318&lt;&gt;"Новый раздел", Source!G318, ""))</f>
        <v>Раздел: Внутренняя система канализации</v>
      </c>
      <c r="B944" s="89"/>
      <c r="C944" s="89"/>
      <c r="D944" s="89"/>
      <c r="E944" s="89"/>
      <c r="F944" s="89"/>
      <c r="G944" s="89"/>
      <c r="H944" s="89"/>
      <c r="I944" s="89"/>
      <c r="J944" s="89"/>
      <c r="K944" s="89"/>
      <c r="L944" s="89"/>
    </row>
    <row r="945" spans="1:26" ht="42.75" x14ac:dyDescent="0.2">
      <c r="A945" s="49" t="str">
        <f>Source!E322</f>
        <v>93</v>
      </c>
      <c r="B945" s="50" t="str">
        <f>Source!F322</f>
        <v>65-2-1</v>
      </c>
      <c r="C945" s="50" t="str">
        <f>Source!G322</f>
        <v>Разборка трубопроводов из чугунных канализационных труб диаметром 50 мм</v>
      </c>
      <c r="D945" s="33" t="str">
        <f>Source!H322</f>
        <v>100 м</v>
      </c>
      <c r="E945" s="11">
        <f>Source!I322</f>
        <v>0.222</v>
      </c>
      <c r="F945" s="34">
        <f>Source!AL322+Source!AM322+Source!AO322</f>
        <v>587.04999999999995</v>
      </c>
      <c r="G945" s="35"/>
      <c r="H945" s="34"/>
      <c r="I945" s="35" t="str">
        <f>Source!BO322</f>
        <v/>
      </c>
      <c r="J945" s="35"/>
      <c r="K945" s="34"/>
      <c r="L945" s="36"/>
      <c r="S945">
        <f>ROUND((Source!FX322/100)*((ROUND(Source!AF322*Source!I322, 2)+ROUND(Source!AE322*Source!I322, 2))), 2)</f>
        <v>95.98</v>
      </c>
      <c r="T945">
        <f>Source!X322</f>
        <v>684.29</v>
      </c>
      <c r="U945">
        <f>ROUND((Source!FY322/100)*((ROUND(Source!AF322*Source!I322, 2)+ROUND(Source!AE322*Source!I322, 2))), 2)</f>
        <v>64.849999999999994</v>
      </c>
      <c r="V945">
        <f>Source!Y322</f>
        <v>462.36</v>
      </c>
    </row>
    <row r="946" spans="1:26" x14ac:dyDescent="0.2">
      <c r="C946" s="26" t="str">
        <f>"Объем: "&amp;Source!I322&amp;"=22,2/"&amp;"100"</f>
        <v>Объем: 0,222=22,2/100</v>
      </c>
    </row>
    <row r="947" spans="1:26" ht="14.25" x14ac:dyDescent="0.2">
      <c r="A947" s="49"/>
      <c r="B947" s="50"/>
      <c r="C947" s="50" t="s">
        <v>1783</v>
      </c>
      <c r="D947" s="33"/>
      <c r="E947" s="11"/>
      <c r="F947" s="34">
        <f>Source!AO322</f>
        <v>582.04999999999995</v>
      </c>
      <c r="G947" s="35" t="str">
        <f>Source!DG322</f>
        <v/>
      </c>
      <c r="H947" s="34">
        <f>ROUND(Source!AF322*Source!I322, 2)</f>
        <v>129.22</v>
      </c>
      <c r="I947" s="35"/>
      <c r="J947" s="35">
        <f>IF(Source!BA322&lt;&gt; 0, Source!BA322, 1)</f>
        <v>7.13</v>
      </c>
      <c r="K947" s="34">
        <f>Source!S322</f>
        <v>921.3</v>
      </c>
      <c r="L947" s="36"/>
      <c r="R947">
        <f>H947</f>
        <v>129.22</v>
      </c>
    </row>
    <row r="948" spans="1:26" ht="14.25" x14ac:dyDescent="0.2">
      <c r="A948" s="49"/>
      <c r="B948" s="50"/>
      <c r="C948" s="50" t="s">
        <v>449</v>
      </c>
      <c r="D948" s="33"/>
      <c r="E948" s="11"/>
      <c r="F948" s="34">
        <f>Source!AM322</f>
        <v>5</v>
      </c>
      <c r="G948" s="35" t="str">
        <f>Source!DE322</f>
        <v/>
      </c>
      <c r="H948" s="34">
        <f>ROUND(Source!AD322*Source!I322, 2)</f>
        <v>1.1100000000000001</v>
      </c>
      <c r="I948" s="35"/>
      <c r="J948" s="35">
        <f>IF(Source!BB322&lt;&gt; 0, Source!BB322, 1)</f>
        <v>7.13</v>
      </c>
      <c r="K948" s="34">
        <f>Source!Q322</f>
        <v>7.91</v>
      </c>
      <c r="L948" s="36"/>
    </row>
    <row r="949" spans="1:26" ht="14.25" x14ac:dyDescent="0.2">
      <c r="A949" s="49"/>
      <c r="B949" s="50"/>
      <c r="C949" s="50" t="s">
        <v>1784</v>
      </c>
      <c r="D949" s="33"/>
      <c r="E949" s="11"/>
      <c r="F949" s="34">
        <f>Source!AN322</f>
        <v>2.16</v>
      </c>
      <c r="G949" s="35" t="str">
        <f>Source!DF322</f>
        <v/>
      </c>
      <c r="H949" s="37">
        <f>ROUND(Source!AE322*Source!I322, 2)</f>
        <v>0.48</v>
      </c>
      <c r="I949" s="35"/>
      <c r="J949" s="35">
        <f>IF(Source!BS322&lt;&gt; 0, Source!BS322, 1)</f>
        <v>7.13</v>
      </c>
      <c r="K949" s="37">
        <f>Source!R322</f>
        <v>3.42</v>
      </c>
      <c r="L949" s="36"/>
      <c r="R949">
        <f>H949</f>
        <v>0.48</v>
      </c>
    </row>
    <row r="950" spans="1:26" ht="14.25" x14ac:dyDescent="0.2">
      <c r="A950" s="49"/>
      <c r="B950" s="50"/>
      <c r="C950" s="50" t="s">
        <v>1785</v>
      </c>
      <c r="D950" s="33" t="s">
        <v>1786</v>
      </c>
      <c r="E950" s="11">
        <f>Source!BZ322</f>
        <v>74</v>
      </c>
      <c r="F950" s="53"/>
      <c r="G950" s="35"/>
      <c r="H950" s="34">
        <f>SUM(S945:S952)</f>
        <v>95.98</v>
      </c>
      <c r="I950" s="38"/>
      <c r="J950" s="31">
        <f>Source!AT322</f>
        <v>74</v>
      </c>
      <c r="K950" s="34">
        <f>SUM(T945:T952)</f>
        <v>684.29</v>
      </c>
      <c r="L950" s="36"/>
    </row>
    <row r="951" spans="1:26" ht="14.25" x14ac:dyDescent="0.2">
      <c r="A951" s="49"/>
      <c r="B951" s="50"/>
      <c r="C951" s="50" t="s">
        <v>1787</v>
      </c>
      <c r="D951" s="33" t="s">
        <v>1786</v>
      </c>
      <c r="E951" s="11">
        <f>Source!CA322</f>
        <v>50</v>
      </c>
      <c r="F951" s="53"/>
      <c r="G951" s="35"/>
      <c r="H951" s="34">
        <f>SUM(U945:U952)</f>
        <v>64.849999999999994</v>
      </c>
      <c r="I951" s="38"/>
      <c r="J951" s="31">
        <f>Source!AU322</f>
        <v>50</v>
      </c>
      <c r="K951" s="34">
        <f>SUM(V945:V952)</f>
        <v>462.36</v>
      </c>
      <c r="L951" s="36"/>
    </row>
    <row r="952" spans="1:26" ht="14.25" x14ac:dyDescent="0.2">
      <c r="A952" s="51"/>
      <c r="B952" s="52"/>
      <c r="C952" s="52" t="s">
        <v>1788</v>
      </c>
      <c r="D952" s="39" t="s">
        <v>1789</v>
      </c>
      <c r="E952" s="40">
        <f>Source!AQ322</f>
        <v>68.8</v>
      </c>
      <c r="F952" s="41"/>
      <c r="G952" s="42" t="str">
        <f>Source!DI322</f>
        <v/>
      </c>
      <c r="H952" s="41"/>
      <c r="I952" s="42"/>
      <c r="J952" s="42"/>
      <c r="K952" s="41"/>
      <c r="L952" s="43">
        <f>Source!U322</f>
        <v>15.2736</v>
      </c>
    </row>
    <row r="953" spans="1:26" ht="15" x14ac:dyDescent="0.25">
      <c r="G953" s="87">
        <f>H947+H948+H950+H951</f>
        <v>291.15999999999997</v>
      </c>
      <c r="H953" s="87"/>
      <c r="J953" s="87">
        <f>K947+K948+K950+K951</f>
        <v>2075.86</v>
      </c>
      <c r="K953" s="87"/>
      <c r="L953" s="44">
        <f>Source!U322</f>
        <v>15.2736</v>
      </c>
      <c r="O953" s="27">
        <f>G953</f>
        <v>291.15999999999997</v>
      </c>
      <c r="P953" s="27">
        <f>J953</f>
        <v>2075.86</v>
      </c>
      <c r="Q953" s="27">
        <f>L953</f>
        <v>15.2736</v>
      </c>
      <c r="W953">
        <f>IF(Source!BI322&lt;=1,H947+H948+H950+H951, 0)</f>
        <v>291.15999999999997</v>
      </c>
      <c r="X953">
        <f>IF(Source!BI322=2,H947+H948+H950+H951, 0)</f>
        <v>0</v>
      </c>
      <c r="Y953">
        <f>IF(Source!BI322=3,H947+H948+H950+H951, 0)</f>
        <v>0</v>
      </c>
      <c r="Z953">
        <f>IF(Source!BI322=4,H947+H948+H950+H951, 0)</f>
        <v>0</v>
      </c>
    </row>
    <row r="954" spans="1:26" ht="42.75" x14ac:dyDescent="0.2">
      <c r="A954" s="49" t="str">
        <f>Source!E323</f>
        <v>94</v>
      </c>
      <c r="B954" s="50" t="str">
        <f>Source!F323</f>
        <v>65-2-2</v>
      </c>
      <c r="C954" s="50" t="str">
        <f>Source!G323</f>
        <v>Разборка трубопроводов из чугунных канализационных труб диаметром 100 мм</v>
      </c>
      <c r="D954" s="33" t="str">
        <f>Source!H323</f>
        <v>100 м</v>
      </c>
      <c r="E954" s="11">
        <f>Source!I323</f>
        <v>9.7000000000000003E-2</v>
      </c>
      <c r="F954" s="34">
        <f>Source!AL323+Source!AM323+Source!AO323</f>
        <v>731.64</v>
      </c>
      <c r="G954" s="35"/>
      <c r="H954" s="34"/>
      <c r="I954" s="35" t="str">
        <f>Source!BO323</f>
        <v/>
      </c>
      <c r="J954" s="35"/>
      <c r="K954" s="34"/>
      <c r="L954" s="36"/>
      <c r="S954">
        <f>ROUND((Source!FX323/100)*((ROUND(Source!AF323*Source!I323, 2)+ROUND(Source!AE323*Source!I323, 2))), 2)</f>
        <v>52.11</v>
      </c>
      <c r="T954">
        <f>Source!X323</f>
        <v>371.54</v>
      </c>
      <c r="U954">
        <f>ROUND((Source!FY323/100)*((ROUND(Source!AF323*Source!I323, 2)+ROUND(Source!AE323*Source!I323, 2))), 2)</f>
        <v>35.21</v>
      </c>
      <c r="V954">
        <f>Source!Y323</f>
        <v>251.04</v>
      </c>
    </row>
    <row r="955" spans="1:26" x14ac:dyDescent="0.2">
      <c r="C955" s="26" t="str">
        <f>"Объем: "&amp;Source!I323&amp;"=9,7/"&amp;"100"</f>
        <v>Объем: 0,097=9,7/100</v>
      </c>
    </row>
    <row r="956" spans="1:26" ht="14.25" x14ac:dyDescent="0.2">
      <c r="A956" s="49"/>
      <c r="B956" s="50"/>
      <c r="C956" s="50" t="s">
        <v>1783</v>
      </c>
      <c r="D956" s="33"/>
      <c r="E956" s="11"/>
      <c r="F956" s="34">
        <f>Source!AO323</f>
        <v>721.64</v>
      </c>
      <c r="G956" s="35" t="str">
        <f>Source!DG323</f>
        <v/>
      </c>
      <c r="H956" s="34">
        <f>ROUND(Source!AF323*Source!I323, 2)</f>
        <v>70</v>
      </c>
      <c r="I956" s="35"/>
      <c r="J956" s="35">
        <f>IF(Source!BA323&lt;&gt; 0, Source!BA323, 1)</f>
        <v>7.13</v>
      </c>
      <c r="K956" s="34">
        <f>Source!S323</f>
        <v>499.09</v>
      </c>
      <c r="L956" s="36"/>
      <c r="R956">
        <f>H956</f>
        <v>70</v>
      </c>
    </row>
    <row r="957" spans="1:26" ht="14.25" x14ac:dyDescent="0.2">
      <c r="A957" s="49"/>
      <c r="B957" s="50"/>
      <c r="C957" s="50" t="s">
        <v>449</v>
      </c>
      <c r="D957" s="33"/>
      <c r="E957" s="11"/>
      <c r="F957" s="34">
        <f>Source!AM323</f>
        <v>10</v>
      </c>
      <c r="G957" s="35" t="str">
        <f>Source!DE323</f>
        <v/>
      </c>
      <c r="H957" s="34">
        <f>ROUND(Source!AD323*Source!I323, 2)</f>
        <v>0.97</v>
      </c>
      <c r="I957" s="35"/>
      <c r="J957" s="35">
        <f>IF(Source!BB323&lt;&gt; 0, Source!BB323, 1)</f>
        <v>7.13</v>
      </c>
      <c r="K957" s="34">
        <f>Source!Q323</f>
        <v>6.92</v>
      </c>
      <c r="L957" s="36"/>
    </row>
    <row r="958" spans="1:26" ht="14.25" x14ac:dyDescent="0.2">
      <c r="A958" s="49"/>
      <c r="B958" s="50"/>
      <c r="C958" s="50" t="s">
        <v>1784</v>
      </c>
      <c r="D958" s="33"/>
      <c r="E958" s="11"/>
      <c r="F958" s="34">
        <f>Source!AN323</f>
        <v>4.32</v>
      </c>
      <c r="G958" s="35" t="str">
        <f>Source!DF323</f>
        <v/>
      </c>
      <c r="H958" s="37">
        <f>ROUND(Source!AE323*Source!I323, 2)</f>
        <v>0.42</v>
      </c>
      <c r="I958" s="35"/>
      <c r="J958" s="35">
        <f>IF(Source!BS323&lt;&gt; 0, Source!BS323, 1)</f>
        <v>7.13</v>
      </c>
      <c r="K958" s="37">
        <f>Source!R323</f>
        <v>2.99</v>
      </c>
      <c r="L958" s="36"/>
      <c r="R958">
        <f>H958</f>
        <v>0.42</v>
      </c>
    </row>
    <row r="959" spans="1:26" ht="14.25" x14ac:dyDescent="0.2">
      <c r="A959" s="49"/>
      <c r="B959" s="50"/>
      <c r="C959" s="50" t="s">
        <v>1785</v>
      </c>
      <c r="D959" s="33" t="s">
        <v>1786</v>
      </c>
      <c r="E959" s="11">
        <f>Source!BZ323</f>
        <v>74</v>
      </c>
      <c r="F959" s="53"/>
      <c r="G959" s="35"/>
      <c r="H959" s="34">
        <f>SUM(S954:S961)</f>
        <v>52.11</v>
      </c>
      <c r="I959" s="38"/>
      <c r="J959" s="31">
        <f>Source!AT323</f>
        <v>74</v>
      </c>
      <c r="K959" s="34">
        <f>SUM(T954:T961)</f>
        <v>371.54</v>
      </c>
      <c r="L959" s="36"/>
    </row>
    <row r="960" spans="1:26" ht="14.25" x14ac:dyDescent="0.2">
      <c r="A960" s="49"/>
      <c r="B960" s="50"/>
      <c r="C960" s="50" t="s">
        <v>1787</v>
      </c>
      <c r="D960" s="33" t="s">
        <v>1786</v>
      </c>
      <c r="E960" s="11">
        <f>Source!CA323</f>
        <v>50</v>
      </c>
      <c r="F960" s="53"/>
      <c r="G960" s="35"/>
      <c r="H960" s="34">
        <f>SUM(U954:U961)</f>
        <v>35.21</v>
      </c>
      <c r="I960" s="38"/>
      <c r="J960" s="31">
        <f>Source!AU323</f>
        <v>50</v>
      </c>
      <c r="K960" s="34">
        <f>SUM(V954:V961)</f>
        <v>251.04</v>
      </c>
      <c r="L960" s="36"/>
    </row>
    <row r="961" spans="1:26" ht="14.25" x14ac:dyDescent="0.2">
      <c r="A961" s="51"/>
      <c r="B961" s="52"/>
      <c r="C961" s="52" t="s">
        <v>1788</v>
      </c>
      <c r="D961" s="39" t="s">
        <v>1789</v>
      </c>
      <c r="E961" s="40">
        <f>Source!AQ323</f>
        <v>85.3</v>
      </c>
      <c r="F961" s="41"/>
      <c r="G961" s="42" t="str">
        <f>Source!DI323</f>
        <v/>
      </c>
      <c r="H961" s="41"/>
      <c r="I961" s="42"/>
      <c r="J961" s="42"/>
      <c r="K961" s="41"/>
      <c r="L961" s="43">
        <f>Source!U323</f>
        <v>8.2741000000000007</v>
      </c>
    </row>
    <row r="962" spans="1:26" ht="15" x14ac:dyDescent="0.25">
      <c r="G962" s="87">
        <f>H956+H957+H959+H960</f>
        <v>158.29</v>
      </c>
      <c r="H962" s="87"/>
      <c r="J962" s="87">
        <f>K956+K957+K959+K960</f>
        <v>1128.5899999999999</v>
      </c>
      <c r="K962" s="87"/>
      <c r="L962" s="44">
        <f>Source!U323</f>
        <v>8.2741000000000007</v>
      </c>
      <c r="O962" s="27">
        <f>G962</f>
        <v>158.29</v>
      </c>
      <c r="P962" s="27">
        <f>J962</f>
        <v>1128.5899999999999</v>
      </c>
      <c r="Q962" s="27">
        <f>L962</f>
        <v>8.2741000000000007</v>
      </c>
      <c r="W962">
        <f>IF(Source!BI323&lt;=1,H956+H957+H959+H960, 0)</f>
        <v>158.29</v>
      </c>
      <c r="X962">
        <f>IF(Source!BI323=2,H956+H957+H959+H960, 0)</f>
        <v>0</v>
      </c>
      <c r="Y962">
        <f>IF(Source!BI323=3,H956+H957+H959+H960, 0)</f>
        <v>0</v>
      </c>
      <c r="Z962">
        <f>IF(Source!BI323=4,H956+H957+H959+H960, 0)</f>
        <v>0</v>
      </c>
    </row>
    <row r="963" spans="1:26" ht="14.25" x14ac:dyDescent="0.2">
      <c r="A963" s="49" t="str">
        <f>Source!E324</f>
        <v>95</v>
      </c>
      <c r="B963" s="50" t="str">
        <f>Source!F324</f>
        <v>65-6-1</v>
      </c>
      <c r="C963" s="50" t="str">
        <f>Source!G324</f>
        <v>Смена трапов диаметром до 50 мм</v>
      </c>
      <c r="D963" s="33" t="str">
        <f>Source!H324</f>
        <v>100 ШТ</v>
      </c>
      <c r="E963" s="11">
        <f>Source!I324</f>
        <v>0.01</v>
      </c>
      <c r="F963" s="34">
        <f>Source!AL324+Source!AM324+Source!AO324</f>
        <v>1164.9100000000001</v>
      </c>
      <c r="G963" s="35"/>
      <c r="H963" s="34"/>
      <c r="I963" s="35" t="str">
        <f>Source!BO324</f>
        <v/>
      </c>
      <c r="J963" s="35"/>
      <c r="K963" s="34"/>
      <c r="L963" s="36"/>
      <c r="S963">
        <f>ROUND((Source!FX324/100)*((ROUND(Source!AF324*Source!I324, 2)+ROUND(Source!AE324*Source!I324, 2))), 2)</f>
        <v>9.0500000000000007</v>
      </c>
      <c r="T963">
        <f>Source!X324</f>
        <v>64.55</v>
      </c>
      <c r="U963">
        <f>ROUND((Source!FY324/100)*((ROUND(Source!AF324*Source!I324, 2)+ROUND(Source!AE324*Source!I324, 2))), 2)</f>
        <v>5.27</v>
      </c>
      <c r="V963">
        <f>Source!Y324</f>
        <v>37.6</v>
      </c>
    </row>
    <row r="964" spans="1:26" ht="14.25" x14ac:dyDescent="0.2">
      <c r="A964" s="49"/>
      <c r="B964" s="50"/>
      <c r="C964" s="50" t="s">
        <v>1783</v>
      </c>
      <c r="D964" s="33"/>
      <c r="E964" s="11"/>
      <c r="F964" s="34">
        <f>Source!AO324</f>
        <v>870.72</v>
      </c>
      <c r="G964" s="35" t="str">
        <f>Source!DG324</f>
        <v/>
      </c>
      <c r="H964" s="34">
        <f>ROUND(Source!AF324*Source!I324, 2)</f>
        <v>8.7100000000000009</v>
      </c>
      <c r="I964" s="35"/>
      <c r="J964" s="35">
        <f>IF(Source!BA324&lt;&gt; 0, Source!BA324, 1)</f>
        <v>7.13</v>
      </c>
      <c r="K964" s="34">
        <f>Source!S324</f>
        <v>62.08</v>
      </c>
      <c r="L964" s="36"/>
      <c r="R964">
        <f>H964</f>
        <v>8.7100000000000009</v>
      </c>
    </row>
    <row r="965" spans="1:26" ht="14.25" x14ac:dyDescent="0.2">
      <c r="A965" s="49"/>
      <c r="B965" s="50"/>
      <c r="C965" s="50" t="s">
        <v>449</v>
      </c>
      <c r="D965" s="33"/>
      <c r="E965" s="11"/>
      <c r="F965" s="34">
        <f>Source!AM324</f>
        <v>32</v>
      </c>
      <c r="G965" s="35" t="str">
        <f>Source!DE324</f>
        <v/>
      </c>
      <c r="H965" s="34">
        <f>ROUND(Source!AD324*Source!I324, 2)</f>
        <v>0.32</v>
      </c>
      <c r="I965" s="35"/>
      <c r="J965" s="35">
        <f>IF(Source!BB324&lt;&gt; 0, Source!BB324, 1)</f>
        <v>7.13</v>
      </c>
      <c r="K965" s="34">
        <f>Source!Q324</f>
        <v>2.2799999999999998</v>
      </c>
      <c r="L965" s="36"/>
    </row>
    <row r="966" spans="1:26" ht="14.25" x14ac:dyDescent="0.2">
      <c r="A966" s="49"/>
      <c r="B966" s="50"/>
      <c r="C966" s="50" t="s">
        <v>1784</v>
      </c>
      <c r="D966" s="33"/>
      <c r="E966" s="11"/>
      <c r="F966" s="34">
        <f>Source!AN324</f>
        <v>8.2899999999999991</v>
      </c>
      <c r="G966" s="35" t="str">
        <f>Source!DF324</f>
        <v/>
      </c>
      <c r="H966" s="37">
        <f>ROUND(Source!AE324*Source!I324, 2)</f>
        <v>0.08</v>
      </c>
      <c r="I966" s="35"/>
      <c r="J966" s="35">
        <f>IF(Source!BS324&lt;&gt; 0, Source!BS324, 1)</f>
        <v>7.13</v>
      </c>
      <c r="K966" s="37">
        <f>Source!R324</f>
        <v>0.59</v>
      </c>
      <c r="L966" s="36"/>
      <c r="R966">
        <f>H966</f>
        <v>0.08</v>
      </c>
    </row>
    <row r="967" spans="1:26" ht="14.25" x14ac:dyDescent="0.2">
      <c r="A967" s="49"/>
      <c r="B967" s="50"/>
      <c r="C967" s="50" t="s">
        <v>1790</v>
      </c>
      <c r="D967" s="33"/>
      <c r="E967" s="11"/>
      <c r="F967" s="34">
        <f>Source!AL324</f>
        <v>262.19</v>
      </c>
      <c r="G967" s="35" t="str">
        <f>Source!DD324</f>
        <v/>
      </c>
      <c r="H967" s="34">
        <f>ROUND(Source!AC324*Source!I324, 2)</f>
        <v>2.62</v>
      </c>
      <c r="I967" s="35"/>
      <c r="J967" s="35">
        <f>IF(Source!BC324&lt;&gt; 0, Source!BC324, 1)</f>
        <v>7.13</v>
      </c>
      <c r="K967" s="34">
        <f>Source!P324</f>
        <v>18.690000000000001</v>
      </c>
      <c r="L967" s="36"/>
    </row>
    <row r="968" spans="1:26" ht="14.25" x14ac:dyDescent="0.2">
      <c r="A968" s="49"/>
      <c r="B968" s="50"/>
      <c r="C968" s="50" t="s">
        <v>1785</v>
      </c>
      <c r="D968" s="33" t="s">
        <v>1786</v>
      </c>
      <c r="E968" s="11">
        <f>Source!BZ324</f>
        <v>103</v>
      </c>
      <c r="F968" s="53"/>
      <c r="G968" s="35"/>
      <c r="H968" s="34">
        <f>SUM(S963:S971)</f>
        <v>9.0500000000000007</v>
      </c>
      <c r="I968" s="38"/>
      <c r="J968" s="31">
        <f>Source!AT324</f>
        <v>103</v>
      </c>
      <c r="K968" s="34">
        <f>SUM(T963:T971)</f>
        <v>64.55</v>
      </c>
      <c r="L968" s="36"/>
    </row>
    <row r="969" spans="1:26" ht="14.25" x14ac:dyDescent="0.2">
      <c r="A969" s="49"/>
      <c r="B969" s="50"/>
      <c r="C969" s="50" t="s">
        <v>1787</v>
      </c>
      <c r="D969" s="33" t="s">
        <v>1786</v>
      </c>
      <c r="E969" s="11">
        <f>Source!CA324</f>
        <v>60</v>
      </c>
      <c r="F969" s="53"/>
      <c r="G969" s="35"/>
      <c r="H969" s="34">
        <f>SUM(U963:U971)</f>
        <v>5.27</v>
      </c>
      <c r="I969" s="38"/>
      <c r="J969" s="31">
        <f>Source!AU324</f>
        <v>60</v>
      </c>
      <c r="K969" s="34">
        <f>SUM(V963:V971)</f>
        <v>37.6</v>
      </c>
      <c r="L969" s="36"/>
    </row>
    <row r="970" spans="1:26" ht="14.25" x14ac:dyDescent="0.2">
      <c r="A970" s="49"/>
      <c r="B970" s="50"/>
      <c r="C970" s="50" t="s">
        <v>1788</v>
      </c>
      <c r="D970" s="33" t="s">
        <v>1789</v>
      </c>
      <c r="E970" s="11">
        <f>Source!AQ324</f>
        <v>96</v>
      </c>
      <c r="F970" s="34"/>
      <c r="G970" s="35" t="str">
        <f>Source!DI324</f>
        <v/>
      </c>
      <c r="H970" s="34"/>
      <c r="I970" s="35"/>
      <c r="J970" s="35"/>
      <c r="K970" s="34"/>
      <c r="L970" s="45">
        <f>Source!U324</f>
        <v>0.96</v>
      </c>
    </row>
    <row r="971" spans="1:26" ht="42.75" x14ac:dyDescent="0.2">
      <c r="A971" s="51" t="str">
        <f>Source!E325</f>
        <v>95,1</v>
      </c>
      <c r="B971" s="52" t="str">
        <f>Source!F325</f>
        <v>18.2.06.10-0013</v>
      </c>
      <c r="C971" s="52" t="str">
        <f>Source!G325</f>
        <v>Трапы чугунные эмалированные с горизонтальным выпуском диаметром 50 мм</v>
      </c>
      <c r="D971" s="39" t="str">
        <f>Source!H325</f>
        <v>шт.</v>
      </c>
      <c r="E971" s="40">
        <f>Source!I325</f>
        <v>1</v>
      </c>
      <c r="F971" s="41">
        <f>Source!AL325+Source!AM325+Source!AO325</f>
        <v>121.11</v>
      </c>
      <c r="G971" s="46" t="s">
        <v>6</v>
      </c>
      <c r="H971" s="41">
        <f>ROUND(Source!AC325*Source!I325, 2)+ROUND(Source!AD325*Source!I325, 2)+ROUND(Source!AF325*Source!I325, 2)</f>
        <v>121.11</v>
      </c>
      <c r="I971" s="42"/>
      <c r="J971" s="42">
        <f>IF(Source!BC325&lt;&gt; 0, Source!BC325, 1)</f>
        <v>7.13</v>
      </c>
      <c r="K971" s="41">
        <f>Source!O325</f>
        <v>863.51</v>
      </c>
      <c r="L971" s="47"/>
      <c r="S971">
        <f>ROUND((Source!FX325/100)*((ROUND(Source!AF325*Source!I325, 2)+ROUND(Source!AE325*Source!I325, 2))), 2)</f>
        <v>0</v>
      </c>
      <c r="T971">
        <f>Source!X325</f>
        <v>0</v>
      </c>
      <c r="U971">
        <f>ROUND((Source!FY325/100)*((ROUND(Source!AF325*Source!I325, 2)+ROUND(Source!AE325*Source!I325, 2))), 2)</f>
        <v>0</v>
      </c>
      <c r="V971">
        <f>Source!Y325</f>
        <v>0</v>
      </c>
      <c r="W971">
        <f>IF(Source!BI325&lt;=1,H971, 0)</f>
        <v>121.11</v>
      </c>
      <c r="X971">
        <f>IF(Source!BI325=2,H971, 0)</f>
        <v>0</v>
      </c>
      <c r="Y971">
        <f>IF(Source!BI325=3,H971, 0)</f>
        <v>0</v>
      </c>
      <c r="Z971">
        <f>IF(Source!BI325=4,H971, 0)</f>
        <v>0</v>
      </c>
    </row>
    <row r="972" spans="1:26" ht="15" x14ac:dyDescent="0.25">
      <c r="G972" s="87">
        <f>H964+H965+H967+H968+H969+SUM(H971:H971)</f>
        <v>147.08000000000001</v>
      </c>
      <c r="H972" s="87"/>
      <c r="J972" s="87">
        <f>K964+K965+K967+K968+K969+SUM(K971:K971)</f>
        <v>1048.71</v>
      </c>
      <c r="K972" s="87"/>
      <c r="L972" s="44">
        <f>Source!U324</f>
        <v>0.96</v>
      </c>
      <c r="O972" s="27">
        <f>G972</f>
        <v>147.08000000000001</v>
      </c>
      <c r="P972" s="27">
        <f>J972</f>
        <v>1048.71</v>
      </c>
      <c r="Q972" s="27">
        <f>L972</f>
        <v>0.96</v>
      </c>
      <c r="W972">
        <f>IF(Source!BI324&lt;=1,H964+H965+H967+H968+H969, 0)</f>
        <v>25.970000000000002</v>
      </c>
      <c r="X972">
        <f>IF(Source!BI324=2,H964+H965+H967+H968+H969, 0)</f>
        <v>0</v>
      </c>
      <c r="Y972">
        <f>IF(Source!BI324=3,H964+H965+H967+H968+H969, 0)</f>
        <v>0</v>
      </c>
      <c r="Z972">
        <f>IF(Source!BI324=4,H964+H965+H967+H968+H969, 0)</f>
        <v>0</v>
      </c>
    </row>
    <row r="973" spans="1:26" ht="14.25" x14ac:dyDescent="0.2">
      <c r="A973" s="49" t="str">
        <f>Source!E326</f>
        <v>96</v>
      </c>
      <c r="B973" s="50" t="str">
        <f>Source!F326</f>
        <v>65-4-4</v>
      </c>
      <c r="C973" s="50" t="str">
        <f>Source!G326</f>
        <v>Демонтаж ванн</v>
      </c>
      <c r="D973" s="33" t="str">
        <f>Source!H326</f>
        <v>100 ШТ</v>
      </c>
      <c r="E973" s="11">
        <f>Source!I326</f>
        <v>0.01</v>
      </c>
      <c r="F973" s="34">
        <f>Source!AL326+Source!AM326+Source!AO326</f>
        <v>2581.5</v>
      </c>
      <c r="G973" s="35"/>
      <c r="H973" s="34"/>
      <c r="I973" s="35" t="str">
        <f>Source!BO326</f>
        <v/>
      </c>
      <c r="J973" s="35"/>
      <c r="K973" s="34"/>
      <c r="L973" s="36"/>
      <c r="S973">
        <f>ROUND((Source!FX326/100)*((ROUND(Source!AF326*Source!I326, 2)+ROUND(Source!AE326*Source!I326, 2))), 2)</f>
        <v>18.760000000000002</v>
      </c>
      <c r="T973">
        <f>Source!X326</f>
        <v>133.74</v>
      </c>
      <c r="U973">
        <f>ROUND((Source!FY326/100)*((ROUND(Source!AF326*Source!I326, 2)+ROUND(Source!AE326*Source!I326, 2))), 2)</f>
        <v>12.68</v>
      </c>
      <c r="V973">
        <f>Source!Y326</f>
        <v>90.37</v>
      </c>
    </row>
    <row r="974" spans="1:26" ht="14.25" x14ac:dyDescent="0.2">
      <c r="A974" s="49"/>
      <c r="B974" s="50"/>
      <c r="C974" s="50" t="s">
        <v>1783</v>
      </c>
      <c r="D974" s="33"/>
      <c r="E974" s="11"/>
      <c r="F974" s="34">
        <f>Source!AO326</f>
        <v>2499.29</v>
      </c>
      <c r="G974" s="35" t="str">
        <f>Source!DG326</f>
        <v/>
      </c>
      <c r="H974" s="34">
        <f>ROUND(Source!AF326*Source!I326, 2)</f>
        <v>24.99</v>
      </c>
      <c r="I974" s="35"/>
      <c r="J974" s="35">
        <f>IF(Source!BA326&lt;&gt; 0, Source!BA326, 1)</f>
        <v>7.13</v>
      </c>
      <c r="K974" s="34">
        <f>Source!S326</f>
        <v>178.2</v>
      </c>
      <c r="L974" s="36"/>
      <c r="R974">
        <f>H974</f>
        <v>24.99</v>
      </c>
    </row>
    <row r="975" spans="1:26" ht="14.25" x14ac:dyDescent="0.2">
      <c r="A975" s="49"/>
      <c r="B975" s="50"/>
      <c r="C975" s="50" t="s">
        <v>449</v>
      </c>
      <c r="D975" s="33"/>
      <c r="E975" s="11"/>
      <c r="F975" s="34">
        <f>Source!AM326</f>
        <v>82.21</v>
      </c>
      <c r="G975" s="35" t="str">
        <f>Source!DE326</f>
        <v/>
      </c>
      <c r="H975" s="34">
        <f>ROUND(Source!AD326*Source!I326, 2)</f>
        <v>0.82</v>
      </c>
      <c r="I975" s="35"/>
      <c r="J975" s="35">
        <f>IF(Source!BB326&lt;&gt; 0, Source!BB326, 1)</f>
        <v>7.13</v>
      </c>
      <c r="K975" s="34">
        <f>Source!Q326</f>
        <v>5.86</v>
      </c>
      <c r="L975" s="36"/>
    </row>
    <row r="976" spans="1:26" ht="14.25" x14ac:dyDescent="0.2">
      <c r="A976" s="49"/>
      <c r="B976" s="50"/>
      <c r="C976" s="50" t="s">
        <v>1784</v>
      </c>
      <c r="D976" s="33"/>
      <c r="E976" s="11"/>
      <c r="F976" s="34">
        <f>Source!AN326</f>
        <v>35.51</v>
      </c>
      <c r="G976" s="35" t="str">
        <f>Source!DF326</f>
        <v/>
      </c>
      <c r="H976" s="37">
        <f>ROUND(Source!AE326*Source!I326, 2)</f>
        <v>0.36</v>
      </c>
      <c r="I976" s="35"/>
      <c r="J976" s="35">
        <f>IF(Source!BS326&lt;&gt; 0, Source!BS326, 1)</f>
        <v>7.13</v>
      </c>
      <c r="K976" s="37">
        <f>Source!R326</f>
        <v>2.5299999999999998</v>
      </c>
      <c r="L976" s="36"/>
      <c r="R976">
        <f>H976</f>
        <v>0.36</v>
      </c>
    </row>
    <row r="977" spans="1:26" ht="14.25" x14ac:dyDescent="0.2">
      <c r="A977" s="49"/>
      <c r="B977" s="50"/>
      <c r="C977" s="50" t="s">
        <v>1785</v>
      </c>
      <c r="D977" s="33" t="s">
        <v>1786</v>
      </c>
      <c r="E977" s="11">
        <f>Source!BZ326</f>
        <v>74</v>
      </c>
      <c r="F977" s="53"/>
      <c r="G977" s="35"/>
      <c r="H977" s="34">
        <f>SUM(S973:S979)</f>
        <v>18.760000000000002</v>
      </c>
      <c r="I977" s="38"/>
      <c r="J977" s="31">
        <f>Source!AT326</f>
        <v>74</v>
      </c>
      <c r="K977" s="34">
        <f>SUM(T973:T979)</f>
        <v>133.74</v>
      </c>
      <c r="L977" s="36"/>
    </row>
    <row r="978" spans="1:26" ht="14.25" x14ac:dyDescent="0.2">
      <c r="A978" s="49"/>
      <c r="B978" s="50"/>
      <c r="C978" s="50" t="s">
        <v>1787</v>
      </c>
      <c r="D978" s="33" t="s">
        <v>1786</v>
      </c>
      <c r="E978" s="11">
        <f>Source!CA326</f>
        <v>50</v>
      </c>
      <c r="F978" s="53"/>
      <c r="G978" s="35"/>
      <c r="H978" s="34">
        <f>SUM(U973:U979)</f>
        <v>12.68</v>
      </c>
      <c r="I978" s="38"/>
      <c r="J978" s="31">
        <f>Source!AU326</f>
        <v>50</v>
      </c>
      <c r="K978" s="34">
        <f>SUM(V973:V979)</f>
        <v>90.37</v>
      </c>
      <c r="L978" s="36"/>
    </row>
    <row r="979" spans="1:26" ht="14.25" x14ac:dyDescent="0.2">
      <c r="A979" s="51"/>
      <c r="B979" s="52"/>
      <c r="C979" s="52" t="s">
        <v>1788</v>
      </c>
      <c r="D979" s="39" t="s">
        <v>1789</v>
      </c>
      <c r="E979" s="40">
        <f>Source!AQ326</f>
        <v>293</v>
      </c>
      <c r="F979" s="41"/>
      <c r="G979" s="42" t="str">
        <f>Source!DI326</f>
        <v/>
      </c>
      <c r="H979" s="41"/>
      <c r="I979" s="42"/>
      <c r="J979" s="42"/>
      <c r="K979" s="41"/>
      <c r="L979" s="43">
        <f>Source!U326</f>
        <v>2.93</v>
      </c>
    </row>
    <row r="980" spans="1:26" ht="15" x14ac:dyDescent="0.25">
      <c r="G980" s="87">
        <f>H974+H975+H977+H978</f>
        <v>57.25</v>
      </c>
      <c r="H980" s="87"/>
      <c r="J980" s="87">
        <f>K974+K975+K977+K978</f>
        <v>408.17</v>
      </c>
      <c r="K980" s="87"/>
      <c r="L980" s="44">
        <f>Source!U326</f>
        <v>2.93</v>
      </c>
      <c r="O980" s="27">
        <f>G980</f>
        <v>57.25</v>
      </c>
      <c r="P980" s="27">
        <f>J980</f>
        <v>408.17</v>
      </c>
      <c r="Q980" s="27">
        <f>L980</f>
        <v>2.93</v>
      </c>
      <c r="W980">
        <f>IF(Source!BI326&lt;=1,H974+H975+H977+H978, 0)</f>
        <v>57.25</v>
      </c>
      <c r="X980">
        <f>IF(Source!BI326=2,H974+H975+H977+H978, 0)</f>
        <v>0</v>
      </c>
      <c r="Y980">
        <f>IF(Source!BI326=3,H974+H975+H977+H978, 0)</f>
        <v>0</v>
      </c>
      <c r="Z980">
        <f>IF(Source!BI326=4,H974+H975+H977+H978, 0)</f>
        <v>0</v>
      </c>
    </row>
    <row r="981" spans="1:26" ht="14.25" x14ac:dyDescent="0.2">
      <c r="A981" s="49" t="str">
        <f>Source!E327</f>
        <v>97</v>
      </c>
      <c r="B981" s="50" t="str">
        <f>Source!F327</f>
        <v>65-4-3</v>
      </c>
      <c r="C981" s="50" t="str">
        <f>Source!G327</f>
        <v>Демонтаж моек</v>
      </c>
      <c r="D981" s="33" t="str">
        <f>Source!H327</f>
        <v>100 ШТ</v>
      </c>
      <c r="E981" s="11">
        <f>Source!I327</f>
        <v>0.05</v>
      </c>
      <c r="F981" s="34">
        <f>Source!AL327+Source!AM327+Source!AO327</f>
        <v>899.88</v>
      </c>
      <c r="G981" s="35"/>
      <c r="H981" s="34"/>
      <c r="I981" s="35" t="str">
        <f>Source!BO327</f>
        <v/>
      </c>
      <c r="J981" s="35"/>
      <c r="K981" s="34"/>
      <c r="L981" s="36"/>
      <c r="S981">
        <f>ROUND((Source!FX327/100)*((ROUND(Source!AF327*Source!I327, 2)+ROUND(Source!AE327*Source!I327, 2))), 2)</f>
        <v>32.770000000000003</v>
      </c>
      <c r="T981">
        <f>Source!X327</f>
        <v>233.69</v>
      </c>
      <c r="U981">
        <f>ROUND((Source!FY327/100)*((ROUND(Source!AF327*Source!I327, 2)+ROUND(Source!AE327*Source!I327, 2))), 2)</f>
        <v>22.15</v>
      </c>
      <c r="V981">
        <f>Source!Y327</f>
        <v>157.9</v>
      </c>
    </row>
    <row r="982" spans="1:26" x14ac:dyDescent="0.2">
      <c r="C982" s="26" t="str">
        <f>"Объем: "&amp;Source!I327&amp;"=5/"&amp;"100"</f>
        <v>Объем: 0,05=5/100</v>
      </c>
    </row>
    <row r="983" spans="1:26" ht="14.25" x14ac:dyDescent="0.2">
      <c r="A983" s="49"/>
      <c r="B983" s="50"/>
      <c r="C983" s="50" t="s">
        <v>1783</v>
      </c>
      <c r="D983" s="33"/>
      <c r="E983" s="11"/>
      <c r="F983" s="34">
        <f>Source!AO327</f>
        <v>875.18</v>
      </c>
      <c r="G983" s="35" t="str">
        <f>Source!DG327</f>
        <v/>
      </c>
      <c r="H983" s="34">
        <f>ROUND(Source!AF327*Source!I327, 2)</f>
        <v>43.76</v>
      </c>
      <c r="I983" s="35"/>
      <c r="J983" s="35">
        <f>IF(Source!BA327&lt;&gt; 0, Source!BA327, 1)</f>
        <v>7.13</v>
      </c>
      <c r="K983" s="34">
        <f>Source!S327</f>
        <v>312</v>
      </c>
      <c r="L983" s="36"/>
      <c r="R983">
        <f>H983</f>
        <v>43.76</v>
      </c>
    </row>
    <row r="984" spans="1:26" ht="14.25" x14ac:dyDescent="0.2">
      <c r="A984" s="49"/>
      <c r="B984" s="50"/>
      <c r="C984" s="50" t="s">
        <v>449</v>
      </c>
      <c r="D984" s="33"/>
      <c r="E984" s="11"/>
      <c r="F984" s="34">
        <f>Source!AM327</f>
        <v>24.7</v>
      </c>
      <c r="G984" s="35" t="str">
        <f>Source!DE327</f>
        <v/>
      </c>
      <c r="H984" s="34">
        <f>ROUND(Source!AD327*Source!I327, 2)</f>
        <v>1.24</v>
      </c>
      <c r="I984" s="35"/>
      <c r="J984" s="35">
        <f>IF(Source!BB327&lt;&gt; 0, Source!BB327, 1)</f>
        <v>7.13</v>
      </c>
      <c r="K984" s="34">
        <f>Source!Q327</f>
        <v>8.81</v>
      </c>
      <c r="L984" s="36"/>
    </row>
    <row r="985" spans="1:26" ht="14.25" x14ac:dyDescent="0.2">
      <c r="A985" s="49"/>
      <c r="B985" s="50"/>
      <c r="C985" s="50" t="s">
        <v>1784</v>
      </c>
      <c r="D985" s="33"/>
      <c r="E985" s="11"/>
      <c r="F985" s="34">
        <f>Source!AN327</f>
        <v>10.67</v>
      </c>
      <c r="G985" s="35" t="str">
        <f>Source!DF327</f>
        <v/>
      </c>
      <c r="H985" s="37">
        <f>ROUND(Source!AE327*Source!I327, 2)</f>
        <v>0.53</v>
      </c>
      <c r="I985" s="35"/>
      <c r="J985" s="35">
        <f>IF(Source!BS327&lt;&gt; 0, Source!BS327, 1)</f>
        <v>7.13</v>
      </c>
      <c r="K985" s="37">
        <f>Source!R327</f>
        <v>3.8</v>
      </c>
      <c r="L985" s="36"/>
      <c r="R985">
        <f>H985</f>
        <v>0.53</v>
      </c>
    </row>
    <row r="986" spans="1:26" ht="14.25" x14ac:dyDescent="0.2">
      <c r="A986" s="49"/>
      <c r="B986" s="50"/>
      <c r="C986" s="50" t="s">
        <v>1785</v>
      </c>
      <c r="D986" s="33" t="s">
        <v>1786</v>
      </c>
      <c r="E986" s="11">
        <f>Source!BZ327</f>
        <v>74</v>
      </c>
      <c r="F986" s="53"/>
      <c r="G986" s="35"/>
      <c r="H986" s="34">
        <f>SUM(S981:S988)</f>
        <v>32.770000000000003</v>
      </c>
      <c r="I986" s="38"/>
      <c r="J986" s="31">
        <f>Source!AT327</f>
        <v>74</v>
      </c>
      <c r="K986" s="34">
        <f>SUM(T981:T988)</f>
        <v>233.69</v>
      </c>
      <c r="L986" s="36"/>
    </row>
    <row r="987" spans="1:26" ht="14.25" x14ac:dyDescent="0.2">
      <c r="A987" s="49"/>
      <c r="B987" s="50"/>
      <c r="C987" s="50" t="s">
        <v>1787</v>
      </c>
      <c r="D987" s="33" t="s">
        <v>1786</v>
      </c>
      <c r="E987" s="11">
        <f>Source!CA327</f>
        <v>50</v>
      </c>
      <c r="F987" s="53"/>
      <c r="G987" s="35"/>
      <c r="H987" s="34">
        <f>SUM(U981:U988)</f>
        <v>22.15</v>
      </c>
      <c r="I987" s="38"/>
      <c r="J987" s="31">
        <f>Source!AU327</f>
        <v>50</v>
      </c>
      <c r="K987" s="34">
        <f>SUM(V981:V988)</f>
        <v>157.9</v>
      </c>
      <c r="L987" s="36"/>
    </row>
    <row r="988" spans="1:26" ht="14.25" x14ac:dyDescent="0.2">
      <c r="A988" s="51"/>
      <c r="B988" s="52"/>
      <c r="C988" s="52" t="s">
        <v>1788</v>
      </c>
      <c r="D988" s="39" t="s">
        <v>1789</v>
      </c>
      <c r="E988" s="40">
        <f>Source!AQ327</f>
        <v>102.6</v>
      </c>
      <c r="F988" s="41"/>
      <c r="G988" s="42" t="str">
        <f>Source!DI327</f>
        <v/>
      </c>
      <c r="H988" s="41"/>
      <c r="I988" s="42"/>
      <c r="J988" s="42"/>
      <c r="K988" s="41"/>
      <c r="L988" s="43">
        <f>Source!U327</f>
        <v>5.13</v>
      </c>
    </row>
    <row r="989" spans="1:26" ht="15" x14ac:dyDescent="0.25">
      <c r="G989" s="87">
        <f>H983+H984+H986+H987</f>
        <v>99.920000000000016</v>
      </c>
      <c r="H989" s="87"/>
      <c r="J989" s="87">
        <f>K983+K984+K986+K987</f>
        <v>712.4</v>
      </c>
      <c r="K989" s="87"/>
      <c r="L989" s="44">
        <f>Source!U327</f>
        <v>5.13</v>
      </c>
      <c r="O989" s="27">
        <f>G989</f>
        <v>99.920000000000016</v>
      </c>
      <c r="P989" s="27">
        <f>J989</f>
        <v>712.4</v>
      </c>
      <c r="Q989" s="27">
        <f>L989</f>
        <v>5.13</v>
      </c>
      <c r="W989">
        <f>IF(Source!BI327&lt;=1,H983+H984+H986+H987, 0)</f>
        <v>99.920000000000016</v>
      </c>
      <c r="X989">
        <f>IF(Source!BI327=2,H983+H984+H986+H987, 0)</f>
        <v>0</v>
      </c>
      <c r="Y989">
        <f>IF(Source!BI327=3,H983+H984+H986+H987, 0)</f>
        <v>0</v>
      </c>
      <c r="Z989">
        <f>IF(Source!BI327=4,H983+H984+H986+H987, 0)</f>
        <v>0</v>
      </c>
    </row>
    <row r="990" spans="1:26" ht="14.25" x14ac:dyDescent="0.2">
      <c r="A990" s="49" t="str">
        <f>Source!E328</f>
        <v>98</v>
      </c>
      <c r="B990" s="50" t="str">
        <f>Source!F328</f>
        <v>65-4-1</v>
      </c>
      <c r="C990" s="50" t="str">
        <f>Source!G328</f>
        <v>Демонтаж умывальников и раковин</v>
      </c>
      <c r="D990" s="33" t="str">
        <f>Source!H328</f>
        <v>100 ШТ</v>
      </c>
      <c r="E990" s="11">
        <f>Source!I328</f>
        <v>0.03</v>
      </c>
      <c r="F990" s="34">
        <f>Source!AL328+Source!AM328+Source!AO328</f>
        <v>445.71999999999997</v>
      </c>
      <c r="G990" s="35"/>
      <c r="H990" s="34"/>
      <c r="I990" s="35" t="str">
        <f>Source!BO328</f>
        <v/>
      </c>
      <c r="J990" s="35"/>
      <c r="K990" s="34"/>
      <c r="L990" s="36"/>
      <c r="S990">
        <f>ROUND((Source!FX328/100)*((ROUND(Source!AF328*Source!I328, 2)+ROUND(Source!AE328*Source!I328, 2))), 2)</f>
        <v>9.8000000000000007</v>
      </c>
      <c r="T990">
        <f>Source!X328</f>
        <v>69.819999999999993</v>
      </c>
      <c r="U990">
        <f>ROUND((Source!FY328/100)*((ROUND(Source!AF328*Source!I328, 2)+ROUND(Source!AE328*Source!I328, 2))), 2)</f>
        <v>6.62</v>
      </c>
      <c r="V990">
        <f>Source!Y328</f>
        <v>47.18</v>
      </c>
    </row>
    <row r="991" spans="1:26" x14ac:dyDescent="0.2">
      <c r="C991" s="26" t="str">
        <f>"Объем: "&amp;Source!I328&amp;"=3/"&amp;"100"</f>
        <v>Объем: 0,03=3/100</v>
      </c>
    </row>
    <row r="992" spans="1:26" ht="14.25" x14ac:dyDescent="0.2">
      <c r="A992" s="49"/>
      <c r="B992" s="50"/>
      <c r="C992" s="50" t="s">
        <v>1783</v>
      </c>
      <c r="D992" s="33"/>
      <c r="E992" s="11"/>
      <c r="F992" s="34">
        <f>Source!AO328</f>
        <v>437.59</v>
      </c>
      <c r="G992" s="35" t="str">
        <f>Source!DG328</f>
        <v/>
      </c>
      <c r="H992" s="34">
        <f>ROUND(Source!AF328*Source!I328, 2)</f>
        <v>13.13</v>
      </c>
      <c r="I992" s="35"/>
      <c r="J992" s="35">
        <f>IF(Source!BA328&lt;&gt; 0, Source!BA328, 1)</f>
        <v>7.13</v>
      </c>
      <c r="K992" s="34">
        <f>Source!S328</f>
        <v>93.6</v>
      </c>
      <c r="L992" s="36"/>
      <c r="R992">
        <f>H992</f>
        <v>13.13</v>
      </c>
    </row>
    <row r="993" spans="1:26" ht="14.25" x14ac:dyDescent="0.2">
      <c r="A993" s="49"/>
      <c r="B993" s="50"/>
      <c r="C993" s="50" t="s">
        <v>449</v>
      </c>
      <c r="D993" s="33"/>
      <c r="E993" s="11"/>
      <c r="F993" s="34">
        <f>Source!AM328</f>
        <v>8.1300000000000008</v>
      </c>
      <c r="G993" s="35" t="str">
        <f>Source!DE328</f>
        <v/>
      </c>
      <c r="H993" s="34">
        <f>ROUND(Source!AD328*Source!I328, 2)</f>
        <v>0.24</v>
      </c>
      <c r="I993" s="35"/>
      <c r="J993" s="35">
        <f>IF(Source!BB328&lt;&gt; 0, Source!BB328, 1)</f>
        <v>7.13</v>
      </c>
      <c r="K993" s="34">
        <f>Source!Q328</f>
        <v>1.74</v>
      </c>
      <c r="L993" s="36"/>
    </row>
    <row r="994" spans="1:26" ht="14.25" x14ac:dyDescent="0.2">
      <c r="A994" s="49"/>
      <c r="B994" s="50"/>
      <c r="C994" s="50" t="s">
        <v>1784</v>
      </c>
      <c r="D994" s="33"/>
      <c r="E994" s="11"/>
      <c r="F994" s="34">
        <f>Source!AN328</f>
        <v>3.51</v>
      </c>
      <c r="G994" s="35" t="str">
        <f>Source!DF328</f>
        <v/>
      </c>
      <c r="H994" s="37">
        <f>ROUND(Source!AE328*Source!I328, 2)</f>
        <v>0.11</v>
      </c>
      <c r="I994" s="35"/>
      <c r="J994" s="35">
        <f>IF(Source!BS328&lt;&gt; 0, Source!BS328, 1)</f>
        <v>7.13</v>
      </c>
      <c r="K994" s="37">
        <f>Source!R328</f>
        <v>0.75</v>
      </c>
      <c r="L994" s="36"/>
      <c r="R994">
        <f>H994</f>
        <v>0.11</v>
      </c>
    </row>
    <row r="995" spans="1:26" ht="14.25" x14ac:dyDescent="0.2">
      <c r="A995" s="49"/>
      <c r="B995" s="50"/>
      <c r="C995" s="50" t="s">
        <v>1785</v>
      </c>
      <c r="D995" s="33" t="s">
        <v>1786</v>
      </c>
      <c r="E995" s="11">
        <f>Source!BZ328</f>
        <v>74</v>
      </c>
      <c r="F995" s="53"/>
      <c r="G995" s="35"/>
      <c r="H995" s="34">
        <f>SUM(S990:S997)</f>
        <v>9.8000000000000007</v>
      </c>
      <c r="I995" s="38"/>
      <c r="J995" s="31">
        <f>Source!AT328</f>
        <v>74</v>
      </c>
      <c r="K995" s="34">
        <f>SUM(T990:T997)</f>
        <v>69.819999999999993</v>
      </c>
      <c r="L995" s="36"/>
    </row>
    <row r="996" spans="1:26" ht="14.25" x14ac:dyDescent="0.2">
      <c r="A996" s="49"/>
      <c r="B996" s="50"/>
      <c r="C996" s="50" t="s">
        <v>1787</v>
      </c>
      <c r="D996" s="33" t="s">
        <v>1786</v>
      </c>
      <c r="E996" s="11">
        <f>Source!CA328</f>
        <v>50</v>
      </c>
      <c r="F996" s="53"/>
      <c r="G996" s="35"/>
      <c r="H996" s="34">
        <f>SUM(U990:U997)</f>
        <v>6.62</v>
      </c>
      <c r="I996" s="38"/>
      <c r="J996" s="31">
        <f>Source!AU328</f>
        <v>50</v>
      </c>
      <c r="K996" s="34">
        <f>SUM(V990:V997)</f>
        <v>47.18</v>
      </c>
      <c r="L996" s="36"/>
    </row>
    <row r="997" spans="1:26" ht="14.25" x14ac:dyDescent="0.2">
      <c r="A997" s="51"/>
      <c r="B997" s="52"/>
      <c r="C997" s="52" t="s">
        <v>1788</v>
      </c>
      <c r="D997" s="39" t="s">
        <v>1789</v>
      </c>
      <c r="E997" s="40">
        <f>Source!AQ328</f>
        <v>51.3</v>
      </c>
      <c r="F997" s="41"/>
      <c r="G997" s="42" t="str">
        <f>Source!DI328</f>
        <v/>
      </c>
      <c r="H997" s="41"/>
      <c r="I997" s="42"/>
      <c r="J997" s="42"/>
      <c r="K997" s="41"/>
      <c r="L997" s="43">
        <f>Source!U328</f>
        <v>1.5389999999999999</v>
      </c>
    </row>
    <row r="998" spans="1:26" ht="15" x14ac:dyDescent="0.25">
      <c r="G998" s="87">
        <f>H992+H993+H995+H996</f>
        <v>29.790000000000003</v>
      </c>
      <c r="H998" s="87"/>
      <c r="J998" s="87">
        <f>K992+K993+K995+K996</f>
        <v>212.33999999999997</v>
      </c>
      <c r="K998" s="87"/>
      <c r="L998" s="44">
        <f>Source!U328</f>
        <v>1.5389999999999999</v>
      </c>
      <c r="O998" s="27">
        <f>G998</f>
        <v>29.790000000000003</v>
      </c>
      <c r="P998" s="27">
        <f>J998</f>
        <v>212.33999999999997</v>
      </c>
      <c r="Q998" s="27">
        <f>L998</f>
        <v>1.5389999999999999</v>
      </c>
      <c r="W998">
        <f>IF(Source!BI328&lt;=1,H992+H993+H995+H996, 0)</f>
        <v>29.790000000000003</v>
      </c>
      <c r="X998">
        <f>IF(Source!BI328=2,H992+H993+H995+H996, 0)</f>
        <v>0</v>
      </c>
      <c r="Y998">
        <f>IF(Source!BI328=3,H992+H993+H995+H996, 0)</f>
        <v>0</v>
      </c>
      <c r="Z998">
        <f>IF(Source!BI328=4,H992+H993+H995+H996, 0)</f>
        <v>0</v>
      </c>
    </row>
    <row r="999" spans="1:26" ht="14.25" x14ac:dyDescent="0.2">
      <c r="A999" s="49" t="str">
        <f>Source!E329</f>
        <v>99</v>
      </c>
      <c r="B999" s="50" t="str">
        <f>Source!F329</f>
        <v>65-4-2</v>
      </c>
      <c r="C999" s="50" t="str">
        <f>Source!G329</f>
        <v>Демонтаж унитазов и писсуаров</v>
      </c>
      <c r="D999" s="33" t="str">
        <f>Source!H329</f>
        <v>100 ШТ</v>
      </c>
      <c r="E999" s="11">
        <f>Source!I329</f>
        <v>0.03</v>
      </c>
      <c r="F999" s="34">
        <f>Source!AL329+Source!AM329+Source!AO329</f>
        <v>553.63</v>
      </c>
      <c r="G999" s="35"/>
      <c r="H999" s="34"/>
      <c r="I999" s="35" t="str">
        <f>Source!BO329</f>
        <v/>
      </c>
      <c r="J999" s="35"/>
      <c r="K999" s="34"/>
      <c r="L999" s="36"/>
      <c r="S999">
        <f>ROUND((Source!FX329/100)*((ROUND(Source!AF329*Source!I329, 2)+ROUND(Source!AE329*Source!I329, 2))), 2)</f>
        <v>12.18</v>
      </c>
      <c r="T999">
        <f>Source!X329</f>
        <v>86.82</v>
      </c>
      <c r="U999">
        <f>ROUND((Source!FY329/100)*((ROUND(Source!AF329*Source!I329, 2)+ROUND(Source!AE329*Source!I329, 2))), 2)</f>
        <v>8.23</v>
      </c>
      <c r="V999">
        <f>Source!Y329</f>
        <v>58.66</v>
      </c>
    </row>
    <row r="1000" spans="1:26" x14ac:dyDescent="0.2">
      <c r="C1000" s="26" t="str">
        <f>"Объем: "&amp;Source!I329&amp;"=3/"&amp;"100"</f>
        <v>Объем: 0,03=3/100</v>
      </c>
    </row>
    <row r="1001" spans="1:26" ht="14.25" x14ac:dyDescent="0.2">
      <c r="A1001" s="49"/>
      <c r="B1001" s="50"/>
      <c r="C1001" s="50" t="s">
        <v>1783</v>
      </c>
      <c r="D1001" s="33"/>
      <c r="E1001" s="11"/>
      <c r="F1001" s="34">
        <f>Source!AO329</f>
        <v>544.55999999999995</v>
      </c>
      <c r="G1001" s="35" t="str">
        <f>Source!DG329</f>
        <v/>
      </c>
      <c r="H1001" s="34">
        <f>ROUND(Source!AF329*Source!I329, 2)</f>
        <v>16.34</v>
      </c>
      <c r="I1001" s="35"/>
      <c r="J1001" s="35">
        <f>IF(Source!BA329&lt;&gt; 0, Source!BA329, 1)</f>
        <v>7.13</v>
      </c>
      <c r="K1001" s="34">
        <f>Source!S329</f>
        <v>116.48</v>
      </c>
      <c r="L1001" s="36"/>
      <c r="R1001">
        <f>H1001</f>
        <v>16.34</v>
      </c>
    </row>
    <row r="1002" spans="1:26" ht="14.25" x14ac:dyDescent="0.2">
      <c r="A1002" s="49"/>
      <c r="B1002" s="50"/>
      <c r="C1002" s="50" t="s">
        <v>449</v>
      </c>
      <c r="D1002" s="33"/>
      <c r="E1002" s="11"/>
      <c r="F1002" s="34">
        <f>Source!AM329</f>
        <v>9.07</v>
      </c>
      <c r="G1002" s="35" t="str">
        <f>Source!DE329</f>
        <v/>
      </c>
      <c r="H1002" s="34">
        <f>ROUND(Source!AD329*Source!I329, 2)</f>
        <v>0.27</v>
      </c>
      <c r="I1002" s="35"/>
      <c r="J1002" s="35">
        <f>IF(Source!BB329&lt;&gt; 0, Source!BB329, 1)</f>
        <v>7.13</v>
      </c>
      <c r="K1002" s="34">
        <f>Source!Q329</f>
        <v>1.94</v>
      </c>
      <c r="L1002" s="36"/>
    </row>
    <row r="1003" spans="1:26" ht="14.25" x14ac:dyDescent="0.2">
      <c r="A1003" s="49"/>
      <c r="B1003" s="50"/>
      <c r="C1003" s="50" t="s">
        <v>1784</v>
      </c>
      <c r="D1003" s="33"/>
      <c r="E1003" s="11"/>
      <c r="F1003" s="34">
        <f>Source!AN329</f>
        <v>3.92</v>
      </c>
      <c r="G1003" s="35" t="str">
        <f>Source!DF329</f>
        <v/>
      </c>
      <c r="H1003" s="37">
        <f>ROUND(Source!AE329*Source!I329, 2)</f>
        <v>0.12</v>
      </c>
      <c r="I1003" s="35"/>
      <c r="J1003" s="35">
        <f>IF(Source!BS329&lt;&gt; 0, Source!BS329, 1)</f>
        <v>7.13</v>
      </c>
      <c r="K1003" s="37">
        <f>Source!R329</f>
        <v>0.84</v>
      </c>
      <c r="L1003" s="36"/>
      <c r="R1003">
        <f>H1003</f>
        <v>0.12</v>
      </c>
    </row>
    <row r="1004" spans="1:26" ht="14.25" x14ac:dyDescent="0.2">
      <c r="A1004" s="49"/>
      <c r="B1004" s="50"/>
      <c r="C1004" s="50" t="s">
        <v>1785</v>
      </c>
      <c r="D1004" s="33" t="s">
        <v>1786</v>
      </c>
      <c r="E1004" s="11">
        <f>Source!BZ329</f>
        <v>74</v>
      </c>
      <c r="F1004" s="53"/>
      <c r="G1004" s="35"/>
      <c r="H1004" s="34">
        <f>SUM(S999:S1006)</f>
        <v>12.18</v>
      </c>
      <c r="I1004" s="38"/>
      <c r="J1004" s="31">
        <f>Source!AT329</f>
        <v>74</v>
      </c>
      <c r="K1004" s="34">
        <f>SUM(T999:T1006)</f>
        <v>86.82</v>
      </c>
      <c r="L1004" s="36"/>
    </row>
    <row r="1005" spans="1:26" ht="14.25" x14ac:dyDescent="0.2">
      <c r="A1005" s="49"/>
      <c r="B1005" s="50"/>
      <c r="C1005" s="50" t="s">
        <v>1787</v>
      </c>
      <c r="D1005" s="33" t="s">
        <v>1786</v>
      </c>
      <c r="E1005" s="11">
        <f>Source!CA329</f>
        <v>50</v>
      </c>
      <c r="F1005" s="53"/>
      <c r="G1005" s="35"/>
      <c r="H1005" s="34">
        <f>SUM(U999:U1006)</f>
        <v>8.23</v>
      </c>
      <c r="I1005" s="38"/>
      <c r="J1005" s="31">
        <f>Source!AU329</f>
        <v>50</v>
      </c>
      <c r="K1005" s="34">
        <f>SUM(V999:V1006)</f>
        <v>58.66</v>
      </c>
      <c r="L1005" s="36"/>
    </row>
    <row r="1006" spans="1:26" ht="14.25" x14ac:dyDescent="0.2">
      <c r="A1006" s="51"/>
      <c r="B1006" s="52"/>
      <c r="C1006" s="52" t="s">
        <v>1788</v>
      </c>
      <c r="D1006" s="39" t="s">
        <v>1789</v>
      </c>
      <c r="E1006" s="40">
        <f>Source!AQ329</f>
        <v>63.84</v>
      </c>
      <c r="F1006" s="41"/>
      <c r="G1006" s="42" t="str">
        <f>Source!DI329</f>
        <v/>
      </c>
      <c r="H1006" s="41"/>
      <c r="I1006" s="42"/>
      <c r="J1006" s="42"/>
      <c r="K1006" s="41"/>
      <c r="L1006" s="43">
        <f>Source!U329</f>
        <v>1.9152</v>
      </c>
    </row>
    <row r="1007" spans="1:26" ht="15" x14ac:dyDescent="0.25">
      <c r="G1007" s="87">
        <f>H1001+H1002+H1004+H1005</f>
        <v>37.019999999999996</v>
      </c>
      <c r="H1007" s="87"/>
      <c r="J1007" s="87">
        <f>K1001+K1002+K1004+K1005</f>
        <v>263.89999999999998</v>
      </c>
      <c r="K1007" s="87"/>
      <c r="L1007" s="44">
        <f>Source!U329</f>
        <v>1.9152</v>
      </c>
      <c r="O1007" s="27">
        <f>G1007</f>
        <v>37.019999999999996</v>
      </c>
      <c r="P1007" s="27">
        <f>J1007</f>
        <v>263.89999999999998</v>
      </c>
      <c r="Q1007" s="27">
        <f>L1007</f>
        <v>1.9152</v>
      </c>
      <c r="W1007">
        <f>IF(Source!BI329&lt;=1,H1001+H1002+H1004+H1005, 0)</f>
        <v>37.019999999999996</v>
      </c>
      <c r="X1007">
        <f>IF(Source!BI329=2,H1001+H1002+H1004+H1005, 0)</f>
        <v>0</v>
      </c>
      <c r="Y1007">
        <f>IF(Source!BI329=3,H1001+H1002+H1004+H1005, 0)</f>
        <v>0</v>
      </c>
      <c r="Z1007">
        <f>IF(Source!BI329=4,H1001+H1002+H1004+H1005, 0)</f>
        <v>0</v>
      </c>
    </row>
    <row r="1008" spans="1:26" ht="28.5" x14ac:dyDescent="0.2">
      <c r="A1008" s="49" t="str">
        <f>Source!E330</f>
        <v>100</v>
      </c>
      <c r="B1008" s="50" t="str">
        <f>Source!F330</f>
        <v>65-4-10</v>
      </c>
      <c r="C1008" s="50" t="str">
        <f>Source!G330</f>
        <v>Демонтаж смывных бачков фаянсовых на унитазе</v>
      </c>
      <c r="D1008" s="33" t="str">
        <f>Source!H330</f>
        <v>100 ШТ</v>
      </c>
      <c r="E1008" s="11">
        <f>Source!I330</f>
        <v>0.03</v>
      </c>
      <c r="F1008" s="34">
        <f>Source!AL330+Source!AM330+Source!AO330</f>
        <v>326.13</v>
      </c>
      <c r="G1008" s="35"/>
      <c r="H1008" s="34"/>
      <c r="I1008" s="35" t="str">
        <f>Source!BO330</f>
        <v/>
      </c>
      <c r="J1008" s="35"/>
      <c r="K1008" s="34"/>
      <c r="L1008" s="36"/>
      <c r="S1008">
        <f>ROUND((Source!FX330/100)*((ROUND(Source!AF330*Source!I330, 2)+ROUND(Source!AE330*Source!I330, 2))), 2)</f>
        <v>7.14</v>
      </c>
      <c r="T1008">
        <f>Source!X330</f>
        <v>50.89</v>
      </c>
      <c r="U1008">
        <f>ROUND((Source!FY330/100)*((ROUND(Source!AF330*Source!I330, 2)+ROUND(Source!AE330*Source!I330, 2))), 2)</f>
        <v>4.83</v>
      </c>
      <c r="V1008">
        <f>Source!Y330</f>
        <v>34.39</v>
      </c>
    </row>
    <row r="1009" spans="1:26" x14ac:dyDescent="0.2">
      <c r="C1009" s="26" t="str">
        <f>"Объем: "&amp;Source!I330&amp;"=3/"&amp;"100"</f>
        <v>Объем: 0,03=3/100</v>
      </c>
    </row>
    <row r="1010" spans="1:26" ht="14.25" x14ac:dyDescent="0.2">
      <c r="A1010" s="49"/>
      <c r="B1010" s="50"/>
      <c r="C1010" s="50" t="s">
        <v>1783</v>
      </c>
      <c r="D1010" s="33"/>
      <c r="E1010" s="11"/>
      <c r="F1010" s="34">
        <f>Source!AO330</f>
        <v>318</v>
      </c>
      <c r="G1010" s="35" t="str">
        <f>Source!DG330</f>
        <v/>
      </c>
      <c r="H1010" s="34">
        <f>ROUND(Source!AF330*Source!I330, 2)</f>
        <v>9.5399999999999991</v>
      </c>
      <c r="I1010" s="35"/>
      <c r="J1010" s="35">
        <f>IF(Source!BA330&lt;&gt; 0, Source!BA330, 1)</f>
        <v>7.13</v>
      </c>
      <c r="K1010" s="34">
        <f>Source!S330</f>
        <v>68.02</v>
      </c>
      <c r="L1010" s="36"/>
      <c r="R1010">
        <f>H1010</f>
        <v>9.5399999999999991</v>
      </c>
    </row>
    <row r="1011" spans="1:26" ht="14.25" x14ac:dyDescent="0.2">
      <c r="A1011" s="49"/>
      <c r="B1011" s="50"/>
      <c r="C1011" s="50" t="s">
        <v>449</v>
      </c>
      <c r="D1011" s="33"/>
      <c r="E1011" s="11"/>
      <c r="F1011" s="34">
        <f>Source!AM330</f>
        <v>8.1300000000000008</v>
      </c>
      <c r="G1011" s="35" t="str">
        <f>Source!DE330</f>
        <v/>
      </c>
      <c r="H1011" s="34">
        <f>ROUND(Source!AD330*Source!I330, 2)</f>
        <v>0.24</v>
      </c>
      <c r="I1011" s="35"/>
      <c r="J1011" s="35">
        <f>IF(Source!BB330&lt;&gt; 0, Source!BB330, 1)</f>
        <v>7.13</v>
      </c>
      <c r="K1011" s="34">
        <f>Source!Q330</f>
        <v>1.74</v>
      </c>
      <c r="L1011" s="36"/>
    </row>
    <row r="1012" spans="1:26" ht="14.25" x14ac:dyDescent="0.2">
      <c r="A1012" s="49"/>
      <c r="B1012" s="50"/>
      <c r="C1012" s="50" t="s">
        <v>1784</v>
      </c>
      <c r="D1012" s="33"/>
      <c r="E1012" s="11"/>
      <c r="F1012" s="34">
        <f>Source!AN330</f>
        <v>3.51</v>
      </c>
      <c r="G1012" s="35" t="str">
        <f>Source!DF330</f>
        <v/>
      </c>
      <c r="H1012" s="37">
        <f>ROUND(Source!AE330*Source!I330, 2)</f>
        <v>0.11</v>
      </c>
      <c r="I1012" s="35"/>
      <c r="J1012" s="35">
        <f>IF(Source!BS330&lt;&gt; 0, Source!BS330, 1)</f>
        <v>7.13</v>
      </c>
      <c r="K1012" s="37">
        <f>Source!R330</f>
        <v>0.75</v>
      </c>
      <c r="L1012" s="36"/>
      <c r="R1012">
        <f>H1012</f>
        <v>0.11</v>
      </c>
    </row>
    <row r="1013" spans="1:26" ht="14.25" x14ac:dyDescent="0.2">
      <c r="A1013" s="49"/>
      <c r="B1013" s="50"/>
      <c r="C1013" s="50" t="s">
        <v>1785</v>
      </c>
      <c r="D1013" s="33" t="s">
        <v>1786</v>
      </c>
      <c r="E1013" s="11">
        <f>Source!BZ330</f>
        <v>74</v>
      </c>
      <c r="F1013" s="53"/>
      <c r="G1013" s="35"/>
      <c r="H1013" s="34">
        <f>SUM(S1008:S1015)</f>
        <v>7.14</v>
      </c>
      <c r="I1013" s="38"/>
      <c r="J1013" s="31">
        <f>Source!AT330</f>
        <v>74</v>
      </c>
      <c r="K1013" s="34">
        <f>SUM(T1008:T1015)</f>
        <v>50.89</v>
      </c>
      <c r="L1013" s="36"/>
    </row>
    <row r="1014" spans="1:26" ht="14.25" x14ac:dyDescent="0.2">
      <c r="A1014" s="49"/>
      <c r="B1014" s="50"/>
      <c r="C1014" s="50" t="s">
        <v>1787</v>
      </c>
      <c r="D1014" s="33" t="s">
        <v>1786</v>
      </c>
      <c r="E1014" s="11">
        <f>Source!CA330</f>
        <v>50</v>
      </c>
      <c r="F1014" s="53"/>
      <c r="G1014" s="35"/>
      <c r="H1014" s="34">
        <f>SUM(U1008:U1015)</f>
        <v>4.83</v>
      </c>
      <c r="I1014" s="38"/>
      <c r="J1014" s="31">
        <f>Source!AU330</f>
        <v>50</v>
      </c>
      <c r="K1014" s="34">
        <f>SUM(V1008:V1015)</f>
        <v>34.39</v>
      </c>
      <c r="L1014" s="36"/>
    </row>
    <row r="1015" spans="1:26" ht="14.25" x14ac:dyDescent="0.2">
      <c r="A1015" s="51"/>
      <c r="B1015" s="52"/>
      <c r="C1015" s="52" t="s">
        <v>1788</v>
      </c>
      <c r="D1015" s="39" t="s">
        <v>1789</v>
      </c>
      <c r="E1015" s="40">
        <f>Source!AQ330</f>
        <v>37.28</v>
      </c>
      <c r="F1015" s="41"/>
      <c r="G1015" s="42" t="str">
        <f>Source!DI330</f>
        <v/>
      </c>
      <c r="H1015" s="41"/>
      <c r="I1015" s="42"/>
      <c r="J1015" s="42"/>
      <c r="K1015" s="41"/>
      <c r="L1015" s="43">
        <f>Source!U330</f>
        <v>1.1184000000000001</v>
      </c>
    </row>
    <row r="1016" spans="1:26" ht="15" x14ac:dyDescent="0.25">
      <c r="G1016" s="87">
        <f>H1010+H1011+H1013+H1014</f>
        <v>21.75</v>
      </c>
      <c r="H1016" s="87"/>
      <c r="J1016" s="87">
        <f>K1010+K1011+K1013+K1014</f>
        <v>155.04</v>
      </c>
      <c r="K1016" s="87"/>
      <c r="L1016" s="44">
        <f>Source!U330</f>
        <v>1.1184000000000001</v>
      </c>
      <c r="O1016" s="27">
        <f>G1016</f>
        <v>21.75</v>
      </c>
      <c r="P1016" s="27">
        <f>J1016</f>
        <v>155.04</v>
      </c>
      <c r="Q1016" s="27">
        <f>L1016</f>
        <v>1.1184000000000001</v>
      </c>
      <c r="W1016">
        <f>IF(Source!BI330&lt;=1,H1010+H1011+H1013+H1014, 0)</f>
        <v>21.75</v>
      </c>
      <c r="X1016">
        <f>IF(Source!BI330=2,H1010+H1011+H1013+H1014, 0)</f>
        <v>0</v>
      </c>
      <c r="Y1016">
        <f>IF(Source!BI330=3,H1010+H1011+H1013+H1014, 0)</f>
        <v>0</v>
      </c>
      <c r="Z1016">
        <f>IF(Source!BI330=4,H1010+H1011+H1013+H1014, 0)</f>
        <v>0</v>
      </c>
    </row>
    <row r="1017" spans="1:26" ht="42.75" x14ac:dyDescent="0.2">
      <c r="A1017" s="49" t="str">
        <f>Source!E331</f>
        <v>101</v>
      </c>
      <c r="B1017" s="50" t="str">
        <f>Source!F331</f>
        <v>16-04-001-01</v>
      </c>
      <c r="C1017" s="50" t="str">
        <f>Source!G331</f>
        <v>Прокладка трубопроводов канализации из полиэтиленовых труб высокой плотности диаметром 50 мм</v>
      </c>
      <c r="D1017" s="33" t="str">
        <f>Source!H331</f>
        <v>100 м</v>
      </c>
      <c r="E1017" s="11">
        <f>Source!I331</f>
        <v>0.222</v>
      </c>
      <c r="F1017" s="34">
        <f>Source!AL331+Source!AM331+Source!AO331</f>
        <v>695.27</v>
      </c>
      <c r="G1017" s="35"/>
      <c r="H1017" s="34"/>
      <c r="I1017" s="35" t="str">
        <f>Source!BO331</f>
        <v/>
      </c>
      <c r="J1017" s="35"/>
      <c r="K1017" s="34"/>
      <c r="L1017" s="36"/>
      <c r="S1017">
        <f>ROUND((Source!FX331/100)*((ROUND(Source!AF331*Source!I331, 2)+ROUND(Source!AE331*Source!I331, 2))), 2)</f>
        <v>187.55</v>
      </c>
      <c r="T1017">
        <f>Source!X331</f>
        <v>1334.91</v>
      </c>
      <c r="U1017">
        <f>ROUND((Source!FY331/100)*((ROUND(Source!AF331*Source!I331, 2)+ROUND(Source!AE331*Source!I331, 2))), 2)</f>
        <v>114.86</v>
      </c>
      <c r="V1017">
        <f>Source!Y331</f>
        <v>824.16</v>
      </c>
    </row>
    <row r="1018" spans="1:26" x14ac:dyDescent="0.2">
      <c r="C1018" s="26" t="str">
        <f>"Объем: "&amp;Source!I331&amp;"=22,2/"&amp;"100"</f>
        <v>Объем: 0,222=22,2/100</v>
      </c>
    </row>
    <row r="1019" spans="1:26" ht="14.25" x14ac:dyDescent="0.2">
      <c r="A1019" s="49"/>
      <c r="B1019" s="50"/>
      <c r="C1019" s="50" t="s">
        <v>1783</v>
      </c>
      <c r="D1019" s="33"/>
      <c r="E1019" s="11"/>
      <c r="F1019" s="34">
        <f>Source!AO331</f>
        <v>637.26</v>
      </c>
      <c r="G1019" s="35" t="str">
        <f>Source!DG331</f>
        <v>)*1,15</v>
      </c>
      <c r="H1019" s="34">
        <f>ROUND(Source!AF331*Source!I331, 2)</f>
        <v>162.69</v>
      </c>
      <c r="I1019" s="35"/>
      <c r="J1019" s="35">
        <f>IF(Source!BA331&lt;&gt; 0, Source!BA331, 1)</f>
        <v>7.13</v>
      </c>
      <c r="K1019" s="34">
        <f>Source!S331</f>
        <v>1160</v>
      </c>
      <c r="L1019" s="36"/>
      <c r="R1019">
        <f>H1019</f>
        <v>162.69</v>
      </c>
    </row>
    <row r="1020" spans="1:26" ht="14.25" x14ac:dyDescent="0.2">
      <c r="A1020" s="49"/>
      <c r="B1020" s="50"/>
      <c r="C1020" s="50" t="s">
        <v>449</v>
      </c>
      <c r="D1020" s="33"/>
      <c r="E1020" s="11"/>
      <c r="F1020" s="34">
        <f>Source!AM331</f>
        <v>2.64</v>
      </c>
      <c r="G1020" s="35" t="str">
        <f>Source!DE331</f>
        <v>)*1,25</v>
      </c>
      <c r="H1020" s="34">
        <f>ROUND(Source!AD331*Source!I331, 2)</f>
        <v>0.73</v>
      </c>
      <c r="I1020" s="35"/>
      <c r="J1020" s="35">
        <f>IF(Source!BB331&lt;&gt; 0, Source!BB331, 1)</f>
        <v>7.13</v>
      </c>
      <c r="K1020" s="34">
        <f>Source!Q331</f>
        <v>5.22</v>
      </c>
      <c r="L1020" s="36"/>
    </row>
    <row r="1021" spans="1:26" ht="14.25" x14ac:dyDescent="0.2">
      <c r="A1021" s="49"/>
      <c r="B1021" s="50"/>
      <c r="C1021" s="50" t="s">
        <v>1784</v>
      </c>
      <c r="D1021" s="33"/>
      <c r="E1021" s="11"/>
      <c r="F1021" s="34">
        <f>Source!AN331</f>
        <v>0.4</v>
      </c>
      <c r="G1021" s="35" t="str">
        <f>Source!DF331</f>
        <v>)*1,25</v>
      </c>
      <c r="H1021" s="37">
        <f>ROUND(Source!AE331*Source!I331, 2)</f>
        <v>0.11</v>
      </c>
      <c r="I1021" s="35"/>
      <c r="J1021" s="35">
        <f>IF(Source!BS331&lt;&gt; 0, Source!BS331, 1)</f>
        <v>7.13</v>
      </c>
      <c r="K1021" s="37">
        <f>Source!R331</f>
        <v>0.79</v>
      </c>
      <c r="L1021" s="36"/>
      <c r="R1021">
        <f>H1021</f>
        <v>0.11</v>
      </c>
    </row>
    <row r="1022" spans="1:26" ht="14.25" x14ac:dyDescent="0.2">
      <c r="A1022" s="49"/>
      <c r="B1022" s="50"/>
      <c r="C1022" s="50" t="s">
        <v>1790</v>
      </c>
      <c r="D1022" s="33"/>
      <c r="E1022" s="11"/>
      <c r="F1022" s="34">
        <f>Source!AL331</f>
        <v>55.37</v>
      </c>
      <c r="G1022" s="35" t="str">
        <f>Source!DD331</f>
        <v/>
      </c>
      <c r="H1022" s="34">
        <f>ROUND(Source!AC331*Source!I331, 2)</f>
        <v>12.29</v>
      </c>
      <c r="I1022" s="35"/>
      <c r="J1022" s="35">
        <f>IF(Source!BC331&lt;&gt; 0, Source!BC331, 1)</f>
        <v>7.13</v>
      </c>
      <c r="K1022" s="34">
        <f>Source!P331</f>
        <v>87.64</v>
      </c>
      <c r="L1022" s="36"/>
    </row>
    <row r="1023" spans="1:26" ht="14.25" x14ac:dyDescent="0.2">
      <c r="A1023" s="49"/>
      <c r="B1023" s="50"/>
      <c r="C1023" s="50" t="s">
        <v>1785</v>
      </c>
      <c r="D1023" s="33" t="s">
        <v>1786</v>
      </c>
      <c r="E1023" s="11">
        <f>Source!BZ331</f>
        <v>128</v>
      </c>
      <c r="F1023" s="81" t="str">
        <f>CONCATENATE(" )", Source!DL331, Source!FT331, "=", Source!FX331)</f>
        <v xml:space="preserve"> )*0,9=115,2</v>
      </c>
      <c r="G1023" s="88"/>
      <c r="H1023" s="34">
        <f>SUM(S1017:S1029)</f>
        <v>187.55</v>
      </c>
      <c r="I1023" s="38"/>
      <c r="J1023" s="31">
        <f>Source!AT331</f>
        <v>115</v>
      </c>
      <c r="K1023" s="34">
        <f>SUM(T1017:T1029)</f>
        <v>1334.91</v>
      </c>
      <c r="L1023" s="36"/>
    </row>
    <row r="1024" spans="1:26" ht="14.25" x14ac:dyDescent="0.2">
      <c r="A1024" s="49"/>
      <c r="B1024" s="50"/>
      <c r="C1024" s="50" t="s">
        <v>1787</v>
      </c>
      <c r="D1024" s="33" t="s">
        <v>1786</v>
      </c>
      <c r="E1024" s="11">
        <f>Source!CA331</f>
        <v>83</v>
      </c>
      <c r="F1024" s="81" t="str">
        <f>CONCATENATE(" )", Source!DM331, Source!FU331, "=", Source!FY331)</f>
        <v xml:space="preserve"> )*0,85=70,55</v>
      </c>
      <c r="G1024" s="88"/>
      <c r="H1024" s="34">
        <f>SUM(U1017:U1029)</f>
        <v>114.86</v>
      </c>
      <c r="I1024" s="38"/>
      <c r="J1024" s="31">
        <f>Source!AU331</f>
        <v>71</v>
      </c>
      <c r="K1024" s="34">
        <f>SUM(V1017:V1029)</f>
        <v>824.16</v>
      </c>
      <c r="L1024" s="36"/>
    </row>
    <row r="1025" spans="1:26" ht="14.25" x14ac:dyDescent="0.2">
      <c r="A1025" s="49"/>
      <c r="B1025" s="50"/>
      <c r="C1025" s="50" t="s">
        <v>1788</v>
      </c>
      <c r="D1025" s="33" t="s">
        <v>1789</v>
      </c>
      <c r="E1025" s="11">
        <f>Source!AQ331</f>
        <v>64.239999999999995</v>
      </c>
      <c r="F1025" s="34"/>
      <c r="G1025" s="35" t="str">
        <f>Source!DI331</f>
        <v>)*1,15</v>
      </c>
      <c r="H1025" s="34"/>
      <c r="I1025" s="35"/>
      <c r="J1025" s="35"/>
      <c r="K1025" s="34"/>
      <c r="L1025" s="45">
        <f>Source!U331</f>
        <v>16.400471999999997</v>
      </c>
    </row>
    <row r="1026" spans="1:26" ht="57" x14ac:dyDescent="0.2">
      <c r="A1026" s="49" t="str">
        <f>Source!E332</f>
        <v>101,1</v>
      </c>
      <c r="B1026" s="50" t="str">
        <f>Source!F332</f>
        <v>24.1.02.01-0111</v>
      </c>
      <c r="C1026" s="50" t="str">
        <f>Source!G332</f>
        <v>Хомуты для крепления канализационных и водосточных пластмассовых трубопроводов, диаметром 50 мм</v>
      </c>
      <c r="D1026" s="33" t="str">
        <f>Source!H332</f>
        <v>т</v>
      </c>
      <c r="E1026" s="11">
        <f>Source!I332</f>
        <v>7.1610000000000007E-3</v>
      </c>
      <c r="F1026" s="34">
        <f>Source!AL332+Source!AM332+Source!AO332</f>
        <v>26729.37</v>
      </c>
      <c r="G1026" s="48" t="s">
        <v>6</v>
      </c>
      <c r="H1026" s="34">
        <f>ROUND(Source!AC332*Source!I332, 2)+ROUND(Source!AD332*Source!I332, 2)+ROUND(Source!AF332*Source!I332, 2)</f>
        <v>191.41</v>
      </c>
      <c r="I1026" s="35"/>
      <c r="J1026" s="35">
        <f>IF(Source!BC332&lt;&gt; 0, Source!BC332, 1)</f>
        <v>7.13</v>
      </c>
      <c r="K1026" s="34">
        <f>Source!O332</f>
        <v>1364.75</v>
      </c>
      <c r="L1026" s="36"/>
      <c r="S1026">
        <f>ROUND((Source!FX332/100)*((ROUND(Source!AF332*Source!I332, 2)+ROUND(Source!AE332*Source!I332, 2))), 2)</f>
        <v>0</v>
      </c>
      <c r="T1026">
        <f>Source!X332</f>
        <v>0</v>
      </c>
      <c r="U1026">
        <f>ROUND((Source!FY332/100)*((ROUND(Source!AF332*Source!I332, 2)+ROUND(Source!AE332*Source!I332, 2))), 2)</f>
        <v>0</v>
      </c>
      <c r="V1026">
        <f>Source!Y332</f>
        <v>0</v>
      </c>
      <c r="W1026">
        <f>IF(Source!BI332&lt;=1,H1026, 0)</f>
        <v>191.41</v>
      </c>
      <c r="X1026">
        <f>IF(Source!BI332=2,H1026, 0)</f>
        <v>0</v>
      </c>
      <c r="Y1026">
        <f>IF(Source!BI332=3,H1026, 0)</f>
        <v>0</v>
      </c>
      <c r="Z1026">
        <f>IF(Source!BI332=4,H1026, 0)</f>
        <v>0</v>
      </c>
    </row>
    <row r="1027" spans="1:26" ht="28.5" x14ac:dyDescent="0.2">
      <c r="A1027" s="49" t="str">
        <f>Source!E333</f>
        <v>101,2</v>
      </c>
      <c r="B1027" s="50" t="str">
        <f>Source!F333</f>
        <v>24.3.02.02-0003</v>
      </c>
      <c r="C1027" s="50" t="str">
        <f>Source!G333</f>
        <v>Трубы безнапорные канализационные из полипропилена, диаметром 50 мм</v>
      </c>
      <c r="D1027" s="33" t="str">
        <f>Source!H333</f>
        <v>м</v>
      </c>
      <c r="E1027" s="11">
        <f>Source!I333</f>
        <v>22.2</v>
      </c>
      <c r="F1027" s="34">
        <f>Source!AL333+Source!AM333+Source!AO333</f>
        <v>10.38</v>
      </c>
      <c r="G1027" s="48" t="s">
        <v>6</v>
      </c>
      <c r="H1027" s="34">
        <f>ROUND(Source!AC333*Source!I333, 2)+ROUND(Source!AD333*Source!I333, 2)+ROUND(Source!AF333*Source!I333, 2)</f>
        <v>230.44</v>
      </c>
      <c r="I1027" s="35"/>
      <c r="J1027" s="35">
        <f>IF(Source!BC333&lt;&gt; 0, Source!BC333, 1)</f>
        <v>7.13</v>
      </c>
      <c r="K1027" s="34">
        <f>Source!O333</f>
        <v>1643.01</v>
      </c>
      <c r="L1027" s="36"/>
      <c r="S1027">
        <f>ROUND((Source!FX333/100)*((ROUND(Source!AF333*Source!I333, 2)+ROUND(Source!AE333*Source!I333, 2))), 2)</f>
        <v>0</v>
      </c>
      <c r="T1027">
        <f>Source!X333</f>
        <v>0</v>
      </c>
      <c r="U1027">
        <f>ROUND((Source!FY333/100)*((ROUND(Source!AF333*Source!I333, 2)+ROUND(Source!AE333*Source!I333, 2))), 2)</f>
        <v>0</v>
      </c>
      <c r="V1027">
        <f>Source!Y333</f>
        <v>0</v>
      </c>
      <c r="W1027">
        <f>IF(Source!BI333&lt;=1,H1027, 0)</f>
        <v>230.44</v>
      </c>
      <c r="X1027">
        <f>IF(Source!BI333=2,H1027, 0)</f>
        <v>0</v>
      </c>
      <c r="Y1027">
        <f>IF(Source!BI333=3,H1027, 0)</f>
        <v>0</v>
      </c>
      <c r="Z1027">
        <f>IF(Source!BI333=4,H1027, 0)</f>
        <v>0</v>
      </c>
    </row>
    <row r="1028" spans="1:26" ht="28.5" x14ac:dyDescent="0.2">
      <c r="A1028" s="49" t="str">
        <f>Source!E334</f>
        <v>101,3</v>
      </c>
      <c r="B1028" s="50" t="str">
        <f>Source!F334</f>
        <v>24.3.05.12-0002</v>
      </c>
      <c r="C1028" s="50" t="str">
        <f>Source!G334</f>
        <v>Ревизия полиэтиленовая с крышкой размером 50 мм</v>
      </c>
      <c r="D1028" s="33" t="str">
        <f>Source!H334</f>
        <v>шт.</v>
      </c>
      <c r="E1028" s="11">
        <f>Source!I334</f>
        <v>7</v>
      </c>
      <c r="F1028" s="34">
        <f>Source!AL334+Source!AM334+Source!AO334</f>
        <v>6.78</v>
      </c>
      <c r="G1028" s="48" t="s">
        <v>6</v>
      </c>
      <c r="H1028" s="34">
        <f>ROUND(Source!AC334*Source!I334, 2)+ROUND(Source!AD334*Source!I334, 2)+ROUND(Source!AF334*Source!I334, 2)</f>
        <v>47.46</v>
      </c>
      <c r="I1028" s="35"/>
      <c r="J1028" s="35">
        <f>IF(Source!BC334&lt;&gt; 0, Source!BC334, 1)</f>
        <v>7.13</v>
      </c>
      <c r="K1028" s="34">
        <f>Source!O334</f>
        <v>338.39</v>
      </c>
      <c r="L1028" s="36"/>
      <c r="S1028">
        <f>ROUND((Source!FX334/100)*((ROUND(Source!AF334*Source!I334, 2)+ROUND(Source!AE334*Source!I334, 2))), 2)</f>
        <v>0</v>
      </c>
      <c r="T1028">
        <f>Source!X334</f>
        <v>0</v>
      </c>
      <c r="U1028">
        <f>ROUND((Source!FY334/100)*((ROUND(Source!AF334*Source!I334, 2)+ROUND(Source!AE334*Source!I334, 2))), 2)</f>
        <v>0</v>
      </c>
      <c r="V1028">
        <f>Source!Y334</f>
        <v>0</v>
      </c>
      <c r="W1028">
        <f>IF(Source!BI334&lt;=1,H1028, 0)</f>
        <v>47.46</v>
      </c>
      <c r="X1028">
        <f>IF(Source!BI334=2,H1028, 0)</f>
        <v>0</v>
      </c>
      <c r="Y1028">
        <f>IF(Source!BI334=3,H1028, 0)</f>
        <v>0</v>
      </c>
      <c r="Z1028">
        <f>IF(Source!BI334=4,H1028, 0)</f>
        <v>0</v>
      </c>
    </row>
    <row r="1029" spans="1:26" ht="57" x14ac:dyDescent="0.2">
      <c r="A1029" s="51" t="str">
        <f>Source!E335</f>
        <v>101,4</v>
      </c>
      <c r="B1029" s="52" t="str">
        <f>Source!F335</f>
        <v>24.3.03.02</v>
      </c>
      <c r="C1029" s="52" t="str">
        <f>Source!G335</f>
        <v>Трубопроводы канализации из полиэтиленовых труб высокой плотности с гильзами, диаметром 50 мм</v>
      </c>
      <c r="D1029" s="39" t="str">
        <f>Source!H335</f>
        <v>м</v>
      </c>
      <c r="E1029" s="40">
        <f>Source!I335</f>
        <v>22.2</v>
      </c>
      <c r="F1029" s="41">
        <f>Source!AL335+Source!AM335+Source!AO335</f>
        <v>0</v>
      </c>
      <c r="G1029" s="46" t="s">
        <v>6</v>
      </c>
      <c r="H1029" s="41">
        <f>ROUND(Source!AC335*Source!I335, 2)+ROUND(Source!AD335*Source!I335, 2)+ROUND(Source!AF335*Source!I335, 2)</f>
        <v>0</v>
      </c>
      <c r="I1029" s="42"/>
      <c r="J1029" s="42">
        <f>IF(Source!BC335&lt;&gt; 0, Source!BC335, 1)</f>
        <v>7.13</v>
      </c>
      <c r="K1029" s="41">
        <f>Source!O335</f>
        <v>0</v>
      </c>
      <c r="L1029" s="47"/>
      <c r="S1029">
        <f>ROUND((Source!FX335/100)*((ROUND(Source!AF335*Source!I335, 2)+ROUND(Source!AE335*Source!I335, 2))), 2)</f>
        <v>0</v>
      </c>
      <c r="T1029">
        <f>Source!X335</f>
        <v>0</v>
      </c>
      <c r="U1029">
        <f>ROUND((Source!FY335/100)*((ROUND(Source!AF335*Source!I335, 2)+ROUND(Source!AE335*Source!I335, 2))), 2)</f>
        <v>0</v>
      </c>
      <c r="V1029">
        <f>Source!Y335</f>
        <v>0</v>
      </c>
      <c r="W1029">
        <f>IF(Source!BI335&lt;=1,H1029, 0)</f>
        <v>0</v>
      </c>
      <c r="X1029">
        <f>IF(Source!BI335=2,H1029, 0)</f>
        <v>0</v>
      </c>
      <c r="Y1029">
        <f>IF(Source!BI335=3,H1029, 0)</f>
        <v>0</v>
      </c>
      <c r="Z1029">
        <f>IF(Source!BI335=4,H1029, 0)</f>
        <v>0</v>
      </c>
    </row>
    <row r="1030" spans="1:26" ht="15" x14ac:dyDescent="0.25">
      <c r="G1030" s="87">
        <f>H1019+H1020+H1022+H1023+H1024+SUM(H1026:H1029)</f>
        <v>947.43000000000006</v>
      </c>
      <c r="H1030" s="87"/>
      <c r="J1030" s="87">
        <f>K1019+K1020+K1022+K1023+K1024+SUM(K1026:K1029)</f>
        <v>6758.08</v>
      </c>
      <c r="K1030" s="87"/>
      <c r="L1030" s="44">
        <f>Source!U331</f>
        <v>16.400471999999997</v>
      </c>
      <c r="O1030" s="27">
        <f>G1030</f>
        <v>947.43000000000006</v>
      </c>
      <c r="P1030" s="27">
        <f>J1030</f>
        <v>6758.08</v>
      </c>
      <c r="Q1030" s="27">
        <f>L1030</f>
        <v>16.400471999999997</v>
      </c>
      <c r="W1030">
        <f>IF(Source!BI331&lt;=1,H1019+H1020+H1022+H1023+H1024, 0)</f>
        <v>478.12</v>
      </c>
      <c r="X1030">
        <f>IF(Source!BI331=2,H1019+H1020+H1022+H1023+H1024, 0)</f>
        <v>0</v>
      </c>
      <c r="Y1030">
        <f>IF(Source!BI331=3,H1019+H1020+H1022+H1023+H1024, 0)</f>
        <v>0</v>
      </c>
      <c r="Z1030">
        <f>IF(Source!BI331=4,H1019+H1020+H1022+H1023+H1024, 0)</f>
        <v>0</v>
      </c>
    </row>
    <row r="1031" spans="1:26" ht="42.75" x14ac:dyDescent="0.2">
      <c r="A1031" s="49" t="str">
        <f>Source!E336</f>
        <v>102</v>
      </c>
      <c r="B1031" s="50" t="str">
        <f>Source!F336</f>
        <v>16-04-001-02</v>
      </c>
      <c r="C1031" s="50" t="str">
        <f>Source!G336</f>
        <v>Прокладка трубопроводов канализации из полиэтиленовых труб высокой плотности диаметром 110 мм</v>
      </c>
      <c r="D1031" s="33" t="str">
        <f>Source!H336</f>
        <v>100 м</v>
      </c>
      <c r="E1031" s="11">
        <f>Source!I336</f>
        <v>9.7000000000000003E-2</v>
      </c>
      <c r="F1031" s="34">
        <f>Source!AL336+Source!AM336+Source!AO336</f>
        <v>758.13</v>
      </c>
      <c r="G1031" s="35"/>
      <c r="H1031" s="34"/>
      <c r="I1031" s="35" t="str">
        <f>Source!BO336</f>
        <v/>
      </c>
      <c r="J1031" s="35"/>
      <c r="K1031" s="34"/>
      <c r="L1031" s="36"/>
      <c r="S1031">
        <f>ROUND((Source!FX336/100)*((ROUND(Source!AF336*Source!I336, 2)+ROUND(Source!AE336*Source!I336, 2))), 2)</f>
        <v>78.650000000000006</v>
      </c>
      <c r="T1031">
        <f>Source!X336</f>
        <v>559.83000000000004</v>
      </c>
      <c r="U1031">
        <f>ROUND((Source!FY336/100)*((ROUND(Source!AF336*Source!I336, 2)+ROUND(Source!AE336*Source!I336, 2))), 2)</f>
        <v>48.16</v>
      </c>
      <c r="V1031">
        <f>Source!Y336</f>
        <v>345.64</v>
      </c>
    </row>
    <row r="1032" spans="1:26" x14ac:dyDescent="0.2">
      <c r="C1032" s="26" t="str">
        <f>"Объем: "&amp;Source!I336&amp;"=9,7/"&amp;"100"</f>
        <v>Объем: 0,097=9,7/100</v>
      </c>
    </row>
    <row r="1033" spans="1:26" ht="14.25" x14ac:dyDescent="0.2">
      <c r="A1033" s="49"/>
      <c r="B1033" s="50"/>
      <c r="C1033" s="50" t="s">
        <v>1783</v>
      </c>
      <c r="D1033" s="33"/>
      <c r="E1033" s="11"/>
      <c r="F1033" s="34">
        <f>Source!AO336</f>
        <v>611.07000000000005</v>
      </c>
      <c r="G1033" s="35" t="str">
        <f>Source!DG336</f>
        <v>)*1,15</v>
      </c>
      <c r="H1033" s="34">
        <f>ROUND(Source!AF336*Source!I336, 2)</f>
        <v>68.16</v>
      </c>
      <c r="I1033" s="35"/>
      <c r="J1033" s="35">
        <f>IF(Source!BA336&lt;&gt; 0, Source!BA336, 1)</f>
        <v>7.13</v>
      </c>
      <c r="K1033" s="34">
        <f>Source!S336</f>
        <v>486.02</v>
      </c>
      <c r="L1033" s="36"/>
      <c r="R1033">
        <f>H1033</f>
        <v>68.16</v>
      </c>
    </row>
    <row r="1034" spans="1:26" ht="14.25" x14ac:dyDescent="0.2">
      <c r="A1034" s="49"/>
      <c r="B1034" s="50"/>
      <c r="C1034" s="50" t="s">
        <v>449</v>
      </c>
      <c r="D1034" s="33"/>
      <c r="E1034" s="11"/>
      <c r="F1034" s="34">
        <f>Source!AM336</f>
        <v>6.14</v>
      </c>
      <c r="G1034" s="35" t="str">
        <f>Source!DE336</f>
        <v>)*1,25</v>
      </c>
      <c r="H1034" s="34">
        <f>ROUND(Source!AD336*Source!I336, 2)</f>
        <v>0.74</v>
      </c>
      <c r="I1034" s="35"/>
      <c r="J1034" s="35">
        <f>IF(Source!BB336&lt;&gt; 0, Source!BB336, 1)</f>
        <v>7.13</v>
      </c>
      <c r="K1034" s="34">
        <f>Source!Q336</f>
        <v>5.31</v>
      </c>
      <c r="L1034" s="36"/>
    </row>
    <row r="1035" spans="1:26" ht="14.25" x14ac:dyDescent="0.2">
      <c r="A1035" s="49"/>
      <c r="B1035" s="50"/>
      <c r="C1035" s="50" t="s">
        <v>1784</v>
      </c>
      <c r="D1035" s="33"/>
      <c r="E1035" s="11"/>
      <c r="F1035" s="34">
        <f>Source!AN336</f>
        <v>0.91</v>
      </c>
      <c r="G1035" s="35" t="str">
        <f>Source!DF336</f>
        <v>)*1,25</v>
      </c>
      <c r="H1035" s="37">
        <f>ROUND(Source!AE336*Source!I336, 2)</f>
        <v>0.11</v>
      </c>
      <c r="I1035" s="35"/>
      <c r="J1035" s="35">
        <f>IF(Source!BS336&lt;&gt; 0, Source!BS336, 1)</f>
        <v>7.13</v>
      </c>
      <c r="K1035" s="37">
        <f>Source!R336</f>
        <v>0.79</v>
      </c>
      <c r="L1035" s="36"/>
      <c r="R1035">
        <f>H1035</f>
        <v>0.11</v>
      </c>
    </row>
    <row r="1036" spans="1:26" ht="14.25" x14ac:dyDescent="0.2">
      <c r="A1036" s="49"/>
      <c r="B1036" s="50"/>
      <c r="C1036" s="50" t="s">
        <v>1790</v>
      </c>
      <c r="D1036" s="33"/>
      <c r="E1036" s="11"/>
      <c r="F1036" s="34">
        <f>Source!AL336</f>
        <v>140.91999999999999</v>
      </c>
      <c r="G1036" s="35" t="str">
        <f>Source!DD336</f>
        <v/>
      </c>
      <c r="H1036" s="34">
        <f>ROUND(Source!AC336*Source!I336, 2)</f>
        <v>13.67</v>
      </c>
      <c r="I1036" s="35"/>
      <c r="J1036" s="35">
        <f>IF(Source!BC336&lt;&gt; 0, Source!BC336, 1)</f>
        <v>7.13</v>
      </c>
      <c r="K1036" s="34">
        <f>Source!P336</f>
        <v>97.46</v>
      </c>
      <c r="L1036" s="36"/>
    </row>
    <row r="1037" spans="1:26" ht="14.25" x14ac:dyDescent="0.2">
      <c r="A1037" s="49"/>
      <c r="B1037" s="50"/>
      <c r="C1037" s="50" t="s">
        <v>1785</v>
      </c>
      <c r="D1037" s="33" t="s">
        <v>1786</v>
      </c>
      <c r="E1037" s="11">
        <f>Source!BZ336</f>
        <v>128</v>
      </c>
      <c r="F1037" s="81" t="str">
        <f>CONCATENATE(" )", Source!DL336, Source!FT336, "=", Source!FX336)</f>
        <v xml:space="preserve"> )*0,9=115,2</v>
      </c>
      <c r="G1037" s="88"/>
      <c r="H1037" s="34">
        <f>SUM(S1031:S1043)</f>
        <v>78.650000000000006</v>
      </c>
      <c r="I1037" s="38"/>
      <c r="J1037" s="31">
        <f>Source!AT336</f>
        <v>115</v>
      </c>
      <c r="K1037" s="34">
        <f>SUM(T1031:T1043)</f>
        <v>559.83000000000004</v>
      </c>
      <c r="L1037" s="36"/>
    </row>
    <row r="1038" spans="1:26" ht="14.25" x14ac:dyDescent="0.2">
      <c r="A1038" s="49"/>
      <c r="B1038" s="50"/>
      <c r="C1038" s="50" t="s">
        <v>1787</v>
      </c>
      <c r="D1038" s="33" t="s">
        <v>1786</v>
      </c>
      <c r="E1038" s="11">
        <f>Source!CA336</f>
        <v>83</v>
      </c>
      <c r="F1038" s="81" t="str">
        <f>CONCATENATE(" )", Source!DM336, Source!FU336, "=", Source!FY336)</f>
        <v xml:space="preserve"> )*0,85=70,55</v>
      </c>
      <c r="G1038" s="88"/>
      <c r="H1038" s="34">
        <f>SUM(U1031:U1043)</f>
        <v>48.16</v>
      </c>
      <c r="I1038" s="38"/>
      <c r="J1038" s="31">
        <f>Source!AU336</f>
        <v>71</v>
      </c>
      <c r="K1038" s="34">
        <f>SUM(V1031:V1043)</f>
        <v>345.64</v>
      </c>
      <c r="L1038" s="36"/>
    </row>
    <row r="1039" spans="1:26" ht="14.25" x14ac:dyDescent="0.2">
      <c r="A1039" s="49"/>
      <c r="B1039" s="50"/>
      <c r="C1039" s="50" t="s">
        <v>1788</v>
      </c>
      <c r="D1039" s="33" t="s">
        <v>1789</v>
      </c>
      <c r="E1039" s="11">
        <f>Source!AQ336</f>
        <v>61.6</v>
      </c>
      <c r="F1039" s="34"/>
      <c r="G1039" s="35" t="str">
        <f>Source!DI336</f>
        <v>)*1,15</v>
      </c>
      <c r="H1039" s="34"/>
      <c r="I1039" s="35"/>
      <c r="J1039" s="35"/>
      <c r="K1039" s="34"/>
      <c r="L1039" s="45">
        <f>Source!U336</f>
        <v>6.8714799999999991</v>
      </c>
    </row>
    <row r="1040" spans="1:26" ht="57" x14ac:dyDescent="0.2">
      <c r="A1040" s="49" t="str">
        <f>Source!E337</f>
        <v>102,1</v>
      </c>
      <c r="B1040" s="50" t="str">
        <f>Source!F337</f>
        <v>24.1.02.01-0112</v>
      </c>
      <c r="C1040" s="50" t="str">
        <f>Source!G337</f>
        <v>Хомуты для крепления канализационных и водосточных пластмассовых трубопроводов, диаметром 100 мм</v>
      </c>
      <c r="D1040" s="33" t="str">
        <f>Source!H337</f>
        <v>т</v>
      </c>
      <c r="E1040" s="11">
        <f>Source!I337</f>
        <v>5.9880000000000003E-3</v>
      </c>
      <c r="F1040" s="34">
        <f>Source!AL337+Source!AM337+Source!AO337</f>
        <v>37529.15</v>
      </c>
      <c r="G1040" s="48" t="s">
        <v>6</v>
      </c>
      <c r="H1040" s="34">
        <f>ROUND(Source!AC337*Source!I337, 2)+ROUND(Source!AD337*Source!I337, 2)+ROUND(Source!AF337*Source!I337, 2)</f>
        <v>224.72</v>
      </c>
      <c r="I1040" s="35"/>
      <c r="J1040" s="35">
        <f>IF(Source!BC337&lt;&gt; 0, Source!BC337, 1)</f>
        <v>7.13</v>
      </c>
      <c r="K1040" s="34">
        <f>Source!O337</f>
        <v>1602.29</v>
      </c>
      <c r="L1040" s="36"/>
      <c r="S1040">
        <f>ROUND((Source!FX337/100)*((ROUND(Source!AF337*Source!I337, 2)+ROUND(Source!AE337*Source!I337, 2))), 2)</f>
        <v>0</v>
      </c>
      <c r="T1040">
        <f>Source!X337</f>
        <v>0</v>
      </c>
      <c r="U1040">
        <f>ROUND((Source!FY337/100)*((ROUND(Source!AF337*Source!I337, 2)+ROUND(Source!AE337*Source!I337, 2))), 2)</f>
        <v>0</v>
      </c>
      <c r="V1040">
        <f>Source!Y337</f>
        <v>0</v>
      </c>
      <c r="W1040">
        <f>IF(Source!BI337&lt;=1,H1040, 0)</f>
        <v>224.72</v>
      </c>
      <c r="X1040">
        <f>IF(Source!BI337=2,H1040, 0)</f>
        <v>0</v>
      </c>
      <c r="Y1040">
        <f>IF(Source!BI337=3,H1040, 0)</f>
        <v>0</v>
      </c>
      <c r="Z1040">
        <f>IF(Source!BI337=4,H1040, 0)</f>
        <v>0</v>
      </c>
    </row>
    <row r="1041" spans="1:26" ht="28.5" x14ac:dyDescent="0.2">
      <c r="A1041" s="49" t="str">
        <f>Source!E338</f>
        <v>102,2</v>
      </c>
      <c r="B1041" s="50" t="str">
        <f>Source!F338</f>
        <v>24.3.02.02-0004</v>
      </c>
      <c r="C1041" s="50" t="str">
        <f>Source!G338</f>
        <v>Трубы безнапорные канализационные из полипропилена, диаметром 110 мм</v>
      </c>
      <c r="D1041" s="33" t="str">
        <f>Source!H338</f>
        <v>м</v>
      </c>
      <c r="E1041" s="11">
        <f>Source!I338</f>
        <v>9.6999999999999993</v>
      </c>
      <c r="F1041" s="34">
        <f>Source!AL338+Source!AM338+Source!AO338</f>
        <v>43.52</v>
      </c>
      <c r="G1041" s="48" t="s">
        <v>6</v>
      </c>
      <c r="H1041" s="34">
        <f>ROUND(Source!AC338*Source!I338, 2)+ROUND(Source!AD338*Source!I338, 2)+ROUND(Source!AF338*Source!I338, 2)</f>
        <v>422.14</v>
      </c>
      <c r="I1041" s="35"/>
      <c r="J1041" s="35">
        <f>IF(Source!BC338&lt;&gt; 0, Source!BC338, 1)</f>
        <v>7.13</v>
      </c>
      <c r="K1041" s="34">
        <f>Source!O338</f>
        <v>3009.89</v>
      </c>
      <c r="L1041" s="36"/>
      <c r="S1041">
        <f>ROUND((Source!FX338/100)*((ROUND(Source!AF338*Source!I338, 2)+ROUND(Source!AE338*Source!I338, 2))), 2)</f>
        <v>0</v>
      </c>
      <c r="T1041">
        <f>Source!X338</f>
        <v>0</v>
      </c>
      <c r="U1041">
        <f>ROUND((Source!FY338/100)*((ROUND(Source!AF338*Source!I338, 2)+ROUND(Source!AE338*Source!I338, 2))), 2)</f>
        <v>0</v>
      </c>
      <c r="V1041">
        <f>Source!Y338</f>
        <v>0</v>
      </c>
      <c r="W1041">
        <f>IF(Source!BI338&lt;=1,H1041, 0)</f>
        <v>422.14</v>
      </c>
      <c r="X1041">
        <f>IF(Source!BI338=2,H1041, 0)</f>
        <v>0</v>
      </c>
      <c r="Y1041">
        <f>IF(Source!BI338=3,H1041, 0)</f>
        <v>0</v>
      </c>
      <c r="Z1041">
        <f>IF(Source!BI338=4,H1041, 0)</f>
        <v>0</v>
      </c>
    </row>
    <row r="1042" spans="1:26" ht="28.5" x14ac:dyDescent="0.2">
      <c r="A1042" s="49" t="str">
        <f>Source!E339</f>
        <v>102,3</v>
      </c>
      <c r="B1042" s="50" t="str">
        <f>Source!F339</f>
        <v>24.3.05.12-0001</v>
      </c>
      <c r="C1042" s="50" t="str">
        <f>Source!G339</f>
        <v>Ревизия полипропиленовая с крышкой диаметром 100 мм</v>
      </c>
      <c r="D1042" s="33" t="str">
        <f>Source!H339</f>
        <v>шт.</v>
      </c>
      <c r="E1042" s="11">
        <f>Source!I339</f>
        <v>3</v>
      </c>
      <c r="F1042" s="34">
        <f>Source!AL339+Source!AM339+Source!AO339</f>
        <v>15.18</v>
      </c>
      <c r="G1042" s="48" t="s">
        <v>6</v>
      </c>
      <c r="H1042" s="34">
        <f>ROUND(Source!AC339*Source!I339, 2)+ROUND(Source!AD339*Source!I339, 2)+ROUND(Source!AF339*Source!I339, 2)</f>
        <v>45.54</v>
      </c>
      <c r="I1042" s="35"/>
      <c r="J1042" s="35">
        <f>IF(Source!BC339&lt;&gt; 0, Source!BC339, 1)</f>
        <v>7.13</v>
      </c>
      <c r="K1042" s="34">
        <f>Source!O339</f>
        <v>324.7</v>
      </c>
      <c r="L1042" s="36"/>
      <c r="S1042">
        <f>ROUND((Source!FX339/100)*((ROUND(Source!AF339*Source!I339, 2)+ROUND(Source!AE339*Source!I339, 2))), 2)</f>
        <v>0</v>
      </c>
      <c r="T1042">
        <f>Source!X339</f>
        <v>0</v>
      </c>
      <c r="U1042">
        <f>ROUND((Source!FY339/100)*((ROUND(Source!AF339*Source!I339, 2)+ROUND(Source!AE339*Source!I339, 2))), 2)</f>
        <v>0</v>
      </c>
      <c r="V1042">
        <f>Source!Y339</f>
        <v>0</v>
      </c>
      <c r="W1042">
        <f>IF(Source!BI339&lt;=1,H1042, 0)</f>
        <v>45.54</v>
      </c>
      <c r="X1042">
        <f>IF(Source!BI339=2,H1042, 0)</f>
        <v>0</v>
      </c>
      <c r="Y1042">
        <f>IF(Source!BI339=3,H1042, 0)</f>
        <v>0</v>
      </c>
      <c r="Z1042">
        <f>IF(Source!BI339=4,H1042, 0)</f>
        <v>0</v>
      </c>
    </row>
    <row r="1043" spans="1:26" ht="57" x14ac:dyDescent="0.2">
      <c r="A1043" s="51" t="str">
        <f>Source!E340</f>
        <v>102,4</v>
      </c>
      <c r="B1043" s="52" t="str">
        <f>Source!F340</f>
        <v>24.3.03.02</v>
      </c>
      <c r="C1043" s="52" t="str">
        <f>Source!G340</f>
        <v>Трубопроводы канализации из полиэтиленовых труб высокой плотности с гильзами, диаметром 110 мм</v>
      </c>
      <c r="D1043" s="39" t="str">
        <f>Source!H340</f>
        <v>м</v>
      </c>
      <c r="E1043" s="40">
        <f>Source!I340</f>
        <v>9.6999999999999993</v>
      </c>
      <c r="F1043" s="41">
        <f>Source!AL340+Source!AM340+Source!AO340</f>
        <v>0</v>
      </c>
      <c r="G1043" s="46" t="s">
        <v>6</v>
      </c>
      <c r="H1043" s="41">
        <f>ROUND(Source!AC340*Source!I340, 2)+ROUND(Source!AD340*Source!I340, 2)+ROUND(Source!AF340*Source!I340, 2)</f>
        <v>0</v>
      </c>
      <c r="I1043" s="42"/>
      <c r="J1043" s="42">
        <f>IF(Source!BC340&lt;&gt; 0, Source!BC340, 1)</f>
        <v>7.13</v>
      </c>
      <c r="K1043" s="41">
        <f>Source!O340</f>
        <v>0</v>
      </c>
      <c r="L1043" s="47"/>
      <c r="S1043">
        <f>ROUND((Source!FX340/100)*((ROUND(Source!AF340*Source!I340, 2)+ROUND(Source!AE340*Source!I340, 2))), 2)</f>
        <v>0</v>
      </c>
      <c r="T1043">
        <f>Source!X340</f>
        <v>0</v>
      </c>
      <c r="U1043">
        <f>ROUND((Source!FY340/100)*((ROUND(Source!AF340*Source!I340, 2)+ROUND(Source!AE340*Source!I340, 2))), 2)</f>
        <v>0</v>
      </c>
      <c r="V1043">
        <f>Source!Y340</f>
        <v>0</v>
      </c>
      <c r="W1043">
        <f>IF(Source!BI340&lt;=1,H1043, 0)</f>
        <v>0</v>
      </c>
      <c r="X1043">
        <f>IF(Source!BI340=2,H1043, 0)</f>
        <v>0</v>
      </c>
      <c r="Y1043">
        <f>IF(Source!BI340=3,H1043, 0)</f>
        <v>0</v>
      </c>
      <c r="Z1043">
        <f>IF(Source!BI340=4,H1043, 0)</f>
        <v>0</v>
      </c>
    </row>
    <row r="1044" spans="1:26" ht="15" x14ac:dyDescent="0.25">
      <c r="G1044" s="87">
        <f>H1033+H1034+H1036+H1037+H1038+SUM(H1040:H1043)</f>
        <v>901.78</v>
      </c>
      <c r="H1044" s="87"/>
      <c r="J1044" s="87">
        <f>K1033+K1034+K1036+K1037+K1038+SUM(K1040:K1043)</f>
        <v>6431.1399999999994</v>
      </c>
      <c r="K1044" s="87"/>
      <c r="L1044" s="44">
        <f>Source!U336</f>
        <v>6.8714799999999991</v>
      </c>
      <c r="O1044" s="27">
        <f>G1044</f>
        <v>901.78</v>
      </c>
      <c r="P1044" s="27">
        <f>J1044</f>
        <v>6431.1399999999994</v>
      </c>
      <c r="Q1044" s="27">
        <f>L1044</f>
        <v>6.8714799999999991</v>
      </c>
      <c r="W1044">
        <f>IF(Source!BI336&lt;=1,H1033+H1034+H1036+H1037+H1038, 0)</f>
        <v>209.38</v>
      </c>
      <c r="X1044">
        <f>IF(Source!BI336=2,H1033+H1034+H1036+H1037+H1038, 0)</f>
        <v>0</v>
      </c>
      <c r="Y1044">
        <f>IF(Source!BI336=3,H1033+H1034+H1036+H1037+H1038, 0)</f>
        <v>0</v>
      </c>
      <c r="Z1044">
        <f>IF(Source!BI336=4,H1033+H1034+H1036+H1037+H1038, 0)</f>
        <v>0</v>
      </c>
    </row>
    <row r="1045" spans="1:26" ht="28.5" x14ac:dyDescent="0.2">
      <c r="A1045" s="49" t="str">
        <f>Source!E341</f>
        <v>103</v>
      </c>
      <c r="B1045" s="50" t="str">
        <f>Source!F341</f>
        <v>17-01-001-18</v>
      </c>
      <c r="C1045" s="50" t="str">
        <f>Source!G341</f>
        <v>Установка поддонов душевых чугунных и стальных мелких</v>
      </c>
      <c r="D1045" s="33" t="str">
        <f>Source!H341</f>
        <v>10 компл</v>
      </c>
      <c r="E1045" s="11">
        <f>Source!I341</f>
        <v>0.2</v>
      </c>
      <c r="F1045" s="34">
        <f>Source!AL341+Source!AM341+Source!AO341</f>
        <v>234.61</v>
      </c>
      <c r="G1045" s="35"/>
      <c r="H1045" s="34"/>
      <c r="I1045" s="35" t="str">
        <f>Source!BO341</f>
        <v/>
      </c>
      <c r="J1045" s="35"/>
      <c r="K1045" s="34"/>
      <c r="L1045" s="36"/>
      <c r="S1045">
        <f>ROUND((Source!FX341/100)*((ROUND(Source!AF341*Source!I341, 2)+ROUND(Source!AE341*Source!I341, 2))), 2)</f>
        <v>30.72</v>
      </c>
      <c r="T1045">
        <f>Source!X341</f>
        <v>218.68</v>
      </c>
      <c r="U1045">
        <f>ROUND((Source!FY341/100)*((ROUND(Source!AF341*Source!I341, 2)+ROUND(Source!AE341*Source!I341, 2))), 2)</f>
        <v>18.82</v>
      </c>
      <c r="V1045">
        <f>Source!Y341</f>
        <v>135.01</v>
      </c>
    </row>
    <row r="1046" spans="1:26" x14ac:dyDescent="0.2">
      <c r="C1046" s="26" t="str">
        <f>"Объем: "&amp;Source!I341&amp;"=2/"&amp;"10"</f>
        <v>Объем: 0,2=2/10</v>
      </c>
    </row>
    <row r="1047" spans="1:26" ht="14.25" x14ac:dyDescent="0.2">
      <c r="A1047" s="49"/>
      <c r="B1047" s="50"/>
      <c r="C1047" s="50" t="s">
        <v>1783</v>
      </c>
      <c r="D1047" s="33"/>
      <c r="E1047" s="11"/>
      <c r="F1047" s="34">
        <f>Source!AO341</f>
        <v>104.76</v>
      </c>
      <c r="G1047" s="35" t="str">
        <f>Source!DG341</f>
        <v>)*1,15</v>
      </c>
      <c r="H1047" s="34">
        <f>ROUND(Source!AF341*Source!I341, 2)</f>
        <v>24.09</v>
      </c>
      <c r="I1047" s="35"/>
      <c r="J1047" s="35">
        <f>IF(Source!BA341&lt;&gt; 0, Source!BA341, 1)</f>
        <v>7.13</v>
      </c>
      <c r="K1047" s="34">
        <f>Source!S341</f>
        <v>171.79</v>
      </c>
      <c r="L1047" s="36"/>
      <c r="R1047">
        <f>H1047</f>
        <v>24.09</v>
      </c>
    </row>
    <row r="1048" spans="1:26" ht="14.25" x14ac:dyDescent="0.2">
      <c r="A1048" s="49"/>
      <c r="B1048" s="50"/>
      <c r="C1048" s="50" t="s">
        <v>449</v>
      </c>
      <c r="D1048" s="33"/>
      <c r="E1048" s="11"/>
      <c r="F1048" s="34">
        <f>Source!AM341</f>
        <v>47.93</v>
      </c>
      <c r="G1048" s="35" t="str">
        <f>Source!DE341</f>
        <v>)*1,25</v>
      </c>
      <c r="H1048" s="34">
        <f>ROUND(Source!AD341*Source!I341, 2)</f>
        <v>11.98</v>
      </c>
      <c r="I1048" s="35"/>
      <c r="J1048" s="35">
        <f>IF(Source!BB341&lt;&gt; 0, Source!BB341, 1)</f>
        <v>7.13</v>
      </c>
      <c r="K1048" s="34">
        <f>Source!Q341</f>
        <v>85.45</v>
      </c>
      <c r="L1048" s="36"/>
    </row>
    <row r="1049" spans="1:26" ht="14.25" x14ac:dyDescent="0.2">
      <c r="A1049" s="49"/>
      <c r="B1049" s="50"/>
      <c r="C1049" s="50" t="s">
        <v>1784</v>
      </c>
      <c r="D1049" s="33"/>
      <c r="E1049" s="11"/>
      <c r="F1049" s="34">
        <f>Source!AN341</f>
        <v>10.3</v>
      </c>
      <c r="G1049" s="35" t="str">
        <f>Source!DF341</f>
        <v>)*1,25</v>
      </c>
      <c r="H1049" s="37">
        <f>ROUND(Source!AE341*Source!I341, 2)</f>
        <v>2.58</v>
      </c>
      <c r="I1049" s="35"/>
      <c r="J1049" s="35">
        <f>IF(Source!BS341&lt;&gt; 0, Source!BS341, 1)</f>
        <v>7.13</v>
      </c>
      <c r="K1049" s="37">
        <f>Source!R341</f>
        <v>18.37</v>
      </c>
      <c r="L1049" s="36"/>
      <c r="R1049">
        <f>H1049</f>
        <v>2.58</v>
      </c>
    </row>
    <row r="1050" spans="1:26" ht="14.25" x14ac:dyDescent="0.2">
      <c r="A1050" s="49"/>
      <c r="B1050" s="50"/>
      <c r="C1050" s="50" t="s">
        <v>1790</v>
      </c>
      <c r="D1050" s="33"/>
      <c r="E1050" s="11"/>
      <c r="F1050" s="34">
        <f>Source!AL341</f>
        <v>81.92</v>
      </c>
      <c r="G1050" s="35" t="str">
        <f>Source!DD341</f>
        <v/>
      </c>
      <c r="H1050" s="34">
        <f>ROUND(Source!AC341*Source!I341, 2)</f>
        <v>16.38</v>
      </c>
      <c r="I1050" s="35"/>
      <c r="J1050" s="35">
        <f>IF(Source!BC341&lt;&gt; 0, Source!BC341, 1)</f>
        <v>7.13</v>
      </c>
      <c r="K1050" s="34">
        <f>Source!P341</f>
        <v>116.82</v>
      </c>
      <c r="L1050" s="36"/>
    </row>
    <row r="1051" spans="1:26" ht="14.25" x14ac:dyDescent="0.2">
      <c r="A1051" s="49"/>
      <c r="B1051" s="50"/>
      <c r="C1051" s="50" t="s">
        <v>1785</v>
      </c>
      <c r="D1051" s="33" t="s">
        <v>1786</v>
      </c>
      <c r="E1051" s="11">
        <f>Source!BZ341</f>
        <v>128</v>
      </c>
      <c r="F1051" s="81" t="str">
        <f>CONCATENATE(" )", Source!DL341, Source!FT341, "=", Source!FX341)</f>
        <v xml:space="preserve"> )*0,9=115,2</v>
      </c>
      <c r="G1051" s="88"/>
      <c r="H1051" s="34">
        <f>SUM(S1045:S1054)</f>
        <v>30.72</v>
      </c>
      <c r="I1051" s="38"/>
      <c r="J1051" s="31">
        <f>Source!AT341</f>
        <v>115</v>
      </c>
      <c r="K1051" s="34">
        <f>SUM(T1045:T1054)</f>
        <v>218.68</v>
      </c>
      <c r="L1051" s="36"/>
    </row>
    <row r="1052" spans="1:26" ht="14.25" x14ac:dyDescent="0.2">
      <c r="A1052" s="49"/>
      <c r="B1052" s="50"/>
      <c r="C1052" s="50" t="s">
        <v>1787</v>
      </c>
      <c r="D1052" s="33" t="s">
        <v>1786</v>
      </c>
      <c r="E1052" s="11">
        <f>Source!CA341</f>
        <v>83</v>
      </c>
      <c r="F1052" s="81" t="str">
        <f>CONCATENATE(" )", Source!DM341, Source!FU341, "=", Source!FY341)</f>
        <v xml:space="preserve"> )*0,85=70,55</v>
      </c>
      <c r="G1052" s="88"/>
      <c r="H1052" s="34">
        <f>SUM(U1045:U1054)</f>
        <v>18.82</v>
      </c>
      <c r="I1052" s="38"/>
      <c r="J1052" s="31">
        <f>Source!AU341</f>
        <v>71</v>
      </c>
      <c r="K1052" s="34">
        <f>SUM(V1045:V1054)</f>
        <v>135.01</v>
      </c>
      <c r="L1052" s="36"/>
    </row>
    <row r="1053" spans="1:26" ht="14.25" x14ac:dyDescent="0.2">
      <c r="A1053" s="49"/>
      <c r="B1053" s="50"/>
      <c r="C1053" s="50" t="s">
        <v>1788</v>
      </c>
      <c r="D1053" s="33" t="s">
        <v>1789</v>
      </c>
      <c r="E1053" s="11">
        <f>Source!AQ341</f>
        <v>10.89</v>
      </c>
      <c r="F1053" s="34"/>
      <c r="G1053" s="35" t="str">
        <f>Source!DI341</f>
        <v>)*1,15</v>
      </c>
      <c r="H1053" s="34"/>
      <c r="I1053" s="35"/>
      <c r="J1053" s="35"/>
      <c r="K1053" s="34"/>
      <c r="L1053" s="45">
        <f>Source!U341</f>
        <v>2.5047000000000001</v>
      </c>
    </row>
    <row r="1054" spans="1:26" ht="28.5" x14ac:dyDescent="0.2">
      <c r="A1054" s="51" t="str">
        <f>Source!E342</f>
        <v>103,1</v>
      </c>
      <c r="B1054" s="52" t="str">
        <f>Source!F342</f>
        <v>18.2.02.07-0011</v>
      </c>
      <c r="C1054" s="52" t="str">
        <f>Source!G342</f>
        <v>Поддоны душевые эмалированные стальные (согласно тех. заданию)</v>
      </c>
      <c r="D1054" s="39" t="str">
        <f>Source!H342</f>
        <v>компл.</v>
      </c>
      <c r="E1054" s="40">
        <f>Source!I342</f>
        <v>2</v>
      </c>
      <c r="F1054" s="41">
        <f>Source!AL342+Source!AM342+Source!AO342</f>
        <v>555.37</v>
      </c>
      <c r="G1054" s="46" t="s">
        <v>6</v>
      </c>
      <c r="H1054" s="41">
        <f>ROUND(Source!AC342*Source!I342, 2)+ROUND(Source!AD342*Source!I342, 2)+ROUND(Source!AF342*Source!I342, 2)</f>
        <v>1110.74</v>
      </c>
      <c r="I1054" s="42"/>
      <c r="J1054" s="42">
        <f>IF(Source!BC342&lt;&gt; 0, Source!BC342, 1)</f>
        <v>7.13</v>
      </c>
      <c r="K1054" s="41">
        <f>Source!O342</f>
        <v>7919.58</v>
      </c>
      <c r="L1054" s="47"/>
      <c r="S1054">
        <f>ROUND((Source!FX342/100)*((ROUND(Source!AF342*Source!I342, 2)+ROUND(Source!AE342*Source!I342, 2))), 2)</f>
        <v>0</v>
      </c>
      <c r="T1054">
        <f>Source!X342</f>
        <v>0</v>
      </c>
      <c r="U1054">
        <f>ROUND((Source!FY342/100)*((ROUND(Source!AF342*Source!I342, 2)+ROUND(Source!AE342*Source!I342, 2))), 2)</f>
        <v>0</v>
      </c>
      <c r="V1054">
        <f>Source!Y342</f>
        <v>0</v>
      </c>
      <c r="W1054">
        <f>IF(Source!BI342&lt;=1,H1054, 0)</f>
        <v>1110.74</v>
      </c>
      <c r="X1054">
        <f>IF(Source!BI342=2,H1054, 0)</f>
        <v>0</v>
      </c>
      <c r="Y1054">
        <f>IF(Source!BI342=3,H1054, 0)</f>
        <v>0</v>
      </c>
      <c r="Z1054">
        <f>IF(Source!BI342=4,H1054, 0)</f>
        <v>0</v>
      </c>
    </row>
    <row r="1055" spans="1:26" ht="15" x14ac:dyDescent="0.25">
      <c r="G1055" s="87">
        <f>H1047+H1048+H1050+H1051+H1052+SUM(H1054:H1054)</f>
        <v>1212.73</v>
      </c>
      <c r="H1055" s="87"/>
      <c r="J1055" s="87">
        <f>K1047+K1048+K1050+K1051+K1052+SUM(K1054:K1054)</f>
        <v>8647.33</v>
      </c>
      <c r="K1055" s="87"/>
      <c r="L1055" s="44">
        <f>Source!U341</f>
        <v>2.5047000000000001</v>
      </c>
      <c r="O1055" s="27">
        <f>G1055</f>
        <v>1212.73</v>
      </c>
      <c r="P1055" s="27">
        <f>J1055</f>
        <v>8647.33</v>
      </c>
      <c r="Q1055" s="27">
        <f>L1055</f>
        <v>2.5047000000000001</v>
      </c>
      <c r="W1055">
        <f>IF(Source!BI341&lt;=1,H1047+H1048+H1050+H1051+H1052, 0)</f>
        <v>101.99000000000001</v>
      </c>
      <c r="X1055">
        <f>IF(Source!BI341=2,H1047+H1048+H1050+H1051+H1052, 0)</f>
        <v>0</v>
      </c>
      <c r="Y1055">
        <f>IF(Source!BI341=3,H1047+H1048+H1050+H1051+H1052, 0)</f>
        <v>0</v>
      </c>
      <c r="Z1055">
        <f>IF(Source!BI341=4,H1047+H1048+H1050+H1051+H1052, 0)</f>
        <v>0</v>
      </c>
    </row>
    <row r="1056" spans="1:26" ht="28.5" x14ac:dyDescent="0.2">
      <c r="A1056" s="49" t="str">
        <f>Source!E343</f>
        <v>104</v>
      </c>
      <c r="B1056" s="50" t="str">
        <f>Source!F343</f>
        <v>17-01-003-03</v>
      </c>
      <c r="C1056" s="50" t="str">
        <f>Source!G343</f>
        <v>Установка унитазов с функцией биде</v>
      </c>
      <c r="D1056" s="33" t="str">
        <f>Source!H343</f>
        <v>10 компл</v>
      </c>
      <c r="E1056" s="11">
        <f>Source!I343</f>
        <v>0.3</v>
      </c>
      <c r="F1056" s="34">
        <f>Source!AL343+Source!AM343+Source!AO343</f>
        <v>4513.76</v>
      </c>
      <c r="G1056" s="35"/>
      <c r="H1056" s="34"/>
      <c r="I1056" s="35" t="str">
        <f>Source!BO343</f>
        <v/>
      </c>
      <c r="J1056" s="35"/>
      <c r="K1056" s="34"/>
      <c r="L1056" s="36"/>
      <c r="S1056">
        <f>ROUND((Source!FX343/100)*((ROUND(Source!AF343*Source!I343, 2)+ROUND(Source!AE343*Source!I343, 2))), 2)</f>
        <v>86.95</v>
      </c>
      <c r="T1056">
        <f>Source!X343</f>
        <v>618.91</v>
      </c>
      <c r="U1056">
        <f>ROUND((Source!FY343/100)*((ROUND(Source!AF343*Source!I343, 2)+ROUND(Source!AE343*Source!I343, 2))), 2)</f>
        <v>53.25</v>
      </c>
      <c r="V1056">
        <f>Source!Y343</f>
        <v>382.11</v>
      </c>
    </row>
    <row r="1057" spans="1:26" x14ac:dyDescent="0.2">
      <c r="C1057" s="26" t="str">
        <f>"Объем: "&amp;Source!I343&amp;"=3/"&amp;"10"</f>
        <v>Объем: 0,3=3/10</v>
      </c>
    </row>
    <row r="1058" spans="1:26" ht="14.25" x14ac:dyDescent="0.2">
      <c r="A1058" s="49"/>
      <c r="B1058" s="50"/>
      <c r="C1058" s="50" t="s">
        <v>1783</v>
      </c>
      <c r="D1058" s="33"/>
      <c r="E1058" s="11"/>
      <c r="F1058" s="34">
        <f>Source!AO343</f>
        <v>210.93</v>
      </c>
      <c r="G1058" s="35" t="str">
        <f>Source!DG343</f>
        <v>)*1,15</v>
      </c>
      <c r="H1058" s="34">
        <f>ROUND(Source!AF343*Source!I343, 2)</f>
        <v>72.77</v>
      </c>
      <c r="I1058" s="35"/>
      <c r="J1058" s="35">
        <f>IF(Source!BA343&lt;&gt; 0, Source!BA343, 1)</f>
        <v>7.13</v>
      </c>
      <c r="K1058" s="34">
        <f>Source!S343</f>
        <v>518.86</v>
      </c>
      <c r="L1058" s="36"/>
      <c r="R1058">
        <f>H1058</f>
        <v>72.77</v>
      </c>
    </row>
    <row r="1059" spans="1:26" ht="14.25" x14ac:dyDescent="0.2">
      <c r="A1059" s="49"/>
      <c r="B1059" s="50"/>
      <c r="C1059" s="50" t="s">
        <v>449</v>
      </c>
      <c r="D1059" s="33"/>
      <c r="E1059" s="11"/>
      <c r="F1059" s="34">
        <f>Source!AM343</f>
        <v>26.43</v>
      </c>
      <c r="G1059" s="35" t="str">
        <f>Source!DE343</f>
        <v>)*1,25</v>
      </c>
      <c r="H1059" s="34">
        <f>ROUND(Source!AD343*Source!I343, 2)</f>
        <v>9.91</v>
      </c>
      <c r="I1059" s="35"/>
      <c r="J1059" s="35">
        <f>IF(Source!BB343&lt;&gt; 0, Source!BB343, 1)</f>
        <v>7.13</v>
      </c>
      <c r="K1059" s="34">
        <f>Source!Q343</f>
        <v>70.67</v>
      </c>
      <c r="L1059" s="36"/>
    </row>
    <row r="1060" spans="1:26" ht="14.25" x14ac:dyDescent="0.2">
      <c r="A1060" s="49"/>
      <c r="B1060" s="50"/>
      <c r="C1060" s="50" t="s">
        <v>1784</v>
      </c>
      <c r="D1060" s="33"/>
      <c r="E1060" s="11"/>
      <c r="F1060" s="34">
        <f>Source!AN343</f>
        <v>7.22</v>
      </c>
      <c r="G1060" s="35" t="str">
        <f>Source!DF343</f>
        <v>)*1,25</v>
      </c>
      <c r="H1060" s="37">
        <f>ROUND(Source!AE343*Source!I343, 2)</f>
        <v>2.71</v>
      </c>
      <c r="I1060" s="35"/>
      <c r="J1060" s="35">
        <f>IF(Source!BS343&lt;&gt; 0, Source!BS343, 1)</f>
        <v>7.13</v>
      </c>
      <c r="K1060" s="37">
        <f>Source!R343</f>
        <v>19.32</v>
      </c>
      <c r="L1060" s="36"/>
      <c r="R1060">
        <f>H1060</f>
        <v>2.71</v>
      </c>
    </row>
    <row r="1061" spans="1:26" ht="14.25" x14ac:dyDescent="0.2">
      <c r="A1061" s="49"/>
      <c r="B1061" s="50"/>
      <c r="C1061" s="50" t="s">
        <v>1790</v>
      </c>
      <c r="D1061" s="33"/>
      <c r="E1061" s="11"/>
      <c r="F1061" s="34">
        <f>Source!AL343</f>
        <v>4276.3999999999996</v>
      </c>
      <c r="G1061" s="35" t="str">
        <f>Source!DD343</f>
        <v/>
      </c>
      <c r="H1061" s="34">
        <f>ROUND(Source!AC343*Source!I343, 2)</f>
        <v>1282.92</v>
      </c>
      <c r="I1061" s="35"/>
      <c r="J1061" s="35">
        <f>IF(Source!BC343&lt;&gt; 0, Source!BC343, 1)</f>
        <v>7.13</v>
      </c>
      <c r="K1061" s="34">
        <f>Source!P343</f>
        <v>9147.2199999999993</v>
      </c>
      <c r="L1061" s="36"/>
    </row>
    <row r="1062" spans="1:26" ht="14.25" x14ac:dyDescent="0.2">
      <c r="A1062" s="49"/>
      <c r="B1062" s="50"/>
      <c r="C1062" s="50" t="s">
        <v>1785</v>
      </c>
      <c r="D1062" s="33" t="s">
        <v>1786</v>
      </c>
      <c r="E1062" s="11">
        <f>Source!BZ343</f>
        <v>128</v>
      </c>
      <c r="F1062" s="81" t="str">
        <f>CONCATENATE(" )", Source!DL343, Source!FT343, "=", Source!FX343)</f>
        <v xml:space="preserve"> )*0,9=115,2</v>
      </c>
      <c r="G1062" s="88"/>
      <c r="H1062" s="34">
        <f>SUM(S1056:S1067)</f>
        <v>86.95</v>
      </c>
      <c r="I1062" s="38"/>
      <c r="J1062" s="31">
        <f>Source!AT343</f>
        <v>115</v>
      </c>
      <c r="K1062" s="34">
        <f>SUM(T1056:T1067)</f>
        <v>618.91</v>
      </c>
      <c r="L1062" s="36"/>
    </row>
    <row r="1063" spans="1:26" ht="14.25" x14ac:dyDescent="0.2">
      <c r="A1063" s="49"/>
      <c r="B1063" s="50"/>
      <c r="C1063" s="50" t="s">
        <v>1787</v>
      </c>
      <c r="D1063" s="33" t="s">
        <v>1786</v>
      </c>
      <c r="E1063" s="11">
        <f>Source!CA343</f>
        <v>83</v>
      </c>
      <c r="F1063" s="81" t="str">
        <f>CONCATENATE(" )", Source!DM343, Source!FU343, "=", Source!FY343)</f>
        <v xml:space="preserve"> )*0,85=70,55</v>
      </c>
      <c r="G1063" s="88"/>
      <c r="H1063" s="34">
        <f>SUM(U1056:U1067)</f>
        <v>53.25</v>
      </c>
      <c r="I1063" s="38"/>
      <c r="J1063" s="31">
        <f>Source!AU343</f>
        <v>71</v>
      </c>
      <c r="K1063" s="34">
        <f>SUM(V1056:V1067)</f>
        <v>382.11</v>
      </c>
      <c r="L1063" s="36"/>
    </row>
    <row r="1064" spans="1:26" ht="14.25" x14ac:dyDescent="0.2">
      <c r="A1064" s="49"/>
      <c r="B1064" s="50"/>
      <c r="C1064" s="50" t="s">
        <v>1788</v>
      </c>
      <c r="D1064" s="33" t="s">
        <v>1789</v>
      </c>
      <c r="E1064" s="11">
        <f>Source!AQ343</f>
        <v>22.18</v>
      </c>
      <c r="F1064" s="34"/>
      <c r="G1064" s="35" t="str">
        <f>Source!DI343</f>
        <v>)*1,15</v>
      </c>
      <c r="H1064" s="34"/>
      <c r="I1064" s="35"/>
      <c r="J1064" s="35"/>
      <c r="K1064" s="34"/>
      <c r="L1064" s="45">
        <f>Source!U343</f>
        <v>7.652099999999999</v>
      </c>
    </row>
    <row r="1065" spans="1:26" ht="28.5" x14ac:dyDescent="0.2">
      <c r="A1065" s="49" t="str">
        <f>Source!E344</f>
        <v>104,1</v>
      </c>
      <c r="B1065" s="50" t="str">
        <f>Source!F344</f>
        <v>01.7.15.07-0012</v>
      </c>
      <c r="C1065" s="50" t="str">
        <f>Source!G344</f>
        <v>Дюбели пластмассовые с шурупами 12х70 мм</v>
      </c>
      <c r="D1065" s="33" t="str">
        <f>Source!H344</f>
        <v>100 шт.</v>
      </c>
      <c r="E1065" s="11">
        <f>Source!I344</f>
        <v>0.06</v>
      </c>
      <c r="F1065" s="34">
        <f>Source!AL344+Source!AM344+Source!AO344</f>
        <v>83</v>
      </c>
      <c r="G1065" s="48" t="s">
        <v>6</v>
      </c>
      <c r="H1065" s="34">
        <f>ROUND(Source!AC344*Source!I344, 2)+ROUND(Source!AD344*Source!I344, 2)+ROUND(Source!AF344*Source!I344, 2)</f>
        <v>4.9800000000000004</v>
      </c>
      <c r="I1065" s="35"/>
      <c r="J1065" s="35">
        <f>IF(Source!BC344&lt;&gt; 0, Source!BC344, 1)</f>
        <v>7.13</v>
      </c>
      <c r="K1065" s="34">
        <f>Source!O344</f>
        <v>35.51</v>
      </c>
      <c r="L1065" s="36"/>
      <c r="S1065">
        <f>ROUND((Source!FX344/100)*((ROUND(Source!AF344*Source!I344, 2)+ROUND(Source!AE344*Source!I344, 2))), 2)</f>
        <v>0</v>
      </c>
      <c r="T1065">
        <f>Source!X344</f>
        <v>0</v>
      </c>
      <c r="U1065">
        <f>ROUND((Source!FY344/100)*((ROUND(Source!AF344*Source!I344, 2)+ROUND(Source!AE344*Source!I344, 2))), 2)</f>
        <v>0</v>
      </c>
      <c r="V1065">
        <f>Source!Y344</f>
        <v>0</v>
      </c>
      <c r="W1065">
        <f>IF(Source!BI344&lt;=1,H1065, 0)</f>
        <v>4.9800000000000004</v>
      </c>
      <c r="X1065">
        <f>IF(Source!BI344=2,H1065, 0)</f>
        <v>0</v>
      </c>
      <c r="Y1065">
        <f>IF(Source!BI344=3,H1065, 0)</f>
        <v>0</v>
      </c>
      <c r="Z1065">
        <f>IF(Source!BI344=4,H1065, 0)</f>
        <v>0</v>
      </c>
    </row>
    <row r="1066" spans="1:26" ht="28.5" x14ac:dyDescent="0.2">
      <c r="A1066" s="49" t="str">
        <f>Source!E345</f>
        <v>104,2</v>
      </c>
      <c r="B1066" s="50" t="str">
        <f>Source!F345</f>
        <v>01.7.19.03-0011</v>
      </c>
      <c r="C1066" s="50" t="str">
        <f>Source!G345</f>
        <v>Манжеты резиновые</v>
      </c>
      <c r="D1066" s="33" t="str">
        <f>Source!H345</f>
        <v>шт.</v>
      </c>
      <c r="E1066" s="11">
        <f>Source!I345</f>
        <v>3</v>
      </c>
      <c r="F1066" s="34">
        <f>Source!AL345+Source!AM345+Source!AO345</f>
        <v>10</v>
      </c>
      <c r="G1066" s="48" t="s">
        <v>6</v>
      </c>
      <c r="H1066" s="34">
        <f>ROUND(Source!AC345*Source!I345, 2)+ROUND(Source!AD345*Source!I345, 2)+ROUND(Source!AF345*Source!I345, 2)</f>
        <v>30</v>
      </c>
      <c r="I1066" s="35"/>
      <c r="J1066" s="35">
        <f>IF(Source!BC345&lt;&gt; 0, Source!BC345, 1)</f>
        <v>7.13</v>
      </c>
      <c r="K1066" s="34">
        <f>Source!O345</f>
        <v>213.9</v>
      </c>
      <c r="L1066" s="36"/>
      <c r="S1066">
        <f>ROUND((Source!FX345/100)*((ROUND(Source!AF345*Source!I345, 2)+ROUND(Source!AE345*Source!I345, 2))), 2)</f>
        <v>0</v>
      </c>
      <c r="T1066">
        <f>Source!X345</f>
        <v>0</v>
      </c>
      <c r="U1066">
        <f>ROUND((Source!FY345/100)*((ROUND(Source!AF345*Source!I345, 2)+ROUND(Source!AE345*Source!I345, 2))), 2)</f>
        <v>0</v>
      </c>
      <c r="V1066">
        <f>Source!Y345</f>
        <v>0</v>
      </c>
      <c r="W1066">
        <f>IF(Source!BI345&lt;=1,H1066, 0)</f>
        <v>30</v>
      </c>
      <c r="X1066">
        <f>IF(Source!BI345=2,H1066, 0)</f>
        <v>0</v>
      </c>
      <c r="Y1066">
        <f>IF(Source!BI345=3,H1066, 0)</f>
        <v>0</v>
      </c>
      <c r="Z1066">
        <f>IF(Source!BI345=4,H1066, 0)</f>
        <v>0</v>
      </c>
    </row>
    <row r="1067" spans="1:26" ht="28.5" x14ac:dyDescent="0.2">
      <c r="A1067" s="51" t="str">
        <f>Source!E346</f>
        <v>104,3</v>
      </c>
      <c r="B1067" s="52" t="str">
        <f>Source!F346</f>
        <v>18.2.01.06-0001</v>
      </c>
      <c r="C1067" s="52" t="str">
        <f>Source!G346</f>
        <v>Унитаз-компакт с функцией  марка Vitra Grand (9763D003)</v>
      </c>
      <c r="D1067" s="39" t="str">
        <f>Source!H346</f>
        <v>компл.</v>
      </c>
      <c r="E1067" s="40">
        <f>Source!I346</f>
        <v>3</v>
      </c>
      <c r="F1067" s="41">
        <f>Source!AL346+Source!AM346+Source!AO346</f>
        <v>318</v>
      </c>
      <c r="G1067" s="46" t="s">
        <v>6</v>
      </c>
      <c r="H1067" s="41">
        <f>ROUND(Source!AC346*Source!I346, 2)+ROUND(Source!AD346*Source!I346, 2)+ROUND(Source!AF346*Source!I346, 2)</f>
        <v>954</v>
      </c>
      <c r="I1067" s="42"/>
      <c r="J1067" s="42">
        <f>IF(Source!BC346&lt;&gt; 0, Source!BC346, 1)</f>
        <v>7.13</v>
      </c>
      <c r="K1067" s="41">
        <f>Source!O346</f>
        <v>6802.02</v>
      </c>
      <c r="L1067" s="47"/>
      <c r="S1067">
        <f>ROUND((Source!FX346/100)*((ROUND(Source!AF346*Source!I346, 2)+ROUND(Source!AE346*Source!I346, 2))), 2)</f>
        <v>0</v>
      </c>
      <c r="T1067">
        <f>Source!X346</f>
        <v>0</v>
      </c>
      <c r="U1067">
        <f>ROUND((Source!FY346/100)*((ROUND(Source!AF346*Source!I346, 2)+ROUND(Source!AE346*Source!I346, 2))), 2)</f>
        <v>0</v>
      </c>
      <c r="V1067">
        <f>Source!Y346</f>
        <v>0</v>
      </c>
      <c r="W1067">
        <f>IF(Source!BI346&lt;=1,H1067, 0)</f>
        <v>954</v>
      </c>
      <c r="X1067">
        <f>IF(Source!BI346=2,H1067, 0)</f>
        <v>0</v>
      </c>
      <c r="Y1067">
        <f>IF(Source!BI346=3,H1067, 0)</f>
        <v>0</v>
      </c>
      <c r="Z1067">
        <f>IF(Source!BI346=4,H1067, 0)</f>
        <v>0</v>
      </c>
    </row>
    <row r="1068" spans="1:26" ht="15" x14ac:dyDescent="0.25">
      <c r="G1068" s="87">
        <f>H1058+H1059+H1061+H1062+H1063+SUM(H1065:H1067)</f>
        <v>2494.7800000000002</v>
      </c>
      <c r="H1068" s="87"/>
      <c r="J1068" s="87">
        <f>K1058+K1059+K1061+K1062+K1063+SUM(K1065:K1067)</f>
        <v>17789.2</v>
      </c>
      <c r="K1068" s="87"/>
      <c r="L1068" s="44">
        <f>Source!U343</f>
        <v>7.652099999999999</v>
      </c>
      <c r="O1068" s="27">
        <f>G1068</f>
        <v>2494.7800000000002</v>
      </c>
      <c r="P1068" s="27">
        <f>J1068</f>
        <v>17789.2</v>
      </c>
      <c r="Q1068" s="27">
        <f>L1068</f>
        <v>7.652099999999999</v>
      </c>
      <c r="W1068">
        <f>IF(Source!BI343&lt;=1,H1058+H1059+H1061+H1062+H1063, 0)</f>
        <v>1505.8000000000002</v>
      </c>
      <c r="X1068">
        <f>IF(Source!BI343=2,H1058+H1059+H1061+H1062+H1063, 0)</f>
        <v>0</v>
      </c>
      <c r="Y1068">
        <f>IF(Source!BI343=3,H1058+H1059+H1061+H1062+H1063, 0)</f>
        <v>0</v>
      </c>
      <c r="Z1068">
        <f>IF(Source!BI343=4,H1058+H1059+H1061+H1062+H1063, 0)</f>
        <v>0</v>
      </c>
    </row>
    <row r="1069" spans="1:26" ht="28.5" x14ac:dyDescent="0.2">
      <c r="A1069" s="49" t="str">
        <f>Source!E347</f>
        <v>105</v>
      </c>
      <c r="B1069" s="50" t="str">
        <f>Source!F347</f>
        <v>17-01-005-01</v>
      </c>
      <c r="C1069" s="50" t="str">
        <f>Source!G347</f>
        <v>Установка моек на одно отделение</v>
      </c>
      <c r="D1069" s="33" t="str">
        <f>Source!H347</f>
        <v>10 компл</v>
      </c>
      <c r="E1069" s="11">
        <f>Source!I347</f>
        <v>0.3</v>
      </c>
      <c r="F1069" s="34">
        <f>Source!AL347+Source!AM347+Source!AO347</f>
        <v>233.05</v>
      </c>
      <c r="G1069" s="35"/>
      <c r="H1069" s="34"/>
      <c r="I1069" s="35" t="str">
        <f>Source!BO347</f>
        <v/>
      </c>
      <c r="J1069" s="35"/>
      <c r="K1069" s="34"/>
      <c r="L1069" s="36"/>
      <c r="S1069">
        <f>ROUND((Source!FX347/100)*((ROUND(Source!AF347*Source!I347, 2)+ROUND(Source!AE347*Source!I347, 2))), 2)</f>
        <v>67.680000000000007</v>
      </c>
      <c r="T1069">
        <f>Source!X347</f>
        <v>481.74</v>
      </c>
      <c r="U1069">
        <f>ROUND((Source!FY347/100)*((ROUND(Source!AF347*Source!I347, 2)+ROUND(Source!AE347*Source!I347, 2))), 2)</f>
        <v>41.45</v>
      </c>
      <c r="V1069">
        <f>Source!Y347</f>
        <v>297.42</v>
      </c>
    </row>
    <row r="1070" spans="1:26" x14ac:dyDescent="0.2">
      <c r="C1070" s="26" t="str">
        <f>"Объем: "&amp;Source!I347&amp;"=3/"&amp;"10"</f>
        <v>Объем: 0,3=3/10</v>
      </c>
    </row>
    <row r="1071" spans="1:26" ht="14.25" x14ac:dyDescent="0.2">
      <c r="A1071" s="49"/>
      <c r="B1071" s="50"/>
      <c r="C1071" s="50" t="s">
        <v>1783</v>
      </c>
      <c r="D1071" s="33"/>
      <c r="E1071" s="11"/>
      <c r="F1071" s="34">
        <f>Source!AO347</f>
        <v>166.62</v>
      </c>
      <c r="G1071" s="35" t="str">
        <f>Source!DG347</f>
        <v>)*1,15</v>
      </c>
      <c r="H1071" s="34">
        <f>ROUND(Source!AF347*Source!I347, 2)</f>
        <v>57.48</v>
      </c>
      <c r="I1071" s="35"/>
      <c r="J1071" s="35">
        <f>IF(Source!BA347&lt;&gt; 0, Source!BA347, 1)</f>
        <v>7.13</v>
      </c>
      <c r="K1071" s="34">
        <f>Source!S347</f>
        <v>409.85</v>
      </c>
      <c r="L1071" s="36"/>
      <c r="R1071">
        <f>H1071</f>
        <v>57.48</v>
      </c>
    </row>
    <row r="1072" spans="1:26" ht="14.25" x14ac:dyDescent="0.2">
      <c r="A1072" s="49"/>
      <c r="B1072" s="50"/>
      <c r="C1072" s="50" t="s">
        <v>449</v>
      </c>
      <c r="D1072" s="33"/>
      <c r="E1072" s="11"/>
      <c r="F1072" s="34">
        <f>Source!AM347</f>
        <v>13.26</v>
      </c>
      <c r="G1072" s="35" t="str">
        <f>Source!DE347</f>
        <v>)*1,25</v>
      </c>
      <c r="H1072" s="34">
        <f>ROUND(Source!AD347*Source!I347, 2)</f>
        <v>4.97</v>
      </c>
      <c r="I1072" s="35"/>
      <c r="J1072" s="35">
        <f>IF(Source!BB347&lt;&gt; 0, Source!BB347, 1)</f>
        <v>7.13</v>
      </c>
      <c r="K1072" s="34">
        <f>Source!Q347</f>
        <v>35.46</v>
      </c>
      <c r="L1072" s="36"/>
    </row>
    <row r="1073" spans="1:26" ht="14.25" x14ac:dyDescent="0.2">
      <c r="A1073" s="49"/>
      <c r="B1073" s="50"/>
      <c r="C1073" s="50" t="s">
        <v>1784</v>
      </c>
      <c r="D1073" s="33"/>
      <c r="E1073" s="11"/>
      <c r="F1073" s="34">
        <f>Source!AN347</f>
        <v>3.38</v>
      </c>
      <c r="G1073" s="35" t="str">
        <f>Source!DF347</f>
        <v>)*1,25</v>
      </c>
      <c r="H1073" s="37">
        <f>ROUND(Source!AE347*Source!I347, 2)</f>
        <v>1.27</v>
      </c>
      <c r="I1073" s="35"/>
      <c r="J1073" s="35">
        <f>IF(Source!BS347&lt;&gt; 0, Source!BS347, 1)</f>
        <v>7.13</v>
      </c>
      <c r="K1073" s="37">
        <f>Source!R347</f>
        <v>9.0500000000000007</v>
      </c>
      <c r="L1073" s="36"/>
      <c r="R1073">
        <f>H1073</f>
        <v>1.27</v>
      </c>
    </row>
    <row r="1074" spans="1:26" ht="14.25" x14ac:dyDescent="0.2">
      <c r="A1074" s="49"/>
      <c r="B1074" s="50"/>
      <c r="C1074" s="50" t="s">
        <v>1790</v>
      </c>
      <c r="D1074" s="33"/>
      <c r="E1074" s="11"/>
      <c r="F1074" s="34">
        <f>Source!AL347</f>
        <v>53.17</v>
      </c>
      <c r="G1074" s="35" t="str">
        <f>Source!DD347</f>
        <v/>
      </c>
      <c r="H1074" s="34">
        <f>ROUND(Source!AC347*Source!I347, 2)</f>
        <v>15.95</v>
      </c>
      <c r="I1074" s="35"/>
      <c r="J1074" s="35">
        <f>IF(Source!BC347&lt;&gt; 0, Source!BC347, 1)</f>
        <v>7.13</v>
      </c>
      <c r="K1074" s="34">
        <f>Source!P347</f>
        <v>113.73</v>
      </c>
      <c r="L1074" s="36"/>
    </row>
    <row r="1075" spans="1:26" ht="14.25" x14ac:dyDescent="0.2">
      <c r="A1075" s="49"/>
      <c r="B1075" s="50"/>
      <c r="C1075" s="50" t="s">
        <v>1785</v>
      </c>
      <c r="D1075" s="33" t="s">
        <v>1786</v>
      </c>
      <c r="E1075" s="11">
        <f>Source!BZ347</f>
        <v>128</v>
      </c>
      <c r="F1075" s="81" t="str">
        <f>CONCATENATE(" )", Source!DL347, Source!FT347, "=", Source!FX347)</f>
        <v xml:space="preserve"> )*0,9=115,2</v>
      </c>
      <c r="G1075" s="88"/>
      <c r="H1075" s="34">
        <f>SUM(S1069:S1078)</f>
        <v>67.680000000000007</v>
      </c>
      <c r="I1075" s="38"/>
      <c r="J1075" s="31">
        <f>Source!AT347</f>
        <v>115</v>
      </c>
      <c r="K1075" s="34">
        <f>SUM(T1069:T1078)</f>
        <v>481.74</v>
      </c>
      <c r="L1075" s="36"/>
    </row>
    <row r="1076" spans="1:26" ht="14.25" x14ac:dyDescent="0.2">
      <c r="A1076" s="49"/>
      <c r="B1076" s="50"/>
      <c r="C1076" s="50" t="s">
        <v>1787</v>
      </c>
      <c r="D1076" s="33" t="s">
        <v>1786</v>
      </c>
      <c r="E1076" s="11">
        <f>Source!CA347</f>
        <v>83</v>
      </c>
      <c r="F1076" s="81" t="str">
        <f>CONCATENATE(" )", Source!DM347, Source!FU347, "=", Source!FY347)</f>
        <v xml:space="preserve"> )*0,85=70,55</v>
      </c>
      <c r="G1076" s="88"/>
      <c r="H1076" s="34">
        <f>SUM(U1069:U1078)</f>
        <v>41.45</v>
      </c>
      <c r="I1076" s="38"/>
      <c r="J1076" s="31">
        <f>Source!AU347</f>
        <v>71</v>
      </c>
      <c r="K1076" s="34">
        <f>SUM(V1069:V1078)</f>
        <v>297.42</v>
      </c>
      <c r="L1076" s="36"/>
    </row>
    <row r="1077" spans="1:26" ht="14.25" x14ac:dyDescent="0.2">
      <c r="A1077" s="49"/>
      <c r="B1077" s="50"/>
      <c r="C1077" s="50" t="s">
        <v>1788</v>
      </c>
      <c r="D1077" s="33" t="s">
        <v>1789</v>
      </c>
      <c r="E1077" s="11">
        <f>Source!AQ347</f>
        <v>17.32</v>
      </c>
      <c r="F1077" s="34"/>
      <c r="G1077" s="35" t="str">
        <f>Source!DI347</f>
        <v>)*1,15</v>
      </c>
      <c r="H1077" s="34"/>
      <c r="I1077" s="35"/>
      <c r="J1077" s="35"/>
      <c r="K1077" s="34"/>
      <c r="L1077" s="45">
        <f>Source!U347</f>
        <v>5.9753999999999996</v>
      </c>
    </row>
    <row r="1078" spans="1:26" ht="57" x14ac:dyDescent="0.2">
      <c r="A1078" s="51" t="str">
        <f>Source!E348</f>
        <v>105,1</v>
      </c>
      <c r="B1078" s="52" t="str">
        <f>Source!F348</f>
        <v>18.2.02.05-0005</v>
      </c>
      <c r="C1078" s="52" t="str">
        <f>Source!G348</f>
        <v>Мойки стальные эмалированные на одно отделение с одной чашей  с креплениями МСК  в комплекте с сифоном (согласно тех. заданию)</v>
      </c>
      <c r="D1078" s="39" t="str">
        <f>Source!H348</f>
        <v>компл.</v>
      </c>
      <c r="E1078" s="40">
        <f>Source!I348</f>
        <v>3</v>
      </c>
      <c r="F1078" s="41">
        <f>Source!AL348+Source!AM348+Source!AO348</f>
        <v>280</v>
      </c>
      <c r="G1078" s="46" t="s">
        <v>6</v>
      </c>
      <c r="H1078" s="41">
        <f>ROUND(Source!AC348*Source!I348, 2)+ROUND(Source!AD348*Source!I348, 2)+ROUND(Source!AF348*Source!I348, 2)</f>
        <v>840</v>
      </c>
      <c r="I1078" s="42"/>
      <c r="J1078" s="42">
        <f>IF(Source!BC348&lt;&gt; 0, Source!BC348, 1)</f>
        <v>7.13</v>
      </c>
      <c r="K1078" s="41">
        <f>Source!O348</f>
        <v>5989.2</v>
      </c>
      <c r="L1078" s="47"/>
      <c r="S1078">
        <f>ROUND((Source!FX348/100)*((ROUND(Source!AF348*Source!I348, 2)+ROUND(Source!AE348*Source!I348, 2))), 2)</f>
        <v>0</v>
      </c>
      <c r="T1078">
        <f>Source!X348</f>
        <v>0</v>
      </c>
      <c r="U1078">
        <f>ROUND((Source!FY348/100)*((ROUND(Source!AF348*Source!I348, 2)+ROUND(Source!AE348*Source!I348, 2))), 2)</f>
        <v>0</v>
      </c>
      <c r="V1078">
        <f>Source!Y348</f>
        <v>0</v>
      </c>
      <c r="W1078">
        <f>IF(Source!BI348&lt;=1,H1078, 0)</f>
        <v>840</v>
      </c>
      <c r="X1078">
        <f>IF(Source!BI348=2,H1078, 0)</f>
        <v>0</v>
      </c>
      <c r="Y1078">
        <f>IF(Source!BI348=3,H1078, 0)</f>
        <v>0</v>
      </c>
      <c r="Z1078">
        <f>IF(Source!BI348=4,H1078, 0)</f>
        <v>0</v>
      </c>
    </row>
    <row r="1079" spans="1:26" ht="15" x14ac:dyDescent="0.25">
      <c r="G1079" s="87">
        <f>H1071+H1072+H1074+H1075+H1076+SUM(H1078:H1078)</f>
        <v>1027.53</v>
      </c>
      <c r="H1079" s="87"/>
      <c r="J1079" s="87">
        <f>K1071+K1072+K1074+K1075+K1076+SUM(K1078:K1078)</f>
        <v>7327.4</v>
      </c>
      <c r="K1079" s="87"/>
      <c r="L1079" s="44">
        <f>Source!U347</f>
        <v>5.9753999999999996</v>
      </c>
      <c r="O1079" s="27">
        <f>G1079</f>
        <v>1027.53</v>
      </c>
      <c r="P1079" s="27">
        <f>J1079</f>
        <v>7327.4</v>
      </c>
      <c r="Q1079" s="27">
        <f>L1079</f>
        <v>5.9753999999999996</v>
      </c>
      <c r="W1079">
        <f>IF(Source!BI347&lt;=1,H1071+H1072+H1074+H1075+H1076, 0)</f>
        <v>187.52999999999997</v>
      </c>
      <c r="X1079">
        <f>IF(Source!BI347=2,H1071+H1072+H1074+H1075+H1076, 0)</f>
        <v>0</v>
      </c>
      <c r="Y1079">
        <f>IF(Source!BI347=3,H1071+H1072+H1074+H1075+H1076, 0)</f>
        <v>0</v>
      </c>
      <c r="Z1079">
        <f>IF(Source!BI347=4,H1071+H1072+H1074+H1075+H1076, 0)</f>
        <v>0</v>
      </c>
    </row>
    <row r="1080" spans="1:26" ht="28.5" x14ac:dyDescent="0.2">
      <c r="A1080" s="49" t="str">
        <f>Source!E349</f>
        <v>106</v>
      </c>
      <c r="B1080" s="50" t="str">
        <f>Source!F349</f>
        <v>17-01-005-04</v>
      </c>
      <c r="C1080" s="50" t="str">
        <f>Source!G349</f>
        <v>Установка раковин</v>
      </c>
      <c r="D1080" s="33" t="str">
        <f>Source!H349</f>
        <v>10 компл</v>
      </c>
      <c r="E1080" s="11">
        <f>Source!I349</f>
        <v>0.5</v>
      </c>
      <c r="F1080" s="34">
        <f>Source!AL349+Source!AM349+Source!AO349</f>
        <v>153.76999999999998</v>
      </c>
      <c r="G1080" s="35"/>
      <c r="H1080" s="34"/>
      <c r="I1080" s="35" t="str">
        <f>Source!BO349</f>
        <v/>
      </c>
      <c r="J1080" s="35"/>
      <c r="K1080" s="34"/>
      <c r="L1080" s="36"/>
      <c r="S1080">
        <f>ROUND((Source!FX349/100)*((ROUND(Source!AF349*Source!I349, 2)+ROUND(Source!AE349*Source!I349, 2))), 2)</f>
        <v>59.14</v>
      </c>
      <c r="T1080">
        <f>Source!X349</f>
        <v>420.88</v>
      </c>
      <c r="U1080">
        <f>ROUND((Source!FY349/100)*((ROUND(Source!AF349*Source!I349, 2)+ROUND(Source!AE349*Source!I349, 2))), 2)</f>
        <v>36.22</v>
      </c>
      <c r="V1080">
        <f>Source!Y349</f>
        <v>259.85000000000002</v>
      </c>
    </row>
    <row r="1081" spans="1:26" x14ac:dyDescent="0.2">
      <c r="C1081" s="26" t="str">
        <f>"Объем: "&amp;Source!I349&amp;"=5/"&amp;"10"</f>
        <v>Объем: 0,5=5/10</v>
      </c>
    </row>
    <row r="1082" spans="1:26" ht="14.25" x14ac:dyDescent="0.2">
      <c r="A1082" s="49"/>
      <c r="B1082" s="50"/>
      <c r="C1082" s="50" t="s">
        <v>1783</v>
      </c>
      <c r="D1082" s="33"/>
      <c r="E1082" s="11"/>
      <c r="F1082" s="34">
        <f>Source!AO349</f>
        <v>86.48</v>
      </c>
      <c r="G1082" s="35" t="str">
        <f>Source!DG349</f>
        <v>)*1,15</v>
      </c>
      <c r="H1082" s="34">
        <f>ROUND(Source!AF349*Source!I349, 2)</f>
        <v>49.73</v>
      </c>
      <c r="I1082" s="35"/>
      <c r="J1082" s="35">
        <f>IF(Source!BA349&lt;&gt; 0, Source!BA349, 1)</f>
        <v>7.13</v>
      </c>
      <c r="K1082" s="34">
        <f>Source!S349</f>
        <v>354.54</v>
      </c>
      <c r="L1082" s="36"/>
      <c r="R1082">
        <f>H1082</f>
        <v>49.73</v>
      </c>
    </row>
    <row r="1083" spans="1:26" ht="14.25" x14ac:dyDescent="0.2">
      <c r="A1083" s="49"/>
      <c r="B1083" s="50"/>
      <c r="C1083" s="50" t="s">
        <v>449</v>
      </c>
      <c r="D1083" s="33"/>
      <c r="E1083" s="11"/>
      <c r="F1083" s="34">
        <f>Source!AM349</f>
        <v>11.39</v>
      </c>
      <c r="G1083" s="35" t="str">
        <f>Source!DE349</f>
        <v>)*1,25</v>
      </c>
      <c r="H1083" s="34">
        <f>ROUND(Source!AD349*Source!I349, 2)</f>
        <v>7.12</v>
      </c>
      <c r="I1083" s="35"/>
      <c r="J1083" s="35">
        <f>IF(Source!BB349&lt;&gt; 0, Source!BB349, 1)</f>
        <v>7.13</v>
      </c>
      <c r="K1083" s="34">
        <f>Source!Q349</f>
        <v>50.77</v>
      </c>
      <c r="L1083" s="36"/>
    </row>
    <row r="1084" spans="1:26" ht="14.25" x14ac:dyDescent="0.2">
      <c r="A1084" s="49"/>
      <c r="B1084" s="50"/>
      <c r="C1084" s="50" t="s">
        <v>1784</v>
      </c>
      <c r="D1084" s="33"/>
      <c r="E1084" s="11"/>
      <c r="F1084" s="34">
        <f>Source!AN349</f>
        <v>2.57</v>
      </c>
      <c r="G1084" s="35" t="str">
        <f>Source!DF349</f>
        <v>)*1,25</v>
      </c>
      <c r="H1084" s="37">
        <f>ROUND(Source!AE349*Source!I349, 2)</f>
        <v>1.61</v>
      </c>
      <c r="I1084" s="35"/>
      <c r="J1084" s="35">
        <f>IF(Source!BS349&lt;&gt; 0, Source!BS349, 1)</f>
        <v>7.13</v>
      </c>
      <c r="K1084" s="37">
        <f>Source!R349</f>
        <v>11.44</v>
      </c>
      <c r="L1084" s="36"/>
      <c r="R1084">
        <f>H1084</f>
        <v>1.61</v>
      </c>
    </row>
    <row r="1085" spans="1:26" ht="14.25" x14ac:dyDescent="0.2">
      <c r="A1085" s="49"/>
      <c r="B1085" s="50"/>
      <c r="C1085" s="50" t="s">
        <v>1790</v>
      </c>
      <c r="D1085" s="33"/>
      <c r="E1085" s="11"/>
      <c r="F1085" s="34">
        <f>Source!AL349</f>
        <v>55.9</v>
      </c>
      <c r="G1085" s="35" t="str">
        <f>Source!DD349</f>
        <v/>
      </c>
      <c r="H1085" s="34">
        <f>ROUND(Source!AC349*Source!I349, 2)</f>
        <v>27.95</v>
      </c>
      <c r="I1085" s="35"/>
      <c r="J1085" s="35">
        <f>IF(Source!BC349&lt;&gt; 0, Source!BC349, 1)</f>
        <v>7.13</v>
      </c>
      <c r="K1085" s="34">
        <f>Source!P349</f>
        <v>199.28</v>
      </c>
      <c r="L1085" s="36"/>
    </row>
    <row r="1086" spans="1:26" ht="14.25" x14ac:dyDescent="0.2">
      <c r="A1086" s="49"/>
      <c r="B1086" s="50"/>
      <c r="C1086" s="50" t="s">
        <v>1785</v>
      </c>
      <c r="D1086" s="33" t="s">
        <v>1786</v>
      </c>
      <c r="E1086" s="11">
        <f>Source!BZ349</f>
        <v>128</v>
      </c>
      <c r="F1086" s="81" t="str">
        <f>CONCATENATE(" )", Source!DL349, Source!FT349, "=", Source!FX349)</f>
        <v xml:space="preserve"> )*0,9=115,2</v>
      </c>
      <c r="G1086" s="88"/>
      <c r="H1086" s="34">
        <f>SUM(S1080:S1090)</f>
        <v>59.14</v>
      </c>
      <c r="I1086" s="38"/>
      <c r="J1086" s="31">
        <f>Source!AT349</f>
        <v>115</v>
      </c>
      <c r="K1086" s="34">
        <f>SUM(T1080:T1090)</f>
        <v>420.88</v>
      </c>
      <c r="L1086" s="36"/>
    </row>
    <row r="1087" spans="1:26" ht="14.25" x14ac:dyDescent="0.2">
      <c r="A1087" s="49"/>
      <c r="B1087" s="50"/>
      <c r="C1087" s="50" t="s">
        <v>1787</v>
      </c>
      <c r="D1087" s="33" t="s">
        <v>1786</v>
      </c>
      <c r="E1087" s="11">
        <f>Source!CA349</f>
        <v>83</v>
      </c>
      <c r="F1087" s="81" t="str">
        <f>CONCATENATE(" )", Source!DM349, Source!FU349, "=", Source!FY349)</f>
        <v xml:space="preserve"> )*0,85=70,55</v>
      </c>
      <c r="G1087" s="88"/>
      <c r="H1087" s="34">
        <f>SUM(U1080:U1090)</f>
        <v>36.22</v>
      </c>
      <c r="I1087" s="38"/>
      <c r="J1087" s="31">
        <f>Source!AU349</f>
        <v>71</v>
      </c>
      <c r="K1087" s="34">
        <f>SUM(V1080:V1090)</f>
        <v>259.85000000000002</v>
      </c>
      <c r="L1087" s="36"/>
    </row>
    <row r="1088" spans="1:26" ht="14.25" x14ac:dyDescent="0.2">
      <c r="A1088" s="49"/>
      <c r="B1088" s="50"/>
      <c r="C1088" s="50" t="s">
        <v>1788</v>
      </c>
      <c r="D1088" s="33" t="s">
        <v>1789</v>
      </c>
      <c r="E1088" s="11">
        <f>Source!AQ349</f>
        <v>8.99</v>
      </c>
      <c r="F1088" s="34"/>
      <c r="G1088" s="35" t="str">
        <f>Source!DI349</f>
        <v>)*1,15</v>
      </c>
      <c r="H1088" s="34"/>
      <c r="I1088" s="35"/>
      <c r="J1088" s="35"/>
      <c r="K1088" s="34"/>
      <c r="L1088" s="45">
        <f>Source!U349</f>
        <v>5.1692499999999999</v>
      </c>
    </row>
    <row r="1089" spans="1:26" ht="28.5" x14ac:dyDescent="0.2">
      <c r="A1089" s="49" t="str">
        <f>Source!E350</f>
        <v>106,1</v>
      </c>
      <c r="B1089" s="50" t="str">
        <f>Source!F350</f>
        <v>11.2.04.06-0071</v>
      </c>
      <c r="C1089" s="50" t="str">
        <f>Source!G350</f>
        <v>Подстолье под раковину</v>
      </c>
      <c r="D1089" s="33" t="str">
        <f>Source!H350</f>
        <v>шт.</v>
      </c>
      <c r="E1089" s="11">
        <f>Source!I350</f>
        <v>5</v>
      </c>
      <c r="F1089" s="34">
        <f>Source!AL350+Source!AM350+Source!AO350</f>
        <v>460.67</v>
      </c>
      <c r="G1089" s="48" t="s">
        <v>6</v>
      </c>
      <c r="H1089" s="34">
        <f>ROUND(Source!AC350*Source!I350, 2)+ROUND(Source!AD350*Source!I350, 2)+ROUND(Source!AF350*Source!I350, 2)</f>
        <v>2303.35</v>
      </c>
      <c r="I1089" s="35"/>
      <c r="J1089" s="35">
        <f>IF(Source!BC350&lt;&gt; 0, Source!BC350, 1)</f>
        <v>7.13</v>
      </c>
      <c r="K1089" s="34">
        <f>Source!O350</f>
        <v>16422.89</v>
      </c>
      <c r="L1089" s="36"/>
      <c r="S1089">
        <f>ROUND((Source!FX350/100)*((ROUND(Source!AF350*Source!I350, 2)+ROUND(Source!AE350*Source!I350, 2))), 2)</f>
        <v>0</v>
      </c>
      <c r="T1089">
        <f>Source!X350</f>
        <v>0</v>
      </c>
      <c r="U1089">
        <f>ROUND((Source!FY350/100)*((ROUND(Source!AF350*Source!I350, 2)+ROUND(Source!AE350*Source!I350, 2))), 2)</f>
        <v>0</v>
      </c>
      <c r="V1089">
        <f>Source!Y350</f>
        <v>0</v>
      </c>
      <c r="W1089">
        <f>IF(Source!BI350&lt;=1,H1089, 0)</f>
        <v>2303.35</v>
      </c>
      <c r="X1089">
        <f>IF(Source!BI350=2,H1089, 0)</f>
        <v>0</v>
      </c>
      <c r="Y1089">
        <f>IF(Source!BI350=3,H1089, 0)</f>
        <v>0</v>
      </c>
      <c r="Z1089">
        <f>IF(Source!BI350=4,H1089, 0)</f>
        <v>0</v>
      </c>
    </row>
    <row r="1090" spans="1:26" ht="28.5" x14ac:dyDescent="0.2">
      <c r="A1090" s="51" t="str">
        <f>Source!E351</f>
        <v>106,2</v>
      </c>
      <c r="B1090" s="52" t="str">
        <f>Source!F351</f>
        <v>01.7.15.07-0012</v>
      </c>
      <c r="C1090" s="52" t="str">
        <f>Source!G351</f>
        <v>Дюбели пластмассовые с шурупами 12х70 мм</v>
      </c>
      <c r="D1090" s="39" t="str">
        <f>Source!H351</f>
        <v>100 шт.</v>
      </c>
      <c r="E1090" s="40">
        <f>Source!I351</f>
        <v>0.2</v>
      </c>
      <c r="F1090" s="41">
        <f>Source!AL351+Source!AM351+Source!AO351</f>
        <v>83</v>
      </c>
      <c r="G1090" s="46" t="s">
        <v>6</v>
      </c>
      <c r="H1090" s="41">
        <f>ROUND(Source!AC351*Source!I351, 2)+ROUND(Source!AD351*Source!I351, 2)+ROUND(Source!AF351*Source!I351, 2)</f>
        <v>16.600000000000001</v>
      </c>
      <c r="I1090" s="42"/>
      <c r="J1090" s="42">
        <f>IF(Source!BC351&lt;&gt; 0, Source!BC351, 1)</f>
        <v>7.13</v>
      </c>
      <c r="K1090" s="41">
        <f>Source!O351</f>
        <v>118.36</v>
      </c>
      <c r="L1090" s="47"/>
      <c r="S1090">
        <f>ROUND((Source!FX351/100)*((ROUND(Source!AF351*Source!I351, 2)+ROUND(Source!AE351*Source!I351, 2))), 2)</f>
        <v>0</v>
      </c>
      <c r="T1090">
        <f>Source!X351</f>
        <v>0</v>
      </c>
      <c r="U1090">
        <f>ROUND((Source!FY351/100)*((ROUND(Source!AF351*Source!I351, 2)+ROUND(Source!AE351*Source!I351, 2))), 2)</f>
        <v>0</v>
      </c>
      <c r="V1090">
        <f>Source!Y351</f>
        <v>0</v>
      </c>
      <c r="W1090">
        <f>IF(Source!BI351&lt;=1,H1090, 0)</f>
        <v>16.600000000000001</v>
      </c>
      <c r="X1090">
        <f>IF(Source!BI351=2,H1090, 0)</f>
        <v>0</v>
      </c>
      <c r="Y1090">
        <f>IF(Source!BI351=3,H1090, 0)</f>
        <v>0</v>
      </c>
      <c r="Z1090">
        <f>IF(Source!BI351=4,H1090, 0)</f>
        <v>0</v>
      </c>
    </row>
    <row r="1091" spans="1:26" ht="15" x14ac:dyDescent="0.25">
      <c r="G1091" s="87">
        <f>H1082+H1083+H1085+H1086+H1087+SUM(H1089:H1090)</f>
        <v>2500.1099999999997</v>
      </c>
      <c r="H1091" s="87"/>
      <c r="J1091" s="87">
        <f>K1082+K1083+K1085+K1086+K1087+SUM(K1089:K1090)</f>
        <v>17826.57</v>
      </c>
      <c r="K1091" s="87"/>
      <c r="L1091" s="44">
        <f>Source!U349</f>
        <v>5.1692499999999999</v>
      </c>
      <c r="O1091" s="27">
        <f>G1091</f>
        <v>2500.1099999999997</v>
      </c>
      <c r="P1091" s="27">
        <f>J1091</f>
        <v>17826.57</v>
      </c>
      <c r="Q1091" s="27">
        <f>L1091</f>
        <v>5.1692499999999999</v>
      </c>
      <c r="W1091">
        <f>IF(Source!BI349&lt;=1,H1082+H1083+H1085+H1086+H1087, 0)</f>
        <v>180.16</v>
      </c>
      <c r="X1091">
        <f>IF(Source!BI349=2,H1082+H1083+H1085+H1086+H1087, 0)</f>
        <v>0</v>
      </c>
      <c r="Y1091">
        <f>IF(Source!BI349=3,H1082+H1083+H1085+H1086+H1087, 0)</f>
        <v>0</v>
      </c>
      <c r="Z1091">
        <f>IF(Source!BI349=4,H1082+H1083+H1085+H1086+H1087, 0)</f>
        <v>0</v>
      </c>
    </row>
    <row r="1092" spans="1:26" ht="42.75" x14ac:dyDescent="0.2">
      <c r="A1092" s="49" t="str">
        <f>Source!E352</f>
        <v>107</v>
      </c>
      <c r="B1092" s="50" t="str">
        <f>Source!F352</f>
        <v>17-01-002-04</v>
      </c>
      <c r="C1092" s="50" t="str">
        <f>Source!G352</f>
        <v>Установка гарнитуры туалетной: вешалок, подстаканников, поручней для ванн и т.д.</v>
      </c>
      <c r="D1092" s="33" t="str">
        <f>Source!H352</f>
        <v>10 ШТ</v>
      </c>
      <c r="E1092" s="11">
        <f>Source!I352</f>
        <v>0.4</v>
      </c>
      <c r="F1092" s="34">
        <f>Source!AL352+Source!AM352+Source!AO352</f>
        <v>27.540000000000003</v>
      </c>
      <c r="G1092" s="35"/>
      <c r="H1092" s="34"/>
      <c r="I1092" s="35" t="str">
        <f>Source!BO352</f>
        <v/>
      </c>
      <c r="J1092" s="35"/>
      <c r="K1092" s="34"/>
      <c r="L1092" s="36"/>
      <c r="S1092">
        <f>ROUND((Source!FX352/100)*((ROUND(Source!AF352*Source!I352, 2)+ROUND(Source!AE352*Source!I352, 2))), 2)</f>
        <v>14.27</v>
      </c>
      <c r="T1092">
        <f>Source!X352</f>
        <v>101.6</v>
      </c>
      <c r="U1092">
        <f>ROUND((Source!FY352/100)*((ROUND(Source!AF352*Source!I352, 2)+ROUND(Source!AE352*Source!I352, 2))), 2)</f>
        <v>8.74</v>
      </c>
      <c r="V1092">
        <f>Source!Y352</f>
        <v>62.73</v>
      </c>
    </row>
    <row r="1093" spans="1:26" x14ac:dyDescent="0.2">
      <c r="C1093" s="26" t="str">
        <f>"Объем: "&amp;Source!I352&amp;"=4/"&amp;"10"</f>
        <v>Объем: 0,4=4/10</v>
      </c>
    </row>
    <row r="1094" spans="1:26" ht="14.25" x14ac:dyDescent="0.2">
      <c r="A1094" s="49"/>
      <c r="B1094" s="50"/>
      <c r="C1094" s="50" t="s">
        <v>1783</v>
      </c>
      <c r="D1094" s="33"/>
      <c r="E1094" s="11"/>
      <c r="F1094" s="34">
        <f>Source!AO352</f>
        <v>26.94</v>
      </c>
      <c r="G1094" s="35" t="str">
        <f>Source!DG352</f>
        <v>)*1,15</v>
      </c>
      <c r="H1094" s="34">
        <f>ROUND(Source!AF352*Source!I352, 2)</f>
        <v>12.39</v>
      </c>
      <c r="I1094" s="35"/>
      <c r="J1094" s="35">
        <f>IF(Source!BA352&lt;&gt; 0, Source!BA352, 1)</f>
        <v>7.13</v>
      </c>
      <c r="K1094" s="34">
        <f>Source!S352</f>
        <v>88.35</v>
      </c>
      <c r="L1094" s="36"/>
      <c r="R1094">
        <f>H1094</f>
        <v>12.39</v>
      </c>
    </row>
    <row r="1095" spans="1:26" ht="14.25" x14ac:dyDescent="0.2">
      <c r="A1095" s="49"/>
      <c r="B1095" s="50"/>
      <c r="C1095" s="50" t="s">
        <v>1790</v>
      </c>
      <c r="D1095" s="33"/>
      <c r="E1095" s="11"/>
      <c r="F1095" s="34">
        <f>Source!AL352</f>
        <v>0.6</v>
      </c>
      <c r="G1095" s="35" t="str">
        <f>Source!DD352</f>
        <v/>
      </c>
      <c r="H1095" s="34">
        <f>ROUND(Source!AC352*Source!I352, 2)</f>
        <v>0.24</v>
      </c>
      <c r="I1095" s="35"/>
      <c r="J1095" s="35">
        <f>IF(Source!BC352&lt;&gt; 0, Source!BC352, 1)</f>
        <v>7.13</v>
      </c>
      <c r="K1095" s="34">
        <f>Source!P352</f>
        <v>1.71</v>
      </c>
      <c r="L1095" s="36"/>
    </row>
    <row r="1096" spans="1:26" ht="14.25" x14ac:dyDescent="0.2">
      <c r="A1096" s="49"/>
      <c r="B1096" s="50"/>
      <c r="C1096" s="50" t="s">
        <v>1785</v>
      </c>
      <c r="D1096" s="33" t="s">
        <v>1786</v>
      </c>
      <c r="E1096" s="11">
        <f>Source!BZ352</f>
        <v>128</v>
      </c>
      <c r="F1096" s="81" t="str">
        <f>CONCATENATE(" )", Source!DL352, Source!FT352, "=", Source!FX352)</f>
        <v xml:space="preserve"> )*0,9=115,2</v>
      </c>
      <c r="G1096" s="88"/>
      <c r="H1096" s="34">
        <f>SUM(S1092:S1100)</f>
        <v>14.27</v>
      </c>
      <c r="I1096" s="38"/>
      <c r="J1096" s="31">
        <f>Source!AT352</f>
        <v>115</v>
      </c>
      <c r="K1096" s="34">
        <f>SUM(T1092:T1100)</f>
        <v>101.6</v>
      </c>
      <c r="L1096" s="36"/>
    </row>
    <row r="1097" spans="1:26" ht="14.25" x14ac:dyDescent="0.2">
      <c r="A1097" s="49"/>
      <c r="B1097" s="50"/>
      <c r="C1097" s="50" t="s">
        <v>1787</v>
      </c>
      <c r="D1097" s="33" t="s">
        <v>1786</v>
      </c>
      <c r="E1097" s="11">
        <f>Source!CA352</f>
        <v>83</v>
      </c>
      <c r="F1097" s="81" t="str">
        <f>CONCATENATE(" )", Source!DM352, Source!FU352, "=", Source!FY352)</f>
        <v xml:space="preserve"> )*0,85=70,55</v>
      </c>
      <c r="G1097" s="88"/>
      <c r="H1097" s="34">
        <f>SUM(U1092:U1100)</f>
        <v>8.74</v>
      </c>
      <c r="I1097" s="38"/>
      <c r="J1097" s="31">
        <f>Source!AU352</f>
        <v>71</v>
      </c>
      <c r="K1097" s="34">
        <f>SUM(V1092:V1100)</f>
        <v>62.73</v>
      </c>
      <c r="L1097" s="36"/>
    </row>
    <row r="1098" spans="1:26" ht="14.25" x14ac:dyDescent="0.2">
      <c r="A1098" s="49"/>
      <c r="B1098" s="50"/>
      <c r="C1098" s="50" t="s">
        <v>1788</v>
      </c>
      <c r="D1098" s="33" t="s">
        <v>1789</v>
      </c>
      <c r="E1098" s="11">
        <f>Source!AQ352</f>
        <v>2.8</v>
      </c>
      <c r="F1098" s="34"/>
      <c r="G1098" s="35" t="str">
        <f>Source!DI352</f>
        <v>)*1,15</v>
      </c>
      <c r="H1098" s="34"/>
      <c r="I1098" s="35"/>
      <c r="J1098" s="35"/>
      <c r="K1098" s="34"/>
      <c r="L1098" s="45">
        <f>Source!U352</f>
        <v>1.288</v>
      </c>
    </row>
    <row r="1099" spans="1:26" ht="28.5" x14ac:dyDescent="0.2">
      <c r="A1099" s="49" t="str">
        <f>Source!E353</f>
        <v>107,1</v>
      </c>
      <c r="B1099" s="50" t="str">
        <f>Source!F353</f>
        <v>01.7.15.07-0011</v>
      </c>
      <c r="C1099" s="50" t="str">
        <f>Source!G353</f>
        <v>Дюбели пластмассовые с шурупами 10х60 мм</v>
      </c>
      <c r="D1099" s="33" t="str">
        <f>Source!H353</f>
        <v>100 шт.</v>
      </c>
      <c r="E1099" s="11">
        <f>Source!I353</f>
        <v>0.08</v>
      </c>
      <c r="F1099" s="34">
        <f>Source!AL353+Source!AM353+Source!AO353</f>
        <v>45.9</v>
      </c>
      <c r="G1099" s="48" t="s">
        <v>6</v>
      </c>
      <c r="H1099" s="34">
        <f>ROUND(Source!AC353*Source!I353, 2)+ROUND(Source!AD353*Source!I353, 2)+ROUND(Source!AF353*Source!I353, 2)</f>
        <v>3.67</v>
      </c>
      <c r="I1099" s="35"/>
      <c r="J1099" s="35">
        <f>IF(Source!BC353&lt;&gt; 0, Source!BC353, 1)</f>
        <v>7.13</v>
      </c>
      <c r="K1099" s="34">
        <f>Source!O353</f>
        <v>26.18</v>
      </c>
      <c r="L1099" s="36"/>
      <c r="S1099">
        <f>ROUND((Source!FX353/100)*((ROUND(Source!AF353*Source!I353, 2)+ROUND(Source!AE353*Source!I353, 2))), 2)</f>
        <v>0</v>
      </c>
      <c r="T1099">
        <f>Source!X353</f>
        <v>0</v>
      </c>
      <c r="U1099">
        <f>ROUND((Source!FY353/100)*((ROUND(Source!AF353*Source!I353, 2)+ROUND(Source!AE353*Source!I353, 2))), 2)</f>
        <v>0</v>
      </c>
      <c r="V1099">
        <f>Source!Y353</f>
        <v>0</v>
      </c>
      <c r="W1099">
        <f>IF(Source!BI353&lt;=1,H1099, 0)</f>
        <v>3.67</v>
      </c>
      <c r="X1099">
        <f>IF(Source!BI353=2,H1099, 0)</f>
        <v>0</v>
      </c>
      <c r="Y1099">
        <f>IF(Source!BI353=3,H1099, 0)</f>
        <v>0</v>
      </c>
      <c r="Z1099">
        <f>IF(Source!BI353=4,H1099, 0)</f>
        <v>0</v>
      </c>
    </row>
    <row r="1100" spans="1:26" ht="28.5" x14ac:dyDescent="0.2">
      <c r="A1100" s="51" t="str">
        <f>Source!E354</f>
        <v>107,2</v>
      </c>
      <c r="B1100" s="52" t="str">
        <f>Source!F354</f>
        <v>18.2.06.04-0011</v>
      </c>
      <c r="C1100" s="52" t="str">
        <f>Source!G354</f>
        <v>Зеркало декоративное фигурное с деталями крепления</v>
      </c>
      <c r="D1100" s="39" t="str">
        <f>Source!H354</f>
        <v>м2</v>
      </c>
      <c r="E1100" s="40">
        <f>Source!I354</f>
        <v>1.2</v>
      </c>
      <c r="F1100" s="41">
        <f>Source!AL354+Source!AM354+Source!AO354</f>
        <v>211.81</v>
      </c>
      <c r="G1100" s="46" t="s">
        <v>6</v>
      </c>
      <c r="H1100" s="41">
        <f>ROUND(Source!AC354*Source!I354, 2)+ROUND(Source!AD354*Source!I354, 2)+ROUND(Source!AF354*Source!I354, 2)</f>
        <v>254.17</v>
      </c>
      <c r="I1100" s="42"/>
      <c r="J1100" s="42">
        <f>IF(Source!BC354&lt;&gt; 0, Source!BC354, 1)</f>
        <v>7.13</v>
      </c>
      <c r="K1100" s="41">
        <f>Source!O354</f>
        <v>1812.25</v>
      </c>
      <c r="L1100" s="47"/>
      <c r="S1100">
        <f>ROUND((Source!FX354/100)*((ROUND(Source!AF354*Source!I354, 2)+ROUND(Source!AE354*Source!I354, 2))), 2)</f>
        <v>0</v>
      </c>
      <c r="T1100">
        <f>Source!X354</f>
        <v>0</v>
      </c>
      <c r="U1100">
        <f>ROUND((Source!FY354/100)*((ROUND(Source!AF354*Source!I354, 2)+ROUND(Source!AE354*Source!I354, 2))), 2)</f>
        <v>0</v>
      </c>
      <c r="V1100">
        <f>Source!Y354</f>
        <v>0</v>
      </c>
      <c r="W1100">
        <f>IF(Source!BI354&lt;=1,H1100, 0)</f>
        <v>254.17</v>
      </c>
      <c r="X1100">
        <f>IF(Source!BI354=2,H1100, 0)</f>
        <v>0</v>
      </c>
      <c r="Y1100">
        <f>IF(Source!BI354=3,H1100, 0)</f>
        <v>0</v>
      </c>
      <c r="Z1100">
        <f>IF(Source!BI354=4,H1100, 0)</f>
        <v>0</v>
      </c>
    </row>
    <row r="1101" spans="1:26" ht="15" x14ac:dyDescent="0.25">
      <c r="G1101" s="87">
        <f>H1094+H1095+H1096+H1097+SUM(H1099:H1100)</f>
        <v>293.47999999999996</v>
      </c>
      <c r="H1101" s="87"/>
      <c r="J1101" s="87">
        <f>K1094+K1095+K1096+K1097+SUM(K1099:K1100)</f>
        <v>2092.8200000000002</v>
      </c>
      <c r="K1101" s="87"/>
      <c r="L1101" s="44">
        <f>Source!U352</f>
        <v>1.288</v>
      </c>
      <c r="O1101" s="27">
        <f>G1101</f>
        <v>293.47999999999996</v>
      </c>
      <c r="P1101" s="27">
        <f>J1101</f>
        <v>2092.8200000000002</v>
      </c>
      <c r="Q1101" s="27">
        <f>L1101</f>
        <v>1.288</v>
      </c>
      <c r="W1101">
        <f>IF(Source!BI352&lt;=1,H1094+H1095+H1096+H1097, 0)</f>
        <v>35.64</v>
      </c>
      <c r="X1101">
        <f>IF(Source!BI352=2,H1094+H1095+H1096+H1097, 0)</f>
        <v>0</v>
      </c>
      <c r="Y1101">
        <f>IF(Source!BI352=3,H1094+H1095+H1096+H1097, 0)</f>
        <v>0</v>
      </c>
      <c r="Z1101">
        <f>IF(Source!BI352=4,H1094+H1095+H1096+H1097, 0)</f>
        <v>0</v>
      </c>
    </row>
    <row r="1102" spans="1:26" ht="42.75" x14ac:dyDescent="0.2">
      <c r="A1102" s="49" t="str">
        <f>Source!E355</f>
        <v>108</v>
      </c>
      <c r="B1102" s="50" t="str">
        <f>Source!F355</f>
        <v>16-07-004-01</v>
      </c>
      <c r="C1102" s="50" t="str">
        <f>Source!G355</f>
        <v>Врезка в действующие внутренние сети трубопроводов канализации диаметром 50 мм</v>
      </c>
      <c r="D1102" s="33" t="str">
        <f>Source!H355</f>
        <v>ШТ</v>
      </c>
      <c r="E1102" s="11">
        <f>Source!I355</f>
        <v>3</v>
      </c>
      <c r="F1102" s="34">
        <f>Source!AL355+Source!AM355+Source!AO355</f>
        <v>130.89999999999998</v>
      </c>
      <c r="G1102" s="35"/>
      <c r="H1102" s="34"/>
      <c r="I1102" s="35" t="str">
        <f>Source!BO355</f>
        <v/>
      </c>
      <c r="J1102" s="35"/>
      <c r="K1102" s="34"/>
      <c r="L1102" s="36"/>
      <c r="S1102">
        <f>ROUND((Source!FX355/100)*((ROUND(Source!AF355*Source!I355, 2)+ROUND(Source!AE355*Source!I355, 2))), 2)</f>
        <v>239.54</v>
      </c>
      <c r="T1102">
        <f>Source!X355</f>
        <v>1704.92</v>
      </c>
      <c r="U1102">
        <f>ROUND((Source!FY355/100)*((ROUND(Source!AF355*Source!I355, 2)+ROUND(Source!AE355*Source!I355, 2))), 2)</f>
        <v>146.69</v>
      </c>
      <c r="V1102">
        <f>Source!Y355</f>
        <v>1052.5999999999999</v>
      </c>
    </row>
    <row r="1103" spans="1:26" ht="14.25" x14ac:dyDescent="0.2">
      <c r="A1103" s="49"/>
      <c r="B1103" s="50"/>
      <c r="C1103" s="50" t="s">
        <v>1783</v>
      </c>
      <c r="D1103" s="33"/>
      <c r="E1103" s="11"/>
      <c r="F1103" s="34">
        <f>Source!AO355</f>
        <v>60.14</v>
      </c>
      <c r="G1103" s="35" t="str">
        <f>Source!DG355</f>
        <v>)*1,15</v>
      </c>
      <c r="H1103" s="34">
        <f>ROUND(Source!AF355*Source!I355, 2)</f>
        <v>207.48</v>
      </c>
      <c r="I1103" s="35"/>
      <c r="J1103" s="35">
        <f>IF(Source!BA355&lt;&gt; 0, Source!BA355, 1)</f>
        <v>7.13</v>
      </c>
      <c r="K1103" s="34">
        <f>Source!S355</f>
        <v>1479.33</v>
      </c>
      <c r="L1103" s="36"/>
      <c r="R1103">
        <f>H1103</f>
        <v>207.48</v>
      </c>
    </row>
    <row r="1104" spans="1:26" ht="14.25" x14ac:dyDescent="0.2">
      <c r="A1104" s="49"/>
      <c r="B1104" s="50"/>
      <c r="C1104" s="50" t="s">
        <v>449</v>
      </c>
      <c r="D1104" s="33"/>
      <c r="E1104" s="11"/>
      <c r="F1104" s="34">
        <f>Source!AM355</f>
        <v>0.66</v>
      </c>
      <c r="G1104" s="35" t="str">
        <f>Source!DE355</f>
        <v>)*1,25</v>
      </c>
      <c r="H1104" s="34">
        <f>ROUND(Source!AD355*Source!I355, 2)</f>
        <v>2.4900000000000002</v>
      </c>
      <c r="I1104" s="35"/>
      <c r="J1104" s="35">
        <f>IF(Source!BB355&lt;&gt; 0, Source!BB355, 1)</f>
        <v>7.13</v>
      </c>
      <c r="K1104" s="34">
        <f>Source!Q355</f>
        <v>17.75</v>
      </c>
      <c r="L1104" s="36"/>
    </row>
    <row r="1105" spans="1:26" ht="14.25" x14ac:dyDescent="0.2">
      <c r="A1105" s="49"/>
      <c r="B1105" s="50"/>
      <c r="C1105" s="50" t="s">
        <v>1784</v>
      </c>
      <c r="D1105" s="33"/>
      <c r="E1105" s="11"/>
      <c r="F1105" s="34">
        <f>Source!AN355</f>
        <v>0.12</v>
      </c>
      <c r="G1105" s="35" t="str">
        <f>Source!DF355</f>
        <v>)*1,25</v>
      </c>
      <c r="H1105" s="37">
        <f>ROUND(Source!AE355*Source!I355, 2)</f>
        <v>0.45</v>
      </c>
      <c r="I1105" s="35"/>
      <c r="J1105" s="35">
        <f>IF(Source!BS355&lt;&gt; 0, Source!BS355, 1)</f>
        <v>7.13</v>
      </c>
      <c r="K1105" s="37">
        <f>Source!R355</f>
        <v>3.21</v>
      </c>
      <c r="L1105" s="36"/>
      <c r="R1105">
        <f>H1105</f>
        <v>0.45</v>
      </c>
    </row>
    <row r="1106" spans="1:26" ht="14.25" x14ac:dyDescent="0.2">
      <c r="A1106" s="49"/>
      <c r="B1106" s="50"/>
      <c r="C1106" s="50" t="s">
        <v>1790</v>
      </c>
      <c r="D1106" s="33"/>
      <c r="E1106" s="11"/>
      <c r="F1106" s="34">
        <f>Source!AL355</f>
        <v>70.099999999999994</v>
      </c>
      <c r="G1106" s="35" t="str">
        <f>Source!DD355</f>
        <v/>
      </c>
      <c r="H1106" s="34">
        <f>ROUND(Source!AC355*Source!I355, 2)</f>
        <v>210.3</v>
      </c>
      <c r="I1106" s="35"/>
      <c r="J1106" s="35">
        <f>IF(Source!BC355&lt;&gt; 0, Source!BC355, 1)</f>
        <v>7.13</v>
      </c>
      <c r="K1106" s="34">
        <f>Source!P355</f>
        <v>1499.44</v>
      </c>
      <c r="L1106" s="36"/>
    </row>
    <row r="1107" spans="1:26" ht="14.25" x14ac:dyDescent="0.2">
      <c r="A1107" s="49"/>
      <c r="B1107" s="50"/>
      <c r="C1107" s="50" t="s">
        <v>1785</v>
      </c>
      <c r="D1107" s="33" t="s">
        <v>1786</v>
      </c>
      <c r="E1107" s="11">
        <f>Source!BZ355</f>
        <v>128</v>
      </c>
      <c r="F1107" s="81" t="str">
        <f>CONCATENATE(" )", Source!DL355, Source!FT355, "=", Source!FX355)</f>
        <v xml:space="preserve"> )*0,9=115,2</v>
      </c>
      <c r="G1107" s="88"/>
      <c r="H1107" s="34">
        <f>SUM(S1102:S1109)</f>
        <v>239.54</v>
      </c>
      <c r="I1107" s="38"/>
      <c r="J1107" s="31">
        <f>Source!AT355</f>
        <v>115</v>
      </c>
      <c r="K1107" s="34">
        <f>SUM(T1102:T1109)</f>
        <v>1704.92</v>
      </c>
      <c r="L1107" s="36"/>
    </row>
    <row r="1108" spans="1:26" ht="14.25" x14ac:dyDescent="0.2">
      <c r="A1108" s="49"/>
      <c r="B1108" s="50"/>
      <c r="C1108" s="50" t="s">
        <v>1787</v>
      </c>
      <c r="D1108" s="33" t="s">
        <v>1786</v>
      </c>
      <c r="E1108" s="11">
        <f>Source!CA355</f>
        <v>83</v>
      </c>
      <c r="F1108" s="81" t="str">
        <f>CONCATENATE(" )", Source!DM355, Source!FU355, "=", Source!FY355)</f>
        <v xml:space="preserve"> )*0,85=70,55</v>
      </c>
      <c r="G1108" s="88"/>
      <c r="H1108" s="34">
        <f>SUM(U1102:U1109)</f>
        <v>146.69</v>
      </c>
      <c r="I1108" s="38"/>
      <c r="J1108" s="31">
        <f>Source!AU355</f>
        <v>71</v>
      </c>
      <c r="K1108" s="34">
        <f>SUM(V1102:V1109)</f>
        <v>1052.5999999999999</v>
      </c>
      <c r="L1108" s="36"/>
    </row>
    <row r="1109" spans="1:26" ht="14.25" x14ac:dyDescent="0.2">
      <c r="A1109" s="51"/>
      <c r="B1109" s="52"/>
      <c r="C1109" s="52" t="s">
        <v>1788</v>
      </c>
      <c r="D1109" s="39" t="s">
        <v>1789</v>
      </c>
      <c r="E1109" s="40">
        <f>Source!AQ355</f>
        <v>7.05</v>
      </c>
      <c r="F1109" s="41"/>
      <c r="G1109" s="42" t="str">
        <f>Source!DI355</f>
        <v>)*1,15</v>
      </c>
      <c r="H1109" s="41"/>
      <c r="I1109" s="42"/>
      <c r="J1109" s="42"/>
      <c r="K1109" s="41"/>
      <c r="L1109" s="43">
        <f>Source!U355</f>
        <v>24.322499999999998</v>
      </c>
    </row>
    <row r="1110" spans="1:26" ht="15" x14ac:dyDescent="0.25">
      <c r="G1110" s="87">
        <f>H1103+H1104+H1106+H1107+H1108</f>
        <v>806.5</v>
      </c>
      <c r="H1110" s="87"/>
      <c r="J1110" s="87">
        <f>K1103+K1104+K1106+K1107+K1108</f>
        <v>5754.0400000000009</v>
      </c>
      <c r="K1110" s="87"/>
      <c r="L1110" s="44">
        <f>Source!U355</f>
        <v>24.322499999999998</v>
      </c>
      <c r="O1110" s="27">
        <f>G1110</f>
        <v>806.5</v>
      </c>
      <c r="P1110" s="27">
        <f>J1110</f>
        <v>5754.0400000000009</v>
      </c>
      <c r="Q1110" s="27">
        <f>L1110</f>
        <v>24.322499999999998</v>
      </c>
      <c r="W1110">
        <f>IF(Source!BI355&lt;=1,H1103+H1104+H1106+H1107+H1108, 0)</f>
        <v>806.5</v>
      </c>
      <c r="X1110">
        <f>IF(Source!BI355=2,H1103+H1104+H1106+H1107+H1108, 0)</f>
        <v>0</v>
      </c>
      <c r="Y1110">
        <f>IF(Source!BI355=3,H1103+H1104+H1106+H1107+H1108, 0)</f>
        <v>0</v>
      </c>
      <c r="Z1110">
        <f>IF(Source!BI355=4,H1103+H1104+H1106+H1107+H1108, 0)</f>
        <v>0</v>
      </c>
    </row>
    <row r="1111" spans="1:26" ht="42.75" x14ac:dyDescent="0.2">
      <c r="A1111" s="49" t="str">
        <f>Source!E356</f>
        <v>109</v>
      </c>
      <c r="B1111" s="50" t="str">
        <f>Source!F356</f>
        <v>16-07-004-02</v>
      </c>
      <c r="C1111" s="50" t="str">
        <f>Source!G356</f>
        <v>Врезка в действующие внутренние сети трубопроводов канализации диаметром 100 мм</v>
      </c>
      <c r="D1111" s="33" t="str">
        <f>Source!H356</f>
        <v>ШТ</v>
      </c>
      <c r="E1111" s="11">
        <f>Source!I356</f>
        <v>3</v>
      </c>
      <c r="F1111" s="34">
        <f>Source!AL356+Source!AM356+Source!AO356</f>
        <v>212.43</v>
      </c>
      <c r="G1111" s="35"/>
      <c r="H1111" s="34"/>
      <c r="I1111" s="35" t="str">
        <f>Source!BO356</f>
        <v/>
      </c>
      <c r="J1111" s="35"/>
      <c r="K1111" s="34"/>
      <c r="L1111" s="36"/>
      <c r="S1111">
        <f>ROUND((Source!FX356/100)*((ROUND(Source!AF356*Source!I356, 2)+ROUND(Source!AE356*Source!I356, 2))), 2)</f>
        <v>303.61</v>
      </c>
      <c r="T1111">
        <f>Source!X356</f>
        <v>2160.98</v>
      </c>
      <c r="U1111">
        <f>ROUND((Source!FY356/100)*((ROUND(Source!AF356*Source!I356, 2)+ROUND(Source!AE356*Source!I356, 2))), 2)</f>
        <v>185.93</v>
      </c>
      <c r="V1111">
        <f>Source!Y356</f>
        <v>1334.17</v>
      </c>
    </row>
    <row r="1112" spans="1:26" ht="14.25" x14ac:dyDescent="0.2">
      <c r="A1112" s="49"/>
      <c r="B1112" s="50"/>
      <c r="C1112" s="50" t="s">
        <v>1783</v>
      </c>
      <c r="D1112" s="33"/>
      <c r="E1112" s="11"/>
      <c r="F1112" s="34">
        <f>Source!AO356</f>
        <v>76.260000000000005</v>
      </c>
      <c r="G1112" s="35" t="str">
        <f>Source!DG356</f>
        <v>)*1,15</v>
      </c>
      <c r="H1112" s="34">
        <f>ROUND(Source!AF356*Source!I356, 2)</f>
        <v>263.10000000000002</v>
      </c>
      <c r="I1112" s="35"/>
      <c r="J1112" s="35">
        <f>IF(Source!BA356&lt;&gt; 0, Source!BA356, 1)</f>
        <v>7.13</v>
      </c>
      <c r="K1112" s="34">
        <f>Source!S356</f>
        <v>1875.9</v>
      </c>
      <c r="L1112" s="36"/>
      <c r="R1112">
        <f>H1112</f>
        <v>263.10000000000002</v>
      </c>
    </row>
    <row r="1113" spans="1:26" ht="14.25" x14ac:dyDescent="0.2">
      <c r="A1113" s="49"/>
      <c r="B1113" s="50"/>
      <c r="C1113" s="50" t="s">
        <v>449</v>
      </c>
      <c r="D1113" s="33"/>
      <c r="E1113" s="11"/>
      <c r="F1113" s="34">
        <f>Source!AM356</f>
        <v>0.66</v>
      </c>
      <c r="G1113" s="35" t="str">
        <f>Source!DE356</f>
        <v>)*1,25</v>
      </c>
      <c r="H1113" s="34">
        <f>ROUND(Source!AD356*Source!I356, 2)</f>
        <v>2.4900000000000002</v>
      </c>
      <c r="I1113" s="35"/>
      <c r="J1113" s="35">
        <f>IF(Source!BB356&lt;&gt; 0, Source!BB356, 1)</f>
        <v>7.13</v>
      </c>
      <c r="K1113" s="34">
        <f>Source!Q356</f>
        <v>17.75</v>
      </c>
      <c r="L1113" s="36"/>
    </row>
    <row r="1114" spans="1:26" ht="14.25" x14ac:dyDescent="0.2">
      <c r="A1114" s="49"/>
      <c r="B1114" s="50"/>
      <c r="C1114" s="50" t="s">
        <v>1784</v>
      </c>
      <c r="D1114" s="33"/>
      <c r="E1114" s="11"/>
      <c r="F1114" s="34">
        <f>Source!AN356</f>
        <v>0.12</v>
      </c>
      <c r="G1114" s="35" t="str">
        <f>Source!DF356</f>
        <v>)*1,25</v>
      </c>
      <c r="H1114" s="37">
        <f>ROUND(Source!AE356*Source!I356, 2)</f>
        <v>0.45</v>
      </c>
      <c r="I1114" s="35"/>
      <c r="J1114" s="35">
        <f>IF(Source!BS356&lt;&gt; 0, Source!BS356, 1)</f>
        <v>7.13</v>
      </c>
      <c r="K1114" s="37">
        <f>Source!R356</f>
        <v>3.21</v>
      </c>
      <c r="L1114" s="36"/>
      <c r="R1114">
        <f>H1114</f>
        <v>0.45</v>
      </c>
    </row>
    <row r="1115" spans="1:26" ht="14.25" x14ac:dyDescent="0.2">
      <c r="A1115" s="49"/>
      <c r="B1115" s="50"/>
      <c r="C1115" s="50" t="s">
        <v>1790</v>
      </c>
      <c r="D1115" s="33"/>
      <c r="E1115" s="11"/>
      <c r="F1115" s="34">
        <f>Source!AL356</f>
        <v>135.51</v>
      </c>
      <c r="G1115" s="35" t="str">
        <f>Source!DD356</f>
        <v/>
      </c>
      <c r="H1115" s="34">
        <f>ROUND(Source!AC356*Source!I356, 2)</f>
        <v>406.53</v>
      </c>
      <c r="I1115" s="35"/>
      <c r="J1115" s="35">
        <f>IF(Source!BC356&lt;&gt; 0, Source!BC356, 1)</f>
        <v>7.13</v>
      </c>
      <c r="K1115" s="34">
        <f>Source!P356</f>
        <v>2898.56</v>
      </c>
      <c r="L1115" s="36"/>
    </row>
    <row r="1116" spans="1:26" ht="14.25" x14ac:dyDescent="0.2">
      <c r="A1116" s="49"/>
      <c r="B1116" s="50"/>
      <c r="C1116" s="50" t="s">
        <v>1785</v>
      </c>
      <c r="D1116" s="33" t="s">
        <v>1786</v>
      </c>
      <c r="E1116" s="11">
        <f>Source!BZ356</f>
        <v>128</v>
      </c>
      <c r="F1116" s="81" t="str">
        <f>CONCATENATE(" )", Source!DL356, Source!FT356, "=", Source!FX356)</f>
        <v xml:space="preserve"> )*0,9=115,2</v>
      </c>
      <c r="G1116" s="88"/>
      <c r="H1116" s="34">
        <f>SUM(S1111:S1118)</f>
        <v>303.61</v>
      </c>
      <c r="I1116" s="38"/>
      <c r="J1116" s="31">
        <f>Source!AT356</f>
        <v>115</v>
      </c>
      <c r="K1116" s="34">
        <f>SUM(T1111:T1118)</f>
        <v>2160.98</v>
      </c>
      <c r="L1116" s="36"/>
    </row>
    <row r="1117" spans="1:26" ht="14.25" x14ac:dyDescent="0.2">
      <c r="A1117" s="49"/>
      <c r="B1117" s="50"/>
      <c r="C1117" s="50" t="s">
        <v>1787</v>
      </c>
      <c r="D1117" s="33" t="s">
        <v>1786</v>
      </c>
      <c r="E1117" s="11">
        <f>Source!CA356</f>
        <v>83</v>
      </c>
      <c r="F1117" s="81" t="str">
        <f>CONCATENATE(" )", Source!DM356, Source!FU356, "=", Source!FY356)</f>
        <v xml:space="preserve"> )*0,85=70,55</v>
      </c>
      <c r="G1117" s="88"/>
      <c r="H1117" s="34">
        <f>SUM(U1111:U1118)</f>
        <v>185.93</v>
      </c>
      <c r="I1117" s="38"/>
      <c r="J1117" s="31">
        <f>Source!AU356</f>
        <v>71</v>
      </c>
      <c r="K1117" s="34">
        <f>SUM(V1111:V1118)</f>
        <v>1334.17</v>
      </c>
      <c r="L1117" s="36"/>
    </row>
    <row r="1118" spans="1:26" ht="14.25" x14ac:dyDescent="0.2">
      <c r="A1118" s="51"/>
      <c r="B1118" s="52"/>
      <c r="C1118" s="52" t="s">
        <v>1788</v>
      </c>
      <c r="D1118" s="39" t="s">
        <v>1789</v>
      </c>
      <c r="E1118" s="40">
        <f>Source!AQ356</f>
        <v>8.94</v>
      </c>
      <c r="F1118" s="41"/>
      <c r="G1118" s="42" t="str">
        <f>Source!DI356</f>
        <v>)*1,15</v>
      </c>
      <c r="H1118" s="41"/>
      <c r="I1118" s="42"/>
      <c r="J1118" s="42"/>
      <c r="K1118" s="41"/>
      <c r="L1118" s="43">
        <f>Source!U356</f>
        <v>30.842999999999996</v>
      </c>
    </row>
    <row r="1119" spans="1:26" ht="15" x14ac:dyDescent="0.25">
      <c r="G1119" s="87">
        <f>H1112+H1113+H1115+H1116+H1117</f>
        <v>1161.6600000000001</v>
      </c>
      <c r="H1119" s="87"/>
      <c r="J1119" s="87">
        <f>K1112+K1113+K1115+K1116+K1117</f>
        <v>8287.36</v>
      </c>
      <c r="K1119" s="87"/>
      <c r="L1119" s="44">
        <f>Source!U356</f>
        <v>30.842999999999996</v>
      </c>
      <c r="O1119" s="27">
        <f>G1119</f>
        <v>1161.6600000000001</v>
      </c>
      <c r="P1119" s="27">
        <f>J1119</f>
        <v>8287.36</v>
      </c>
      <c r="Q1119" s="27">
        <f>L1119</f>
        <v>30.842999999999996</v>
      </c>
      <c r="W1119">
        <f>IF(Source!BI356&lt;=1,H1112+H1113+H1115+H1116+H1117, 0)</f>
        <v>1161.6600000000001</v>
      </c>
      <c r="X1119">
        <f>IF(Source!BI356=2,H1112+H1113+H1115+H1116+H1117, 0)</f>
        <v>0</v>
      </c>
      <c r="Y1119">
        <f>IF(Source!BI356=3,H1112+H1113+H1115+H1116+H1117, 0)</f>
        <v>0</v>
      </c>
      <c r="Z1119">
        <f>IF(Source!BI356=4,H1112+H1113+H1115+H1116+H1117, 0)</f>
        <v>0</v>
      </c>
    </row>
    <row r="1121" spans="1:32" ht="15" x14ac:dyDescent="0.25">
      <c r="A1121" s="91" t="str">
        <f>CONCATENATE("Итого по разделу: ",IF(Source!G358&lt;&gt;"Новый раздел", Source!G358, ""))</f>
        <v>Итого по разделу: Внутренняя система канализации</v>
      </c>
      <c r="B1121" s="91"/>
      <c r="C1121" s="91"/>
      <c r="D1121" s="91"/>
      <c r="E1121" s="91"/>
      <c r="F1121" s="91"/>
      <c r="G1121" s="92">
        <f>SUM(O944:O1120)</f>
        <v>12188.259999999998</v>
      </c>
      <c r="H1121" s="92"/>
      <c r="I1121" s="30"/>
      <c r="J1121" s="92">
        <f>SUM(P944:P1120)</f>
        <v>86918.95</v>
      </c>
      <c r="K1121" s="92"/>
      <c r="L1121" s="44">
        <f>SUM(Q944:Q1120)</f>
        <v>138.16720199999997</v>
      </c>
      <c r="AF1121" s="54" t="str">
        <f>CONCATENATE("Итого по разделу: ",IF(Source!G358&lt;&gt;"Новый раздел", Source!G358, ""))</f>
        <v>Итого по разделу: Внутренняя система канализации</v>
      </c>
    </row>
    <row r="1123" spans="1:32" ht="16.5" x14ac:dyDescent="0.25">
      <c r="A1123" s="89" t="str">
        <f>CONCATENATE("Раздел: ",IF(Source!G390&lt;&gt;"Новый раздел", Source!G390, ""))</f>
        <v>Раздел: Внутренняя система водоснабжения</v>
      </c>
      <c r="B1123" s="89"/>
      <c r="C1123" s="89"/>
      <c r="D1123" s="89"/>
      <c r="E1123" s="89"/>
      <c r="F1123" s="89"/>
      <c r="G1123" s="89"/>
      <c r="H1123" s="89"/>
      <c r="I1123" s="89"/>
      <c r="J1123" s="89"/>
      <c r="K1123" s="89"/>
      <c r="L1123" s="89"/>
    </row>
    <row r="1124" spans="1:32" ht="42.75" x14ac:dyDescent="0.2">
      <c r="A1124" s="49" t="str">
        <f>Source!E394</f>
        <v>110</v>
      </c>
      <c r="B1124" s="50" t="str">
        <f>Source!F394</f>
        <v>65-1-1</v>
      </c>
      <c r="C1124" s="50" t="str">
        <f>Source!G394</f>
        <v>Разборка трубопроводов из водогазопроводных труб диаметром до 32 мм</v>
      </c>
      <c r="D1124" s="33" t="str">
        <f>Source!H394</f>
        <v>100 м</v>
      </c>
      <c r="E1124" s="11">
        <f>Source!I394</f>
        <v>0.90300000000000002</v>
      </c>
      <c r="F1124" s="34">
        <f>Source!AL394+Source!AM394+Source!AO394</f>
        <v>328.71</v>
      </c>
      <c r="G1124" s="35"/>
      <c r="H1124" s="34"/>
      <c r="I1124" s="35" t="str">
        <f>Source!BO394</f>
        <v/>
      </c>
      <c r="J1124" s="35"/>
      <c r="K1124" s="34"/>
      <c r="L1124" s="36"/>
      <c r="S1124">
        <f>ROUND((Source!FX394/100)*((ROUND(Source!AF394*Source!I394, 2)+ROUND(Source!AE394*Source!I394, 2))), 2)</f>
        <v>193.36</v>
      </c>
      <c r="T1124">
        <f>Source!X394</f>
        <v>1378.68</v>
      </c>
      <c r="U1124">
        <f>ROUND((Source!FY394/100)*((ROUND(Source!AF394*Source!I394, 2)+ROUND(Source!AE394*Source!I394, 2))), 2)</f>
        <v>130.65</v>
      </c>
      <c r="V1124">
        <f>Source!Y394</f>
        <v>931.54</v>
      </c>
    </row>
    <row r="1125" spans="1:32" x14ac:dyDescent="0.2">
      <c r="C1125" s="26" t="str">
        <f>"Объем: "&amp;Source!I394&amp;"=90,3/"&amp;"100"</f>
        <v>Объем: 0,903=90,3/100</v>
      </c>
    </row>
    <row r="1126" spans="1:32" ht="14.25" x14ac:dyDescent="0.2">
      <c r="A1126" s="49"/>
      <c r="B1126" s="50"/>
      <c r="C1126" s="50" t="s">
        <v>1783</v>
      </c>
      <c r="D1126" s="33"/>
      <c r="E1126" s="11"/>
      <c r="F1126" s="34">
        <f>Source!AO394</f>
        <v>288.02</v>
      </c>
      <c r="G1126" s="35" t="str">
        <f>Source!DG394</f>
        <v/>
      </c>
      <c r="H1126" s="34">
        <f>ROUND(Source!AF394*Source!I394, 2)</f>
        <v>260.08</v>
      </c>
      <c r="I1126" s="35"/>
      <c r="J1126" s="35">
        <f>IF(Source!BA394&lt;&gt; 0, Source!BA394, 1)</f>
        <v>7.13</v>
      </c>
      <c r="K1126" s="34">
        <f>Source!S394</f>
        <v>1854.39</v>
      </c>
      <c r="L1126" s="36"/>
      <c r="R1126">
        <f>H1126</f>
        <v>260.08</v>
      </c>
    </row>
    <row r="1127" spans="1:32" ht="14.25" x14ac:dyDescent="0.2">
      <c r="A1127" s="49"/>
      <c r="B1127" s="50"/>
      <c r="C1127" s="50" t="s">
        <v>449</v>
      </c>
      <c r="D1127" s="33"/>
      <c r="E1127" s="11"/>
      <c r="F1127" s="34">
        <f>Source!AM394</f>
        <v>7.09</v>
      </c>
      <c r="G1127" s="35" t="str">
        <f>Source!DE394</f>
        <v/>
      </c>
      <c r="H1127" s="34">
        <f>ROUND(Source!AD394*Source!I394, 2)</f>
        <v>6.4</v>
      </c>
      <c r="I1127" s="35"/>
      <c r="J1127" s="35">
        <f>IF(Source!BB394&lt;&gt; 0, Source!BB394, 1)</f>
        <v>7.13</v>
      </c>
      <c r="K1127" s="34">
        <f>Source!Q394</f>
        <v>45.65</v>
      </c>
      <c r="L1127" s="36"/>
    </row>
    <row r="1128" spans="1:32" ht="14.25" x14ac:dyDescent="0.2">
      <c r="A1128" s="49"/>
      <c r="B1128" s="50"/>
      <c r="C1128" s="50" t="s">
        <v>1784</v>
      </c>
      <c r="D1128" s="33"/>
      <c r="E1128" s="11"/>
      <c r="F1128" s="34">
        <f>Source!AN394</f>
        <v>1.35</v>
      </c>
      <c r="G1128" s="35" t="str">
        <f>Source!DF394</f>
        <v/>
      </c>
      <c r="H1128" s="37">
        <f>ROUND(Source!AE394*Source!I394, 2)</f>
        <v>1.22</v>
      </c>
      <c r="I1128" s="35"/>
      <c r="J1128" s="35">
        <f>IF(Source!BS394&lt;&gt; 0, Source!BS394, 1)</f>
        <v>7.13</v>
      </c>
      <c r="K1128" s="37">
        <f>Source!R394</f>
        <v>8.69</v>
      </c>
      <c r="L1128" s="36"/>
      <c r="R1128">
        <f>H1128</f>
        <v>1.22</v>
      </c>
    </row>
    <row r="1129" spans="1:32" ht="14.25" x14ac:dyDescent="0.2">
      <c r="A1129" s="49"/>
      <c r="B1129" s="50"/>
      <c r="C1129" s="50" t="s">
        <v>1785</v>
      </c>
      <c r="D1129" s="33" t="s">
        <v>1786</v>
      </c>
      <c r="E1129" s="11">
        <f>Source!BZ394</f>
        <v>74</v>
      </c>
      <c r="F1129" s="53"/>
      <c r="G1129" s="35"/>
      <c r="H1129" s="34">
        <f>SUM(S1124:S1131)</f>
        <v>193.36</v>
      </c>
      <c r="I1129" s="38"/>
      <c r="J1129" s="31">
        <f>Source!AT394</f>
        <v>74</v>
      </c>
      <c r="K1129" s="34">
        <f>SUM(T1124:T1131)</f>
        <v>1378.68</v>
      </c>
      <c r="L1129" s="36"/>
    </row>
    <row r="1130" spans="1:32" ht="14.25" x14ac:dyDescent="0.2">
      <c r="A1130" s="49"/>
      <c r="B1130" s="50"/>
      <c r="C1130" s="50" t="s">
        <v>1787</v>
      </c>
      <c r="D1130" s="33" t="s">
        <v>1786</v>
      </c>
      <c r="E1130" s="11">
        <f>Source!CA394</f>
        <v>50</v>
      </c>
      <c r="F1130" s="53"/>
      <c r="G1130" s="35"/>
      <c r="H1130" s="34">
        <f>SUM(U1124:U1131)</f>
        <v>130.65</v>
      </c>
      <c r="I1130" s="38"/>
      <c r="J1130" s="31">
        <f>Source!AU394</f>
        <v>50</v>
      </c>
      <c r="K1130" s="34">
        <f>SUM(V1124:V1131)</f>
        <v>931.54</v>
      </c>
      <c r="L1130" s="36"/>
    </row>
    <row r="1131" spans="1:32" ht="14.25" x14ac:dyDescent="0.2">
      <c r="A1131" s="51"/>
      <c r="B1131" s="52"/>
      <c r="C1131" s="52" t="s">
        <v>1788</v>
      </c>
      <c r="D1131" s="39" t="s">
        <v>1789</v>
      </c>
      <c r="E1131" s="40">
        <f>Source!AQ394</f>
        <v>34.659999999999997</v>
      </c>
      <c r="F1131" s="41"/>
      <c r="G1131" s="42" t="str">
        <f>Source!DI394</f>
        <v/>
      </c>
      <c r="H1131" s="41"/>
      <c r="I1131" s="42"/>
      <c r="J1131" s="42"/>
      <c r="K1131" s="41"/>
      <c r="L1131" s="43">
        <f>Source!U394</f>
        <v>31.297979999999999</v>
      </c>
    </row>
    <row r="1132" spans="1:32" ht="15" x14ac:dyDescent="0.25">
      <c r="G1132" s="87">
        <f>H1126+H1127+H1129+H1130</f>
        <v>590.49</v>
      </c>
      <c r="H1132" s="87"/>
      <c r="J1132" s="87">
        <f>K1126+K1127+K1129+K1130</f>
        <v>4210.26</v>
      </c>
      <c r="K1132" s="87"/>
      <c r="L1132" s="44">
        <f>Source!U394</f>
        <v>31.297979999999999</v>
      </c>
      <c r="O1132" s="27">
        <f>G1132</f>
        <v>590.49</v>
      </c>
      <c r="P1132" s="27">
        <f>J1132</f>
        <v>4210.26</v>
      </c>
      <c r="Q1132" s="27">
        <f>L1132</f>
        <v>31.297979999999999</v>
      </c>
      <c r="W1132">
        <f>IF(Source!BI394&lt;=1,H1126+H1127+H1129+H1130, 0)</f>
        <v>590.49</v>
      </c>
      <c r="X1132">
        <f>IF(Source!BI394=2,H1126+H1127+H1129+H1130, 0)</f>
        <v>0</v>
      </c>
      <c r="Y1132">
        <f>IF(Source!BI394=3,H1126+H1127+H1129+H1130, 0)</f>
        <v>0</v>
      </c>
      <c r="Z1132">
        <f>IF(Source!BI394=4,H1126+H1127+H1129+H1130, 0)</f>
        <v>0</v>
      </c>
    </row>
    <row r="1133" spans="1:32" ht="57" x14ac:dyDescent="0.2">
      <c r="A1133" s="49" t="str">
        <f>Source!E395</f>
        <v>111</v>
      </c>
      <c r="B1133" s="50" t="str">
        <f>Source!F395</f>
        <v>16-04-002-01</v>
      </c>
      <c r="C1133" s="50" t="str">
        <f>Source!G395</f>
        <v>Прокладка трубопроводов водоснабжения из напорных полиэтиленовых труб наружным диаметром 20 мм</v>
      </c>
      <c r="D1133" s="33" t="str">
        <f>Source!H395</f>
        <v>100 м</v>
      </c>
      <c r="E1133" s="11">
        <f>Source!I395</f>
        <v>0.34399999999999997</v>
      </c>
      <c r="F1133" s="34">
        <f>Source!AL395+Source!AM395+Source!AO395</f>
        <v>3300.53</v>
      </c>
      <c r="G1133" s="35"/>
      <c r="H1133" s="34"/>
      <c r="I1133" s="35" t="str">
        <f>Source!BO395</f>
        <v/>
      </c>
      <c r="J1133" s="35"/>
      <c r="K1133" s="34"/>
      <c r="L1133" s="36"/>
      <c r="S1133">
        <f>ROUND((Source!FX395/100)*((ROUND(Source!AF395*Source!I395, 2)+ROUND(Source!AE395*Source!I395, 2))), 2)</f>
        <v>951.06</v>
      </c>
      <c r="T1133">
        <f>Source!X395</f>
        <v>6769.28</v>
      </c>
      <c r="U1133">
        <f>ROUND((Source!FY395/100)*((ROUND(Source!AF395*Source!I395, 2)+ROUND(Source!AE395*Source!I395, 2))), 2)</f>
        <v>582.44000000000005</v>
      </c>
      <c r="V1133">
        <f>Source!Y395</f>
        <v>4179.29</v>
      </c>
    </row>
    <row r="1134" spans="1:32" x14ac:dyDescent="0.2">
      <c r="C1134" s="26" t="str">
        <f>"Объем: "&amp;Source!I395&amp;"=34,4/"&amp;"100"</f>
        <v>Объем: 0,344=34,4/100</v>
      </c>
    </row>
    <row r="1135" spans="1:32" ht="14.25" x14ac:dyDescent="0.2">
      <c r="A1135" s="49"/>
      <c r="B1135" s="50"/>
      <c r="C1135" s="50" t="s">
        <v>1783</v>
      </c>
      <c r="D1135" s="33"/>
      <c r="E1135" s="11"/>
      <c r="F1135" s="34">
        <f>Source!AO395</f>
        <v>1887.18</v>
      </c>
      <c r="G1135" s="35" t="str">
        <f>Source!DG395</f>
        <v>)*1,15</v>
      </c>
      <c r="H1135" s="34">
        <f>ROUND(Source!AF395*Source!I395, 2)</f>
        <v>746.57</v>
      </c>
      <c r="I1135" s="35"/>
      <c r="J1135" s="35">
        <f>IF(Source!BA395&lt;&gt; 0, Source!BA395, 1)</f>
        <v>7.13</v>
      </c>
      <c r="K1135" s="34">
        <f>Source!S395</f>
        <v>5323.04</v>
      </c>
      <c r="L1135" s="36"/>
      <c r="R1135">
        <f>H1135</f>
        <v>746.57</v>
      </c>
    </row>
    <row r="1136" spans="1:32" ht="14.25" x14ac:dyDescent="0.2">
      <c r="A1136" s="49"/>
      <c r="B1136" s="50"/>
      <c r="C1136" s="50" t="s">
        <v>449</v>
      </c>
      <c r="D1136" s="33"/>
      <c r="E1136" s="11"/>
      <c r="F1136" s="34">
        <f>Source!AM395</f>
        <v>1357.47</v>
      </c>
      <c r="G1136" s="35" t="str">
        <f>Source!DE395</f>
        <v>)*1,25</v>
      </c>
      <c r="H1136" s="34">
        <f>ROUND(Source!AD395*Source!I395, 2)</f>
        <v>583.71</v>
      </c>
      <c r="I1136" s="35"/>
      <c r="J1136" s="35">
        <f>IF(Source!BB395&lt;&gt; 0, Source!BB395, 1)</f>
        <v>7.13</v>
      </c>
      <c r="K1136" s="34">
        <f>Source!Q395</f>
        <v>4161.87</v>
      </c>
      <c r="L1136" s="36"/>
    </row>
    <row r="1137" spans="1:26" ht="14.25" x14ac:dyDescent="0.2">
      <c r="A1137" s="49"/>
      <c r="B1137" s="50"/>
      <c r="C1137" s="50" t="s">
        <v>1784</v>
      </c>
      <c r="D1137" s="33"/>
      <c r="E1137" s="11"/>
      <c r="F1137" s="34">
        <f>Source!AN395</f>
        <v>183.73</v>
      </c>
      <c r="G1137" s="35" t="str">
        <f>Source!DF395</f>
        <v>)*1,25</v>
      </c>
      <c r="H1137" s="37">
        <f>ROUND(Source!AE395*Source!I395, 2)</f>
        <v>79</v>
      </c>
      <c r="I1137" s="35"/>
      <c r="J1137" s="35">
        <f>IF(Source!BS395&lt;&gt; 0, Source!BS395, 1)</f>
        <v>7.13</v>
      </c>
      <c r="K1137" s="37">
        <f>Source!R395</f>
        <v>563.29</v>
      </c>
      <c r="L1137" s="36"/>
      <c r="R1137">
        <f>H1137</f>
        <v>79</v>
      </c>
    </row>
    <row r="1138" spans="1:26" ht="14.25" x14ac:dyDescent="0.2">
      <c r="A1138" s="49"/>
      <c r="B1138" s="50"/>
      <c r="C1138" s="50" t="s">
        <v>1790</v>
      </c>
      <c r="D1138" s="33"/>
      <c r="E1138" s="11"/>
      <c r="F1138" s="34">
        <f>Source!AL395</f>
        <v>55.88</v>
      </c>
      <c r="G1138" s="35" t="str">
        <f>Source!DD395</f>
        <v/>
      </c>
      <c r="H1138" s="34">
        <f>ROUND(Source!AC395*Source!I395, 2)</f>
        <v>19.22</v>
      </c>
      <c r="I1138" s="35"/>
      <c r="J1138" s="35">
        <f>IF(Source!BC395&lt;&gt; 0, Source!BC395, 1)</f>
        <v>7.13</v>
      </c>
      <c r="K1138" s="34">
        <f>Source!P395</f>
        <v>137.06</v>
      </c>
      <c r="L1138" s="36"/>
    </row>
    <row r="1139" spans="1:26" ht="14.25" x14ac:dyDescent="0.2">
      <c r="A1139" s="49"/>
      <c r="B1139" s="50"/>
      <c r="C1139" s="50" t="s">
        <v>1785</v>
      </c>
      <c r="D1139" s="33" t="s">
        <v>1786</v>
      </c>
      <c r="E1139" s="11">
        <f>Source!BZ395</f>
        <v>128</v>
      </c>
      <c r="F1139" s="81" t="str">
        <f>CONCATENATE(" )", Source!DL395, Source!FT395, "=", Source!FX395)</f>
        <v xml:space="preserve"> )*0,9=115,2</v>
      </c>
      <c r="G1139" s="88"/>
      <c r="H1139" s="34">
        <f>SUM(S1133:S1143)</f>
        <v>951.06</v>
      </c>
      <c r="I1139" s="38"/>
      <c r="J1139" s="31">
        <f>Source!AT395</f>
        <v>115</v>
      </c>
      <c r="K1139" s="34">
        <f>SUM(T1133:T1143)</f>
        <v>6769.28</v>
      </c>
      <c r="L1139" s="36"/>
    </row>
    <row r="1140" spans="1:26" ht="14.25" x14ac:dyDescent="0.2">
      <c r="A1140" s="49"/>
      <c r="B1140" s="50"/>
      <c r="C1140" s="50" t="s">
        <v>1787</v>
      </c>
      <c r="D1140" s="33" t="s">
        <v>1786</v>
      </c>
      <c r="E1140" s="11">
        <f>Source!CA395</f>
        <v>83</v>
      </c>
      <c r="F1140" s="81" t="str">
        <f>CONCATENATE(" )", Source!DM395, Source!FU395, "=", Source!FY395)</f>
        <v xml:space="preserve"> )*0,85=70,55</v>
      </c>
      <c r="G1140" s="88"/>
      <c r="H1140" s="34">
        <f>SUM(U1133:U1143)</f>
        <v>582.44000000000005</v>
      </c>
      <c r="I1140" s="38"/>
      <c r="J1140" s="31">
        <f>Source!AU395</f>
        <v>71</v>
      </c>
      <c r="K1140" s="34">
        <f>SUM(V1133:V1143)</f>
        <v>4179.29</v>
      </c>
      <c r="L1140" s="36"/>
    </row>
    <row r="1141" spans="1:26" ht="14.25" x14ac:dyDescent="0.2">
      <c r="A1141" s="49"/>
      <c r="B1141" s="50"/>
      <c r="C1141" s="50" t="s">
        <v>1788</v>
      </c>
      <c r="D1141" s="33" t="s">
        <v>1789</v>
      </c>
      <c r="E1141" s="11">
        <f>Source!AQ395</f>
        <v>190.24</v>
      </c>
      <c r="F1141" s="34"/>
      <c r="G1141" s="35" t="str">
        <f>Source!DI395</f>
        <v>)*1,15</v>
      </c>
      <c r="H1141" s="34"/>
      <c r="I1141" s="35"/>
      <c r="J1141" s="35"/>
      <c r="K1141" s="34"/>
      <c r="L1141" s="45">
        <f>Source!U395</f>
        <v>75.258943999999985</v>
      </c>
    </row>
    <row r="1142" spans="1:26" ht="42.75" x14ac:dyDescent="0.2">
      <c r="A1142" s="49" t="str">
        <f>Source!E396</f>
        <v>111,1</v>
      </c>
      <c r="B1142" s="50" t="str">
        <f>Source!F396</f>
        <v>23.1.02.06-0042</v>
      </c>
      <c r="C1142" s="50" t="str">
        <f>Source!G396</f>
        <v>Хомут стальной оцинкованный с саморезом и резиновой прокладкой для крепления труб диаметром 20 мм</v>
      </c>
      <c r="D1142" s="33" t="str">
        <f>Source!H396</f>
        <v>10 шт.</v>
      </c>
      <c r="E1142" s="11">
        <f>Source!I396</f>
        <v>0.19999999999999998</v>
      </c>
      <c r="F1142" s="34">
        <f>Source!AL396+Source!AM396+Source!AO396</f>
        <v>57.5</v>
      </c>
      <c r="G1142" s="48" t="s">
        <v>6</v>
      </c>
      <c r="H1142" s="34">
        <f>ROUND(Source!AC396*Source!I396, 2)+ROUND(Source!AD396*Source!I396, 2)+ROUND(Source!AF396*Source!I396, 2)</f>
        <v>11.5</v>
      </c>
      <c r="I1142" s="35"/>
      <c r="J1142" s="35">
        <f>IF(Source!BC396&lt;&gt; 0, Source!BC396, 1)</f>
        <v>7.13</v>
      </c>
      <c r="K1142" s="34">
        <f>Source!O396</f>
        <v>82</v>
      </c>
      <c r="L1142" s="36"/>
      <c r="S1142">
        <f>ROUND((Source!FX396/100)*((ROUND(Source!AF396*Source!I396, 2)+ROUND(Source!AE396*Source!I396, 2))), 2)</f>
        <v>0</v>
      </c>
      <c r="T1142">
        <f>Source!X396</f>
        <v>0</v>
      </c>
      <c r="U1142">
        <f>ROUND((Source!FY396/100)*((ROUND(Source!AF396*Source!I396, 2)+ROUND(Source!AE396*Source!I396, 2))), 2)</f>
        <v>0</v>
      </c>
      <c r="V1142">
        <f>Source!Y396</f>
        <v>0</v>
      </c>
      <c r="W1142">
        <f>IF(Source!BI396&lt;=1,H1142, 0)</f>
        <v>11.5</v>
      </c>
      <c r="X1142">
        <f>IF(Source!BI396=2,H1142, 0)</f>
        <v>0</v>
      </c>
      <c r="Y1142">
        <f>IF(Source!BI396=3,H1142, 0)</f>
        <v>0</v>
      </c>
      <c r="Z1142">
        <f>IF(Source!BI396=4,H1142, 0)</f>
        <v>0</v>
      </c>
    </row>
    <row r="1143" spans="1:26" ht="85.5" x14ac:dyDescent="0.2">
      <c r="A1143" s="51" t="str">
        <f>Source!E397</f>
        <v>111,2</v>
      </c>
      <c r="B1143" s="52" t="str">
        <f>Source!F397</f>
        <v>24.3.02.01-0012</v>
      </c>
      <c r="C1143" s="52" t="str">
        <f>Source!G397</f>
        <v>Трубопроводы напорные из полипропилена PPRS с гильзами и креплениями для холодного и горячего водоснабжения PN20 SDR 6, диаметром 20 мм, толщина стенки 3,4 мм</v>
      </c>
      <c r="D1143" s="39" t="str">
        <f>Source!H397</f>
        <v>м</v>
      </c>
      <c r="E1143" s="40">
        <f>Source!I397</f>
        <v>34.4</v>
      </c>
      <c r="F1143" s="41">
        <f>Source!AL397+Source!AM397+Source!AO397</f>
        <v>9.7899999999999991</v>
      </c>
      <c r="G1143" s="46" t="s">
        <v>6</v>
      </c>
      <c r="H1143" s="41">
        <f>ROUND(Source!AC397*Source!I397, 2)+ROUND(Source!AD397*Source!I397, 2)+ROUND(Source!AF397*Source!I397, 2)</f>
        <v>336.78</v>
      </c>
      <c r="I1143" s="42"/>
      <c r="J1143" s="42">
        <f>IF(Source!BC397&lt;&gt; 0, Source!BC397, 1)</f>
        <v>7.13</v>
      </c>
      <c r="K1143" s="41">
        <f>Source!O397</f>
        <v>2401.21</v>
      </c>
      <c r="L1143" s="47"/>
      <c r="S1143">
        <f>ROUND((Source!FX397/100)*((ROUND(Source!AF397*Source!I397, 2)+ROUND(Source!AE397*Source!I397, 2))), 2)</f>
        <v>0</v>
      </c>
      <c r="T1143">
        <f>Source!X397</f>
        <v>0</v>
      </c>
      <c r="U1143">
        <f>ROUND((Source!FY397/100)*((ROUND(Source!AF397*Source!I397, 2)+ROUND(Source!AE397*Source!I397, 2))), 2)</f>
        <v>0</v>
      </c>
      <c r="V1143">
        <f>Source!Y397</f>
        <v>0</v>
      </c>
      <c r="W1143">
        <f>IF(Source!BI397&lt;=1,H1143, 0)</f>
        <v>336.78</v>
      </c>
      <c r="X1143">
        <f>IF(Source!BI397=2,H1143, 0)</f>
        <v>0</v>
      </c>
      <c r="Y1143">
        <f>IF(Source!BI397=3,H1143, 0)</f>
        <v>0</v>
      </c>
      <c r="Z1143">
        <f>IF(Source!BI397=4,H1143, 0)</f>
        <v>0</v>
      </c>
    </row>
    <row r="1144" spans="1:26" ht="15" x14ac:dyDescent="0.25">
      <c r="G1144" s="87">
        <f>H1135+H1136+H1138+H1139+H1140+SUM(H1142:H1143)</f>
        <v>3231.2800000000007</v>
      </c>
      <c r="H1144" s="87"/>
      <c r="J1144" s="87">
        <f>K1135+K1136+K1138+K1139+K1140+SUM(K1142:K1143)</f>
        <v>23053.75</v>
      </c>
      <c r="K1144" s="87"/>
      <c r="L1144" s="44">
        <f>Source!U395</f>
        <v>75.258943999999985</v>
      </c>
      <c r="O1144" s="27">
        <f>G1144</f>
        <v>3231.2800000000007</v>
      </c>
      <c r="P1144" s="27">
        <f>J1144</f>
        <v>23053.75</v>
      </c>
      <c r="Q1144" s="27">
        <f>L1144</f>
        <v>75.258943999999985</v>
      </c>
      <c r="W1144">
        <f>IF(Source!BI395&lt;=1,H1135+H1136+H1138+H1139+H1140, 0)</f>
        <v>2883.0000000000005</v>
      </c>
      <c r="X1144">
        <f>IF(Source!BI395=2,H1135+H1136+H1138+H1139+H1140, 0)</f>
        <v>0</v>
      </c>
      <c r="Y1144">
        <f>IF(Source!BI395=3,H1135+H1136+H1138+H1139+H1140, 0)</f>
        <v>0</v>
      </c>
      <c r="Z1144">
        <f>IF(Source!BI395=4,H1135+H1136+H1138+H1139+H1140, 0)</f>
        <v>0</v>
      </c>
    </row>
    <row r="1145" spans="1:26" ht="57" x14ac:dyDescent="0.2">
      <c r="A1145" s="49" t="str">
        <f>Source!E398</f>
        <v>112</v>
      </c>
      <c r="B1145" s="50" t="str">
        <f>Source!F398</f>
        <v>16-04-002-02</v>
      </c>
      <c r="C1145" s="50" t="str">
        <f>Source!G398</f>
        <v>Прокладка трубопроводов водоснабжения из напорных полиэтиленовых труб наружным диаметром 25 мм</v>
      </c>
      <c r="D1145" s="33" t="str">
        <f>Source!H398</f>
        <v>100 м</v>
      </c>
      <c r="E1145" s="11">
        <f>Source!I398</f>
        <v>0.28599999999999998</v>
      </c>
      <c r="F1145" s="34">
        <f>Source!AL398+Source!AM398+Source!AO398</f>
        <v>2360.7600000000002</v>
      </c>
      <c r="G1145" s="35"/>
      <c r="H1145" s="34"/>
      <c r="I1145" s="35" t="str">
        <f>Source!BO398</f>
        <v/>
      </c>
      <c r="J1145" s="35"/>
      <c r="K1145" s="34"/>
      <c r="L1145" s="36"/>
      <c r="S1145">
        <f>ROUND((Source!FX398/100)*((ROUND(Source!AF398*Source!I398, 2)+ROUND(Source!AE398*Source!I398, 2))), 2)</f>
        <v>609.09</v>
      </c>
      <c r="T1145">
        <f>Source!X398</f>
        <v>4335.24</v>
      </c>
      <c r="U1145">
        <f>ROUND((Source!FY398/100)*((ROUND(Source!AF398*Source!I398, 2)+ROUND(Source!AE398*Source!I398, 2))), 2)</f>
        <v>373.01</v>
      </c>
      <c r="V1145">
        <f>Source!Y398</f>
        <v>2676.54</v>
      </c>
    </row>
    <row r="1146" spans="1:26" x14ac:dyDescent="0.2">
      <c r="C1146" s="26" t="str">
        <f>"Объем: "&amp;Source!I398&amp;"=28,6/"&amp;"100"</f>
        <v>Объем: 0,286=28,6/100</v>
      </c>
    </row>
    <row r="1147" spans="1:26" ht="14.25" x14ac:dyDescent="0.2">
      <c r="A1147" s="49"/>
      <c r="B1147" s="50"/>
      <c r="C1147" s="50" t="s">
        <v>1783</v>
      </c>
      <c r="D1147" s="33"/>
      <c r="E1147" s="11"/>
      <c r="F1147" s="34">
        <f>Source!AO398</f>
        <v>1484.43</v>
      </c>
      <c r="G1147" s="35" t="str">
        <f>Source!DG398</f>
        <v>)*1,15</v>
      </c>
      <c r="H1147" s="34">
        <f>ROUND(Source!AF398*Source!I398, 2)</f>
        <v>488.23</v>
      </c>
      <c r="I1147" s="35"/>
      <c r="J1147" s="35">
        <f>IF(Source!BA398&lt;&gt; 0, Source!BA398, 1)</f>
        <v>7.13</v>
      </c>
      <c r="K1147" s="34">
        <f>Source!S398</f>
        <v>3481.06</v>
      </c>
      <c r="L1147" s="36"/>
      <c r="R1147">
        <f>H1147</f>
        <v>488.23</v>
      </c>
    </row>
    <row r="1148" spans="1:26" ht="14.25" x14ac:dyDescent="0.2">
      <c r="A1148" s="49"/>
      <c r="B1148" s="50"/>
      <c r="C1148" s="50" t="s">
        <v>449</v>
      </c>
      <c r="D1148" s="33"/>
      <c r="E1148" s="11"/>
      <c r="F1148" s="34">
        <f>Source!AM398</f>
        <v>834.95</v>
      </c>
      <c r="G1148" s="35" t="str">
        <f>Source!DE398</f>
        <v>)*1,25</v>
      </c>
      <c r="H1148" s="34">
        <f>ROUND(Source!AD398*Source!I398, 2)</f>
        <v>298.5</v>
      </c>
      <c r="I1148" s="35"/>
      <c r="J1148" s="35">
        <f>IF(Source!BB398&lt;&gt; 0, Source!BB398, 1)</f>
        <v>7.13</v>
      </c>
      <c r="K1148" s="34">
        <f>Source!Q398</f>
        <v>2128.27</v>
      </c>
      <c r="L1148" s="36"/>
    </row>
    <row r="1149" spans="1:26" ht="14.25" x14ac:dyDescent="0.2">
      <c r="A1149" s="49"/>
      <c r="B1149" s="50"/>
      <c r="C1149" s="50" t="s">
        <v>1784</v>
      </c>
      <c r="D1149" s="33"/>
      <c r="E1149" s="11"/>
      <c r="F1149" s="34">
        <f>Source!AN398</f>
        <v>113.26</v>
      </c>
      <c r="G1149" s="35" t="str">
        <f>Source!DF398</f>
        <v>)*1,25</v>
      </c>
      <c r="H1149" s="37">
        <f>ROUND(Source!AE398*Source!I398, 2)</f>
        <v>40.49</v>
      </c>
      <c r="I1149" s="35"/>
      <c r="J1149" s="35">
        <f>IF(Source!BS398&lt;&gt; 0, Source!BS398, 1)</f>
        <v>7.13</v>
      </c>
      <c r="K1149" s="37">
        <f>Source!R398</f>
        <v>288.70999999999998</v>
      </c>
      <c r="L1149" s="36"/>
      <c r="R1149">
        <f>H1149</f>
        <v>40.49</v>
      </c>
    </row>
    <row r="1150" spans="1:26" ht="14.25" x14ac:dyDescent="0.2">
      <c r="A1150" s="49"/>
      <c r="B1150" s="50"/>
      <c r="C1150" s="50" t="s">
        <v>1790</v>
      </c>
      <c r="D1150" s="33"/>
      <c r="E1150" s="11"/>
      <c r="F1150" s="34">
        <f>Source!AL398</f>
        <v>41.38</v>
      </c>
      <c r="G1150" s="35" t="str">
        <f>Source!DD398</f>
        <v/>
      </c>
      <c r="H1150" s="34">
        <f>ROUND(Source!AC398*Source!I398, 2)</f>
        <v>11.83</v>
      </c>
      <c r="I1150" s="35"/>
      <c r="J1150" s="35">
        <f>IF(Source!BC398&lt;&gt; 0, Source!BC398, 1)</f>
        <v>7.13</v>
      </c>
      <c r="K1150" s="34">
        <f>Source!P398</f>
        <v>84.38</v>
      </c>
      <c r="L1150" s="36"/>
    </row>
    <row r="1151" spans="1:26" ht="14.25" x14ac:dyDescent="0.2">
      <c r="A1151" s="49"/>
      <c r="B1151" s="50"/>
      <c r="C1151" s="50" t="s">
        <v>1785</v>
      </c>
      <c r="D1151" s="33" t="s">
        <v>1786</v>
      </c>
      <c r="E1151" s="11">
        <f>Source!BZ398</f>
        <v>128</v>
      </c>
      <c r="F1151" s="81" t="str">
        <f>CONCATENATE(" )", Source!DL398, Source!FT398, "=", Source!FX398)</f>
        <v xml:space="preserve"> )*0,9=115,2</v>
      </c>
      <c r="G1151" s="88"/>
      <c r="H1151" s="34">
        <f>SUM(S1145:S1155)</f>
        <v>609.09</v>
      </c>
      <c r="I1151" s="38"/>
      <c r="J1151" s="31">
        <f>Source!AT398</f>
        <v>115</v>
      </c>
      <c r="K1151" s="34">
        <f>SUM(T1145:T1155)</f>
        <v>4335.24</v>
      </c>
      <c r="L1151" s="36"/>
    </row>
    <row r="1152" spans="1:26" ht="14.25" x14ac:dyDescent="0.2">
      <c r="A1152" s="49"/>
      <c r="B1152" s="50"/>
      <c r="C1152" s="50" t="s">
        <v>1787</v>
      </c>
      <c r="D1152" s="33" t="s">
        <v>1786</v>
      </c>
      <c r="E1152" s="11">
        <f>Source!CA398</f>
        <v>83</v>
      </c>
      <c r="F1152" s="81" t="str">
        <f>CONCATENATE(" )", Source!DM398, Source!FU398, "=", Source!FY398)</f>
        <v xml:space="preserve"> )*0,85=70,55</v>
      </c>
      <c r="G1152" s="88"/>
      <c r="H1152" s="34">
        <f>SUM(U1145:U1155)</f>
        <v>373.01</v>
      </c>
      <c r="I1152" s="38"/>
      <c r="J1152" s="31">
        <f>Source!AU398</f>
        <v>71</v>
      </c>
      <c r="K1152" s="34">
        <f>SUM(V1145:V1155)</f>
        <v>2676.54</v>
      </c>
      <c r="L1152" s="36"/>
    </row>
    <row r="1153" spans="1:26" ht="14.25" x14ac:dyDescent="0.2">
      <c r="A1153" s="49"/>
      <c r="B1153" s="50"/>
      <c r="C1153" s="50" t="s">
        <v>1788</v>
      </c>
      <c r="D1153" s="33" t="s">
        <v>1789</v>
      </c>
      <c r="E1153" s="11">
        <f>Source!AQ398</f>
        <v>149.63999999999999</v>
      </c>
      <c r="F1153" s="34"/>
      <c r="G1153" s="35" t="str">
        <f>Source!DI398</f>
        <v>)*1,15</v>
      </c>
      <c r="H1153" s="34"/>
      <c r="I1153" s="35"/>
      <c r="J1153" s="35"/>
      <c r="K1153" s="34"/>
      <c r="L1153" s="45">
        <f>Source!U398</f>
        <v>49.216595999999988</v>
      </c>
    </row>
    <row r="1154" spans="1:26" ht="42.75" x14ac:dyDescent="0.2">
      <c r="A1154" s="49" t="str">
        <f>Source!E399</f>
        <v>112,1</v>
      </c>
      <c r="B1154" s="50" t="str">
        <f>Source!F399</f>
        <v>23.1.02.06-0043</v>
      </c>
      <c r="C1154" s="50" t="str">
        <f>Source!G399</f>
        <v>Хомут стальной оцинкованный с саморезом и резиновой прокладкой для крепления труб диаметром 25 мм</v>
      </c>
      <c r="D1154" s="33" t="str">
        <f>Source!H399</f>
        <v>10 шт.</v>
      </c>
      <c r="E1154" s="11">
        <f>Source!I399</f>
        <v>0.2</v>
      </c>
      <c r="F1154" s="34">
        <f>Source!AL399+Source!AM399+Source!AO399</f>
        <v>58.3</v>
      </c>
      <c r="G1154" s="48" t="s">
        <v>6</v>
      </c>
      <c r="H1154" s="34">
        <f>ROUND(Source!AC399*Source!I399, 2)+ROUND(Source!AD399*Source!I399, 2)+ROUND(Source!AF399*Source!I399, 2)</f>
        <v>11.66</v>
      </c>
      <c r="I1154" s="35"/>
      <c r="J1154" s="35">
        <f>IF(Source!BC399&lt;&gt; 0, Source!BC399, 1)</f>
        <v>7.13</v>
      </c>
      <c r="K1154" s="34">
        <f>Source!O399</f>
        <v>83.14</v>
      </c>
      <c r="L1154" s="36"/>
      <c r="S1154">
        <f>ROUND((Source!FX399/100)*((ROUND(Source!AF399*Source!I399, 2)+ROUND(Source!AE399*Source!I399, 2))), 2)</f>
        <v>0</v>
      </c>
      <c r="T1154">
        <f>Source!X399</f>
        <v>0</v>
      </c>
      <c r="U1154">
        <f>ROUND((Source!FY399/100)*((ROUND(Source!AF399*Source!I399, 2)+ROUND(Source!AE399*Source!I399, 2))), 2)</f>
        <v>0</v>
      </c>
      <c r="V1154">
        <f>Source!Y399</f>
        <v>0</v>
      </c>
      <c r="W1154">
        <f>IF(Source!BI399&lt;=1,H1154, 0)</f>
        <v>11.66</v>
      </c>
      <c r="X1154">
        <f>IF(Source!BI399=2,H1154, 0)</f>
        <v>0</v>
      </c>
      <c r="Y1154">
        <f>IF(Source!BI399=3,H1154, 0)</f>
        <v>0</v>
      </c>
      <c r="Z1154">
        <f>IF(Source!BI399=4,H1154, 0)</f>
        <v>0</v>
      </c>
    </row>
    <row r="1155" spans="1:26" ht="85.5" x14ac:dyDescent="0.2">
      <c r="A1155" s="51" t="str">
        <f>Source!E400</f>
        <v>112,2</v>
      </c>
      <c r="B1155" s="52" t="str">
        <f>Source!F400</f>
        <v>24.3.02.01-0013</v>
      </c>
      <c r="C1155" s="52" t="str">
        <f>Source!G400</f>
        <v>Трубопроводы напорные из полипропилена PPRS с гильзами и креплениями для холодного и горячего водоснабжения PN20 SDR 6, диаметром 25 мм, толщина стенки 4,2 мм</v>
      </c>
      <c r="D1155" s="39" t="str">
        <f>Source!H400</f>
        <v>м</v>
      </c>
      <c r="E1155" s="40">
        <f>Source!I400</f>
        <v>28.6</v>
      </c>
      <c r="F1155" s="41">
        <f>Source!AL400+Source!AM400+Source!AO400</f>
        <v>13.99</v>
      </c>
      <c r="G1155" s="46" t="s">
        <v>6</v>
      </c>
      <c r="H1155" s="41">
        <f>ROUND(Source!AC400*Source!I400, 2)+ROUND(Source!AD400*Source!I400, 2)+ROUND(Source!AF400*Source!I400, 2)</f>
        <v>400.11</v>
      </c>
      <c r="I1155" s="42"/>
      <c r="J1155" s="42">
        <f>IF(Source!BC400&lt;&gt; 0, Source!BC400, 1)</f>
        <v>7.13</v>
      </c>
      <c r="K1155" s="41">
        <f>Source!O400</f>
        <v>2852.81</v>
      </c>
      <c r="L1155" s="47"/>
      <c r="S1155">
        <f>ROUND((Source!FX400/100)*((ROUND(Source!AF400*Source!I400, 2)+ROUND(Source!AE400*Source!I400, 2))), 2)</f>
        <v>0</v>
      </c>
      <c r="T1155">
        <f>Source!X400</f>
        <v>0</v>
      </c>
      <c r="U1155">
        <f>ROUND((Source!FY400/100)*((ROUND(Source!AF400*Source!I400, 2)+ROUND(Source!AE400*Source!I400, 2))), 2)</f>
        <v>0</v>
      </c>
      <c r="V1155">
        <f>Source!Y400</f>
        <v>0</v>
      </c>
      <c r="W1155">
        <f>IF(Source!BI400&lt;=1,H1155, 0)</f>
        <v>400.11</v>
      </c>
      <c r="X1155">
        <f>IF(Source!BI400=2,H1155, 0)</f>
        <v>0</v>
      </c>
      <c r="Y1155">
        <f>IF(Source!BI400=3,H1155, 0)</f>
        <v>0</v>
      </c>
      <c r="Z1155">
        <f>IF(Source!BI400=4,H1155, 0)</f>
        <v>0</v>
      </c>
    </row>
    <row r="1156" spans="1:26" ht="15" x14ac:dyDescent="0.25">
      <c r="G1156" s="87">
        <f>H1147+H1148+H1150+H1151+H1152+SUM(H1154:H1155)</f>
        <v>2192.4300000000003</v>
      </c>
      <c r="H1156" s="87"/>
      <c r="J1156" s="87">
        <f>K1147+K1148+K1150+K1151+K1152+SUM(K1154:K1155)</f>
        <v>15641.440000000002</v>
      </c>
      <c r="K1156" s="87"/>
      <c r="L1156" s="44">
        <f>Source!U398</f>
        <v>49.216595999999988</v>
      </c>
      <c r="O1156" s="27">
        <f>G1156</f>
        <v>2192.4300000000003</v>
      </c>
      <c r="P1156" s="27">
        <f>J1156</f>
        <v>15641.440000000002</v>
      </c>
      <c r="Q1156" s="27">
        <f>L1156</f>
        <v>49.216595999999988</v>
      </c>
      <c r="W1156">
        <f>IF(Source!BI398&lt;=1,H1147+H1148+H1150+H1151+H1152, 0)</f>
        <v>1780.66</v>
      </c>
      <c r="X1156">
        <f>IF(Source!BI398=2,H1147+H1148+H1150+H1151+H1152, 0)</f>
        <v>0</v>
      </c>
      <c r="Y1156">
        <f>IF(Source!BI398=3,H1147+H1148+H1150+H1151+H1152, 0)</f>
        <v>0</v>
      </c>
      <c r="Z1156">
        <f>IF(Source!BI398=4,H1147+H1148+H1150+H1151+H1152, 0)</f>
        <v>0</v>
      </c>
    </row>
    <row r="1157" spans="1:26" ht="57" x14ac:dyDescent="0.2">
      <c r="A1157" s="49" t="str">
        <f>Source!E401</f>
        <v>113</v>
      </c>
      <c r="B1157" s="50" t="str">
        <f>Source!F401</f>
        <v>16-04-002-03</v>
      </c>
      <c r="C1157" s="50" t="str">
        <f>Source!G401</f>
        <v>Прокладка трубопроводов водоснабжения из напорных полиэтиленовых труб наружным диаметром 32 мм</v>
      </c>
      <c r="D1157" s="33" t="str">
        <f>Source!H401</f>
        <v>100 м</v>
      </c>
      <c r="E1157" s="11">
        <f>Source!I401</f>
        <v>0.16300000000000001</v>
      </c>
      <c r="F1157" s="34">
        <f>Source!AL401+Source!AM401+Source!AO401</f>
        <v>1731.83</v>
      </c>
      <c r="G1157" s="35"/>
      <c r="H1157" s="34"/>
      <c r="I1157" s="35" t="str">
        <f>Source!BO401</f>
        <v/>
      </c>
      <c r="J1157" s="35"/>
      <c r="K1157" s="34"/>
      <c r="L1157" s="36"/>
      <c r="S1157">
        <f>ROUND((Source!FX401/100)*((ROUND(Source!AF401*Source!I401, 2)+ROUND(Source!AE401*Source!I401, 2))), 2)</f>
        <v>276.47000000000003</v>
      </c>
      <c r="T1157">
        <f>Source!X401</f>
        <v>1967.82</v>
      </c>
      <c r="U1157">
        <f>ROUND((Source!FY401/100)*((ROUND(Source!AF401*Source!I401, 2)+ROUND(Source!AE401*Source!I401, 2))), 2)</f>
        <v>169.31</v>
      </c>
      <c r="V1157">
        <f>Source!Y401</f>
        <v>1214.92</v>
      </c>
    </row>
    <row r="1158" spans="1:26" x14ac:dyDescent="0.2">
      <c r="C1158" s="26" t="str">
        <f>"Объем: "&amp;Source!I401&amp;"=16,3/"&amp;"100"</f>
        <v>Объем: 0,163=16,3/100</v>
      </c>
    </row>
    <row r="1159" spans="1:26" ht="14.25" x14ac:dyDescent="0.2">
      <c r="A1159" s="49"/>
      <c r="B1159" s="50"/>
      <c r="C1159" s="50" t="s">
        <v>1783</v>
      </c>
      <c r="D1159" s="33"/>
      <c r="E1159" s="11"/>
      <c r="F1159" s="34">
        <f>Source!AO401</f>
        <v>1208.26</v>
      </c>
      <c r="G1159" s="35" t="str">
        <f>Source!DG401</f>
        <v>)*1,15</v>
      </c>
      <c r="H1159" s="34">
        <f>ROUND(Source!AF401*Source!I401, 2)</f>
        <v>226.49</v>
      </c>
      <c r="I1159" s="35"/>
      <c r="J1159" s="35">
        <f>IF(Source!BA401&lt;&gt; 0, Source!BA401, 1)</f>
        <v>7.13</v>
      </c>
      <c r="K1159" s="34">
        <f>Source!S401</f>
        <v>1614.86</v>
      </c>
      <c r="L1159" s="36"/>
      <c r="R1159">
        <f>H1159</f>
        <v>226.49</v>
      </c>
    </row>
    <row r="1160" spans="1:26" ht="14.25" x14ac:dyDescent="0.2">
      <c r="A1160" s="49"/>
      <c r="B1160" s="50"/>
      <c r="C1160" s="50" t="s">
        <v>449</v>
      </c>
      <c r="D1160" s="33"/>
      <c r="E1160" s="11"/>
      <c r="F1160" s="34">
        <f>Source!AM401</f>
        <v>486.6</v>
      </c>
      <c r="G1160" s="35" t="str">
        <f>Source!DE401</f>
        <v>)*1,25</v>
      </c>
      <c r="H1160" s="34">
        <f>ROUND(Source!AD401*Source!I401, 2)</f>
        <v>99.14</v>
      </c>
      <c r="I1160" s="35"/>
      <c r="J1160" s="35">
        <f>IF(Source!BB401&lt;&gt; 0, Source!BB401, 1)</f>
        <v>7.13</v>
      </c>
      <c r="K1160" s="34">
        <f>Source!Q401</f>
        <v>706.9</v>
      </c>
      <c r="L1160" s="36"/>
    </row>
    <row r="1161" spans="1:26" ht="14.25" x14ac:dyDescent="0.2">
      <c r="A1161" s="49"/>
      <c r="B1161" s="50"/>
      <c r="C1161" s="50" t="s">
        <v>1784</v>
      </c>
      <c r="D1161" s="33"/>
      <c r="E1161" s="11"/>
      <c r="F1161" s="34">
        <f>Source!AN401</f>
        <v>66.28</v>
      </c>
      <c r="G1161" s="35" t="str">
        <f>Source!DF401</f>
        <v>)*1,25</v>
      </c>
      <c r="H1161" s="37">
        <f>ROUND(Source!AE401*Source!I401, 2)</f>
        <v>13.5</v>
      </c>
      <c r="I1161" s="35"/>
      <c r="J1161" s="35">
        <f>IF(Source!BS401&lt;&gt; 0, Source!BS401, 1)</f>
        <v>7.13</v>
      </c>
      <c r="K1161" s="37">
        <f>Source!R401</f>
        <v>96.29</v>
      </c>
      <c r="L1161" s="36"/>
      <c r="R1161">
        <f>H1161</f>
        <v>13.5</v>
      </c>
    </row>
    <row r="1162" spans="1:26" ht="14.25" x14ac:dyDescent="0.2">
      <c r="A1162" s="49"/>
      <c r="B1162" s="50"/>
      <c r="C1162" s="50" t="s">
        <v>1790</v>
      </c>
      <c r="D1162" s="33"/>
      <c r="E1162" s="11"/>
      <c r="F1162" s="34">
        <f>Source!AL401</f>
        <v>36.97</v>
      </c>
      <c r="G1162" s="35" t="str">
        <f>Source!DD401</f>
        <v/>
      </c>
      <c r="H1162" s="34">
        <f>ROUND(Source!AC401*Source!I401, 2)</f>
        <v>6.03</v>
      </c>
      <c r="I1162" s="35"/>
      <c r="J1162" s="35">
        <f>IF(Source!BC401&lt;&gt; 0, Source!BC401, 1)</f>
        <v>7.13</v>
      </c>
      <c r="K1162" s="34">
        <f>Source!P401</f>
        <v>42.97</v>
      </c>
      <c r="L1162" s="36"/>
    </row>
    <row r="1163" spans="1:26" ht="14.25" x14ac:dyDescent="0.2">
      <c r="A1163" s="49"/>
      <c r="B1163" s="50"/>
      <c r="C1163" s="50" t="s">
        <v>1785</v>
      </c>
      <c r="D1163" s="33" t="s">
        <v>1786</v>
      </c>
      <c r="E1163" s="11">
        <f>Source!BZ401</f>
        <v>128</v>
      </c>
      <c r="F1163" s="81" t="str">
        <f>CONCATENATE(" )", Source!DL401, Source!FT401, "=", Source!FX401)</f>
        <v xml:space="preserve"> )*0,9=115,2</v>
      </c>
      <c r="G1163" s="88"/>
      <c r="H1163" s="34">
        <f>SUM(S1157:S1167)</f>
        <v>276.47000000000003</v>
      </c>
      <c r="I1163" s="38"/>
      <c r="J1163" s="31">
        <f>Source!AT401</f>
        <v>115</v>
      </c>
      <c r="K1163" s="34">
        <f>SUM(T1157:T1167)</f>
        <v>1967.82</v>
      </c>
      <c r="L1163" s="36"/>
    </row>
    <row r="1164" spans="1:26" ht="14.25" x14ac:dyDescent="0.2">
      <c r="A1164" s="49"/>
      <c r="B1164" s="50"/>
      <c r="C1164" s="50" t="s">
        <v>1787</v>
      </c>
      <c r="D1164" s="33" t="s">
        <v>1786</v>
      </c>
      <c r="E1164" s="11">
        <f>Source!CA401</f>
        <v>83</v>
      </c>
      <c r="F1164" s="81" t="str">
        <f>CONCATENATE(" )", Source!DM401, Source!FU401, "=", Source!FY401)</f>
        <v xml:space="preserve"> )*0,85=70,55</v>
      </c>
      <c r="G1164" s="88"/>
      <c r="H1164" s="34">
        <f>SUM(U1157:U1167)</f>
        <v>169.31</v>
      </c>
      <c r="I1164" s="38"/>
      <c r="J1164" s="31">
        <f>Source!AU401</f>
        <v>71</v>
      </c>
      <c r="K1164" s="34">
        <f>SUM(V1157:V1167)</f>
        <v>1214.92</v>
      </c>
      <c r="L1164" s="36"/>
    </row>
    <row r="1165" spans="1:26" ht="14.25" x14ac:dyDescent="0.2">
      <c r="A1165" s="49"/>
      <c r="B1165" s="50"/>
      <c r="C1165" s="50" t="s">
        <v>1788</v>
      </c>
      <c r="D1165" s="33" t="s">
        <v>1789</v>
      </c>
      <c r="E1165" s="11">
        <f>Source!AQ401</f>
        <v>121.8</v>
      </c>
      <c r="F1165" s="34"/>
      <c r="G1165" s="35" t="str">
        <f>Source!DI401</f>
        <v>)*1,15</v>
      </c>
      <c r="H1165" s="34"/>
      <c r="I1165" s="35"/>
      <c r="J1165" s="35"/>
      <c r="K1165" s="34"/>
      <c r="L1165" s="45">
        <f>Source!U401</f>
        <v>22.831409999999998</v>
      </c>
    </row>
    <row r="1166" spans="1:26" ht="42.75" x14ac:dyDescent="0.2">
      <c r="A1166" s="49" t="str">
        <f>Source!E402</f>
        <v>113,1</v>
      </c>
      <c r="B1166" s="50" t="str">
        <f>Source!F402</f>
        <v>23.1.02.06-0044</v>
      </c>
      <c r="C1166" s="50" t="str">
        <f>Source!G402</f>
        <v>Хомут стальной оцинкованный с саморезом и резиновой прокладкой для крепления труб диаметром 32 мм</v>
      </c>
      <c r="D1166" s="33" t="str">
        <f>Source!H402</f>
        <v>10 шт.</v>
      </c>
      <c r="E1166" s="11">
        <f>Source!I402</f>
        <v>0.2</v>
      </c>
      <c r="F1166" s="34">
        <f>Source!AL402+Source!AM402+Source!AO402</f>
        <v>59.2</v>
      </c>
      <c r="G1166" s="48" t="s">
        <v>6</v>
      </c>
      <c r="H1166" s="34">
        <f>ROUND(Source!AC402*Source!I402, 2)+ROUND(Source!AD402*Source!I402, 2)+ROUND(Source!AF402*Source!I402, 2)</f>
        <v>11.84</v>
      </c>
      <c r="I1166" s="35"/>
      <c r="J1166" s="35">
        <f>IF(Source!BC402&lt;&gt; 0, Source!BC402, 1)</f>
        <v>7.13</v>
      </c>
      <c r="K1166" s="34">
        <f>Source!O402</f>
        <v>84.42</v>
      </c>
      <c r="L1166" s="36"/>
      <c r="S1166">
        <f>ROUND((Source!FX402/100)*((ROUND(Source!AF402*Source!I402, 2)+ROUND(Source!AE402*Source!I402, 2))), 2)</f>
        <v>0</v>
      </c>
      <c r="T1166">
        <f>Source!X402</f>
        <v>0</v>
      </c>
      <c r="U1166">
        <f>ROUND((Source!FY402/100)*((ROUND(Source!AF402*Source!I402, 2)+ROUND(Source!AE402*Source!I402, 2))), 2)</f>
        <v>0</v>
      </c>
      <c r="V1166">
        <f>Source!Y402</f>
        <v>0</v>
      </c>
      <c r="W1166">
        <f>IF(Source!BI402&lt;=1,H1166, 0)</f>
        <v>11.84</v>
      </c>
      <c r="X1166">
        <f>IF(Source!BI402=2,H1166, 0)</f>
        <v>0</v>
      </c>
      <c r="Y1166">
        <f>IF(Source!BI402=3,H1166, 0)</f>
        <v>0</v>
      </c>
      <c r="Z1166">
        <f>IF(Source!BI402=4,H1166, 0)</f>
        <v>0</v>
      </c>
    </row>
    <row r="1167" spans="1:26" ht="85.5" x14ac:dyDescent="0.2">
      <c r="A1167" s="51" t="str">
        <f>Source!E403</f>
        <v>113,2</v>
      </c>
      <c r="B1167" s="52" t="str">
        <f>Source!F403</f>
        <v>24.3.02.01-0014</v>
      </c>
      <c r="C1167" s="52" t="str">
        <f>Source!G403</f>
        <v>Трубопроводы напорные из полипропилена PPRS с гильзами и креплениями для холодного и горячего водоснабжения PN20 SDR 6, диаметром 32 мм, толщина стенки 5,4 мм</v>
      </c>
      <c r="D1167" s="39" t="str">
        <f>Source!H403</f>
        <v>м</v>
      </c>
      <c r="E1167" s="40">
        <f>Source!I403</f>
        <v>16.3</v>
      </c>
      <c r="F1167" s="41">
        <f>Source!AL403+Source!AM403+Source!AO403</f>
        <v>22.38</v>
      </c>
      <c r="G1167" s="46" t="s">
        <v>6</v>
      </c>
      <c r="H1167" s="41">
        <f>ROUND(Source!AC403*Source!I403, 2)+ROUND(Source!AD403*Source!I403, 2)+ROUND(Source!AF403*Source!I403, 2)</f>
        <v>364.79</v>
      </c>
      <c r="I1167" s="42"/>
      <c r="J1167" s="42">
        <f>IF(Source!BC403&lt;&gt; 0, Source!BC403, 1)</f>
        <v>7.13</v>
      </c>
      <c r="K1167" s="41">
        <f>Source!O403</f>
        <v>2600.98</v>
      </c>
      <c r="L1167" s="47"/>
      <c r="S1167">
        <f>ROUND((Source!FX403/100)*((ROUND(Source!AF403*Source!I403, 2)+ROUND(Source!AE403*Source!I403, 2))), 2)</f>
        <v>0</v>
      </c>
      <c r="T1167">
        <f>Source!X403</f>
        <v>0</v>
      </c>
      <c r="U1167">
        <f>ROUND((Source!FY403/100)*((ROUND(Source!AF403*Source!I403, 2)+ROUND(Source!AE403*Source!I403, 2))), 2)</f>
        <v>0</v>
      </c>
      <c r="V1167">
        <f>Source!Y403</f>
        <v>0</v>
      </c>
      <c r="W1167">
        <f>IF(Source!BI403&lt;=1,H1167, 0)</f>
        <v>364.79</v>
      </c>
      <c r="X1167">
        <f>IF(Source!BI403=2,H1167, 0)</f>
        <v>0</v>
      </c>
      <c r="Y1167">
        <f>IF(Source!BI403=3,H1167, 0)</f>
        <v>0</v>
      </c>
      <c r="Z1167">
        <f>IF(Source!BI403=4,H1167, 0)</f>
        <v>0</v>
      </c>
    </row>
    <row r="1168" spans="1:26" ht="15" x14ac:dyDescent="0.25">
      <c r="G1168" s="87">
        <f>H1159+H1160+H1162+H1163+H1164+SUM(H1166:H1167)</f>
        <v>1154.0700000000002</v>
      </c>
      <c r="H1168" s="87"/>
      <c r="J1168" s="87">
        <f>K1159+K1160+K1162+K1163+K1164+SUM(K1166:K1167)</f>
        <v>8232.869999999999</v>
      </c>
      <c r="K1168" s="87"/>
      <c r="L1168" s="44">
        <f>Source!U401</f>
        <v>22.831409999999998</v>
      </c>
      <c r="O1168" s="27">
        <f>G1168</f>
        <v>1154.0700000000002</v>
      </c>
      <c r="P1168" s="27">
        <f>J1168</f>
        <v>8232.869999999999</v>
      </c>
      <c r="Q1168" s="27">
        <f>L1168</f>
        <v>22.831409999999998</v>
      </c>
      <c r="W1168">
        <f>IF(Source!BI401&lt;=1,H1159+H1160+H1162+H1163+H1164, 0)</f>
        <v>777.44</v>
      </c>
      <c r="X1168">
        <f>IF(Source!BI401=2,H1159+H1160+H1162+H1163+H1164, 0)</f>
        <v>0</v>
      </c>
      <c r="Y1168">
        <f>IF(Source!BI401=3,H1159+H1160+H1162+H1163+H1164, 0)</f>
        <v>0</v>
      </c>
      <c r="Z1168">
        <f>IF(Source!BI401=4,H1159+H1160+H1162+H1163+H1164, 0)</f>
        <v>0</v>
      </c>
    </row>
    <row r="1169" spans="1:26" ht="57" x14ac:dyDescent="0.2">
      <c r="A1169" s="49" t="str">
        <f>Source!E404</f>
        <v>114</v>
      </c>
      <c r="B1169" s="50" t="str">
        <f>Source!F404</f>
        <v>16-05-001-01</v>
      </c>
      <c r="C1169" s="50" t="str">
        <f>Source!G404</f>
        <v>Установка вентилей, задвижек, затворов, клапанов обратных, кранов проходных на трубопроводах из стальных труб диаметром до 25 мм</v>
      </c>
      <c r="D1169" s="33" t="str">
        <f>Source!H404</f>
        <v>ШТ</v>
      </c>
      <c r="E1169" s="11">
        <f>Source!I404</f>
        <v>28</v>
      </c>
      <c r="F1169" s="34">
        <f>Source!AL404+Source!AM404+Source!AO404</f>
        <v>42.04</v>
      </c>
      <c r="G1169" s="35"/>
      <c r="H1169" s="34"/>
      <c r="I1169" s="35" t="str">
        <f>Source!BO404</f>
        <v/>
      </c>
      <c r="J1169" s="35"/>
      <c r="K1169" s="34"/>
      <c r="L1169" s="36"/>
      <c r="S1169">
        <f>ROUND((Source!FX404/100)*((ROUND(Source!AF404*Source!I404, 2)+ROUND(Source!AE404*Source!I404, 2))), 2)</f>
        <v>499.32</v>
      </c>
      <c r="T1169">
        <f>Source!X404</f>
        <v>3553.99</v>
      </c>
      <c r="U1169">
        <f>ROUND((Source!FY404/100)*((ROUND(Source!AF404*Source!I404, 2)+ROUND(Source!AE404*Source!I404, 2))), 2)</f>
        <v>305.79000000000002</v>
      </c>
      <c r="V1169">
        <f>Source!Y404</f>
        <v>2194.21</v>
      </c>
    </row>
    <row r="1170" spans="1:26" ht="14.25" x14ac:dyDescent="0.2">
      <c r="A1170" s="49"/>
      <c r="B1170" s="50"/>
      <c r="C1170" s="50" t="s">
        <v>1783</v>
      </c>
      <c r="D1170" s="33"/>
      <c r="E1170" s="11"/>
      <c r="F1170" s="34">
        <f>Source!AO404</f>
        <v>13.33</v>
      </c>
      <c r="G1170" s="35" t="str">
        <f>Source!DG404</f>
        <v>)*1,15</v>
      </c>
      <c r="H1170" s="34">
        <f>ROUND(Source!AF404*Source!I404, 2)</f>
        <v>429.24</v>
      </c>
      <c r="I1170" s="35"/>
      <c r="J1170" s="35">
        <f>IF(Source!BA404&lt;&gt; 0, Source!BA404, 1)</f>
        <v>7.13</v>
      </c>
      <c r="K1170" s="34">
        <f>Source!S404</f>
        <v>3060.48</v>
      </c>
      <c r="L1170" s="36"/>
      <c r="R1170">
        <f>H1170</f>
        <v>429.24</v>
      </c>
    </row>
    <row r="1171" spans="1:26" ht="14.25" x14ac:dyDescent="0.2">
      <c r="A1171" s="49"/>
      <c r="B1171" s="50"/>
      <c r="C1171" s="50" t="s">
        <v>449</v>
      </c>
      <c r="D1171" s="33"/>
      <c r="E1171" s="11"/>
      <c r="F1171" s="34">
        <f>Source!AM404</f>
        <v>3.5</v>
      </c>
      <c r="G1171" s="35" t="str">
        <f>Source!DE404</f>
        <v>)*1,25</v>
      </c>
      <c r="H1171" s="34">
        <f>ROUND(Source!AD404*Source!I404, 2)</f>
        <v>122.64</v>
      </c>
      <c r="I1171" s="35"/>
      <c r="J1171" s="35">
        <f>IF(Source!BB404&lt;&gt; 0, Source!BB404, 1)</f>
        <v>7.13</v>
      </c>
      <c r="K1171" s="34">
        <f>Source!Q404</f>
        <v>874.42</v>
      </c>
      <c r="L1171" s="36"/>
    </row>
    <row r="1172" spans="1:26" ht="14.25" x14ac:dyDescent="0.2">
      <c r="A1172" s="49"/>
      <c r="B1172" s="50"/>
      <c r="C1172" s="50" t="s">
        <v>1784</v>
      </c>
      <c r="D1172" s="33"/>
      <c r="E1172" s="11"/>
      <c r="F1172" s="34">
        <f>Source!AN404</f>
        <v>0.12</v>
      </c>
      <c r="G1172" s="35" t="str">
        <f>Source!DF404</f>
        <v>)*1,25</v>
      </c>
      <c r="H1172" s="37">
        <f>ROUND(Source!AE404*Source!I404, 2)</f>
        <v>4.2</v>
      </c>
      <c r="I1172" s="35"/>
      <c r="J1172" s="35">
        <f>IF(Source!BS404&lt;&gt; 0, Source!BS404, 1)</f>
        <v>7.13</v>
      </c>
      <c r="K1172" s="37">
        <f>Source!R404</f>
        <v>29.95</v>
      </c>
      <c r="L1172" s="36"/>
      <c r="R1172">
        <f>H1172</f>
        <v>4.2</v>
      </c>
    </row>
    <row r="1173" spans="1:26" ht="14.25" x14ac:dyDescent="0.2">
      <c r="A1173" s="49"/>
      <c r="B1173" s="50"/>
      <c r="C1173" s="50" t="s">
        <v>1790</v>
      </c>
      <c r="D1173" s="33"/>
      <c r="E1173" s="11"/>
      <c r="F1173" s="34">
        <f>Source!AL404</f>
        <v>25.21</v>
      </c>
      <c r="G1173" s="35" t="str">
        <f>Source!DD404</f>
        <v/>
      </c>
      <c r="H1173" s="34">
        <f>ROUND(Source!AC404*Source!I404, 2)</f>
        <v>705.88</v>
      </c>
      <c r="I1173" s="35"/>
      <c r="J1173" s="35">
        <f>IF(Source!BC404&lt;&gt; 0, Source!BC404, 1)</f>
        <v>7.13</v>
      </c>
      <c r="K1173" s="34">
        <f>Source!P404</f>
        <v>5032.92</v>
      </c>
      <c r="L1173" s="36"/>
    </row>
    <row r="1174" spans="1:26" ht="14.25" x14ac:dyDescent="0.2">
      <c r="A1174" s="49"/>
      <c r="B1174" s="50"/>
      <c r="C1174" s="50" t="s">
        <v>1785</v>
      </c>
      <c r="D1174" s="33" t="s">
        <v>1786</v>
      </c>
      <c r="E1174" s="11">
        <f>Source!BZ404</f>
        <v>128</v>
      </c>
      <c r="F1174" s="81" t="str">
        <f>CONCATENATE(" )", Source!DL404, Source!FT404, "=", Source!FX404)</f>
        <v xml:space="preserve"> )*0,9=115,2</v>
      </c>
      <c r="G1174" s="88"/>
      <c r="H1174" s="34">
        <f>SUM(S1169:S1178)</f>
        <v>499.32</v>
      </c>
      <c r="I1174" s="38"/>
      <c r="J1174" s="31">
        <f>Source!AT404</f>
        <v>115</v>
      </c>
      <c r="K1174" s="34">
        <f>SUM(T1169:T1178)</f>
        <v>3553.99</v>
      </c>
      <c r="L1174" s="36"/>
    </row>
    <row r="1175" spans="1:26" ht="14.25" x14ac:dyDescent="0.2">
      <c r="A1175" s="49"/>
      <c r="B1175" s="50"/>
      <c r="C1175" s="50" t="s">
        <v>1787</v>
      </c>
      <c r="D1175" s="33" t="s">
        <v>1786</v>
      </c>
      <c r="E1175" s="11">
        <f>Source!CA404</f>
        <v>83</v>
      </c>
      <c r="F1175" s="81" t="str">
        <f>CONCATENATE(" )", Source!DM404, Source!FU404, "=", Source!FY404)</f>
        <v xml:space="preserve"> )*0,85=70,55</v>
      </c>
      <c r="G1175" s="88"/>
      <c r="H1175" s="34">
        <f>SUM(U1169:U1178)</f>
        <v>305.79000000000002</v>
      </c>
      <c r="I1175" s="38"/>
      <c r="J1175" s="31">
        <f>Source!AU404</f>
        <v>71</v>
      </c>
      <c r="K1175" s="34">
        <f>SUM(V1169:V1178)</f>
        <v>2194.21</v>
      </c>
      <c r="L1175" s="36"/>
    </row>
    <row r="1176" spans="1:26" ht="14.25" x14ac:dyDescent="0.2">
      <c r="A1176" s="49"/>
      <c r="B1176" s="50"/>
      <c r="C1176" s="50" t="s">
        <v>1788</v>
      </c>
      <c r="D1176" s="33" t="s">
        <v>1789</v>
      </c>
      <c r="E1176" s="11">
        <f>Source!AQ404</f>
        <v>1.47</v>
      </c>
      <c r="F1176" s="34"/>
      <c r="G1176" s="35" t="str">
        <f>Source!DI404</f>
        <v>)*1,15</v>
      </c>
      <c r="H1176" s="34"/>
      <c r="I1176" s="35"/>
      <c r="J1176" s="35"/>
      <c r="K1176" s="34"/>
      <c r="L1176" s="45">
        <f>Source!U404</f>
        <v>47.333999999999996</v>
      </c>
    </row>
    <row r="1177" spans="1:26" ht="28.5" x14ac:dyDescent="0.2">
      <c r="A1177" s="49" t="str">
        <f>Source!E405</f>
        <v>114,1</v>
      </c>
      <c r="B1177" s="50" t="str">
        <f>Source!F405</f>
        <v>18.1.09.06-0064</v>
      </c>
      <c r="C1177" s="50" t="str">
        <f>Source!G405</f>
        <v>Кран шаровый муфтовый Valtec для воды диаметром 15 мм, тип в/н</v>
      </c>
      <c r="D1177" s="33" t="str">
        <f>Source!H405</f>
        <v>шт.</v>
      </c>
      <c r="E1177" s="11">
        <f>Source!I405</f>
        <v>22</v>
      </c>
      <c r="F1177" s="34">
        <f>Source!AL405+Source!AM405+Source!AO405</f>
        <v>32.22</v>
      </c>
      <c r="G1177" s="48" t="s">
        <v>6</v>
      </c>
      <c r="H1177" s="34">
        <f>ROUND(Source!AC405*Source!I405, 2)+ROUND(Source!AD405*Source!I405, 2)+ROUND(Source!AF405*Source!I405, 2)</f>
        <v>708.84</v>
      </c>
      <c r="I1177" s="35"/>
      <c r="J1177" s="35">
        <f>IF(Source!BC405&lt;&gt; 0, Source!BC405, 1)</f>
        <v>7.13</v>
      </c>
      <c r="K1177" s="34">
        <f>Source!O405</f>
        <v>5054.03</v>
      </c>
      <c r="L1177" s="36"/>
      <c r="S1177">
        <f>ROUND((Source!FX405/100)*((ROUND(Source!AF405*Source!I405, 2)+ROUND(Source!AE405*Source!I405, 2))), 2)</f>
        <v>0</v>
      </c>
      <c r="T1177">
        <f>Source!X405</f>
        <v>0</v>
      </c>
      <c r="U1177">
        <f>ROUND((Source!FY405/100)*((ROUND(Source!AF405*Source!I405, 2)+ROUND(Source!AE405*Source!I405, 2))), 2)</f>
        <v>0</v>
      </c>
      <c r="V1177">
        <f>Source!Y405</f>
        <v>0</v>
      </c>
      <c r="W1177">
        <f>IF(Source!BI405&lt;=1,H1177, 0)</f>
        <v>708.84</v>
      </c>
      <c r="X1177">
        <f>IF(Source!BI405=2,H1177, 0)</f>
        <v>0</v>
      </c>
      <c r="Y1177">
        <f>IF(Source!BI405=3,H1177, 0)</f>
        <v>0</v>
      </c>
      <c r="Z1177">
        <f>IF(Source!BI405=4,H1177, 0)</f>
        <v>0</v>
      </c>
    </row>
    <row r="1178" spans="1:26" ht="28.5" x14ac:dyDescent="0.2">
      <c r="A1178" s="51" t="str">
        <f>Source!E406</f>
        <v>114,2</v>
      </c>
      <c r="B1178" s="52" t="str">
        <f>Source!F406</f>
        <v>18.1.09.06-0072</v>
      </c>
      <c r="C1178" s="52" t="str">
        <f>Source!G406</f>
        <v>Кран шаровый муфтовый Valtec для воды диаметром 25 мм со сгоном</v>
      </c>
      <c r="D1178" s="39" t="str">
        <f>Source!H406</f>
        <v>шт.</v>
      </c>
      <c r="E1178" s="40">
        <f>Source!I406</f>
        <v>6</v>
      </c>
      <c r="F1178" s="41">
        <f>Source!AL406+Source!AM406+Source!AO406</f>
        <v>101.68</v>
      </c>
      <c r="G1178" s="46" t="s">
        <v>6</v>
      </c>
      <c r="H1178" s="41">
        <f>ROUND(Source!AC406*Source!I406, 2)+ROUND(Source!AD406*Source!I406, 2)+ROUND(Source!AF406*Source!I406, 2)</f>
        <v>610.08000000000004</v>
      </c>
      <c r="I1178" s="42"/>
      <c r="J1178" s="42">
        <f>IF(Source!BC406&lt;&gt; 0, Source!BC406, 1)</f>
        <v>7.13</v>
      </c>
      <c r="K1178" s="41">
        <f>Source!O406</f>
        <v>4349.87</v>
      </c>
      <c r="L1178" s="47"/>
      <c r="S1178">
        <f>ROUND((Source!FX406/100)*((ROUND(Source!AF406*Source!I406, 2)+ROUND(Source!AE406*Source!I406, 2))), 2)</f>
        <v>0</v>
      </c>
      <c r="T1178">
        <f>Source!X406</f>
        <v>0</v>
      </c>
      <c r="U1178">
        <f>ROUND((Source!FY406/100)*((ROUND(Source!AF406*Source!I406, 2)+ROUND(Source!AE406*Source!I406, 2))), 2)</f>
        <v>0</v>
      </c>
      <c r="V1178">
        <f>Source!Y406</f>
        <v>0</v>
      </c>
      <c r="W1178">
        <f>IF(Source!BI406&lt;=1,H1178, 0)</f>
        <v>610.08000000000004</v>
      </c>
      <c r="X1178">
        <f>IF(Source!BI406=2,H1178, 0)</f>
        <v>0</v>
      </c>
      <c r="Y1178">
        <f>IF(Source!BI406=3,H1178, 0)</f>
        <v>0</v>
      </c>
      <c r="Z1178">
        <f>IF(Source!BI406=4,H1178, 0)</f>
        <v>0</v>
      </c>
    </row>
    <row r="1179" spans="1:26" ht="15" x14ac:dyDescent="0.25">
      <c r="G1179" s="87">
        <f>H1170+H1171+H1173+H1174+H1175+SUM(H1177:H1178)</f>
        <v>3381.79</v>
      </c>
      <c r="H1179" s="87"/>
      <c r="J1179" s="87">
        <f>K1170+K1171+K1173+K1174+K1175+SUM(K1177:K1178)</f>
        <v>24119.919999999998</v>
      </c>
      <c r="K1179" s="87"/>
      <c r="L1179" s="44">
        <f>Source!U404</f>
        <v>47.333999999999996</v>
      </c>
      <c r="O1179" s="27">
        <f>G1179</f>
        <v>3381.79</v>
      </c>
      <c r="P1179" s="27">
        <f>J1179</f>
        <v>24119.919999999998</v>
      </c>
      <c r="Q1179" s="27">
        <f>L1179</f>
        <v>47.333999999999996</v>
      </c>
      <c r="W1179">
        <f>IF(Source!BI404&lt;=1,H1170+H1171+H1173+H1174+H1175, 0)</f>
        <v>2062.87</v>
      </c>
      <c r="X1179">
        <f>IF(Source!BI404=2,H1170+H1171+H1173+H1174+H1175, 0)</f>
        <v>0</v>
      </c>
      <c r="Y1179">
        <f>IF(Source!BI404=3,H1170+H1171+H1173+H1174+H1175, 0)</f>
        <v>0</v>
      </c>
      <c r="Z1179">
        <f>IF(Source!BI404=4,H1170+H1171+H1173+H1174+H1175, 0)</f>
        <v>0</v>
      </c>
    </row>
    <row r="1180" spans="1:26" ht="14.25" x14ac:dyDescent="0.2">
      <c r="A1180" s="49" t="str">
        <f>Source!E407</f>
        <v>115</v>
      </c>
      <c r="B1180" s="50" t="str">
        <f>Source!F407</f>
        <v>65-3-6</v>
      </c>
      <c r="C1180" s="50" t="str">
        <f>Source!G407</f>
        <v>Снятие смесителя с душевой сеткой</v>
      </c>
      <c r="D1180" s="33" t="str">
        <f>Source!H407</f>
        <v>100 ШТ</v>
      </c>
      <c r="E1180" s="11">
        <f>Source!I407</f>
        <v>0.03</v>
      </c>
      <c r="F1180" s="34">
        <f>Source!AL407+Source!AM407+Source!AO407</f>
        <v>494.82</v>
      </c>
      <c r="G1180" s="35"/>
      <c r="H1180" s="34"/>
      <c r="I1180" s="35" t="str">
        <f>Source!BO407</f>
        <v/>
      </c>
      <c r="J1180" s="35"/>
      <c r="K1180" s="34"/>
      <c r="L1180" s="36"/>
      <c r="S1180">
        <f>ROUND((Source!FX407/100)*((ROUND(Source!AF407*Source!I407, 2)+ROUND(Source!AE407*Source!I407, 2))), 2)</f>
        <v>10.94</v>
      </c>
      <c r="T1180">
        <f>Source!X407</f>
        <v>77.989999999999995</v>
      </c>
      <c r="U1180">
        <f>ROUND((Source!FY407/100)*((ROUND(Source!AF407*Source!I407, 2)+ROUND(Source!AE407*Source!I407, 2))), 2)</f>
        <v>7.39</v>
      </c>
      <c r="V1180">
        <f>Source!Y407</f>
        <v>52.7</v>
      </c>
    </row>
    <row r="1181" spans="1:26" x14ac:dyDescent="0.2">
      <c r="C1181" s="26" t="str">
        <f>"Объем: "&amp;Source!I407&amp;"=3/"&amp;"100"</f>
        <v>Объем: 0,03=3/100</v>
      </c>
    </row>
    <row r="1182" spans="1:26" ht="14.25" x14ac:dyDescent="0.2">
      <c r="A1182" s="49"/>
      <c r="B1182" s="50"/>
      <c r="C1182" s="50" t="s">
        <v>1783</v>
      </c>
      <c r="D1182" s="33"/>
      <c r="E1182" s="11"/>
      <c r="F1182" s="34">
        <f>Source!AO407</f>
        <v>491.07</v>
      </c>
      <c r="G1182" s="35" t="str">
        <f>Source!DG407</f>
        <v/>
      </c>
      <c r="H1182" s="34">
        <f>ROUND(Source!AF407*Source!I407, 2)</f>
        <v>14.73</v>
      </c>
      <c r="I1182" s="35"/>
      <c r="J1182" s="35">
        <f>IF(Source!BA407&lt;&gt; 0, Source!BA407, 1)</f>
        <v>7.13</v>
      </c>
      <c r="K1182" s="34">
        <f>Source!S407</f>
        <v>105.04</v>
      </c>
      <c r="L1182" s="36"/>
      <c r="R1182">
        <f>H1182</f>
        <v>14.73</v>
      </c>
    </row>
    <row r="1183" spans="1:26" ht="14.25" x14ac:dyDescent="0.2">
      <c r="A1183" s="49"/>
      <c r="B1183" s="50"/>
      <c r="C1183" s="50" t="s">
        <v>449</v>
      </c>
      <c r="D1183" s="33"/>
      <c r="E1183" s="11"/>
      <c r="F1183" s="34">
        <f>Source!AM407</f>
        <v>3.75</v>
      </c>
      <c r="G1183" s="35" t="str">
        <f>Source!DE407</f>
        <v/>
      </c>
      <c r="H1183" s="34">
        <f>ROUND(Source!AD407*Source!I407, 2)</f>
        <v>0.11</v>
      </c>
      <c r="I1183" s="35"/>
      <c r="J1183" s="35">
        <f>IF(Source!BB407&lt;&gt; 0, Source!BB407, 1)</f>
        <v>7.13</v>
      </c>
      <c r="K1183" s="34">
        <f>Source!Q407</f>
        <v>0.8</v>
      </c>
      <c r="L1183" s="36"/>
    </row>
    <row r="1184" spans="1:26" ht="14.25" x14ac:dyDescent="0.2">
      <c r="A1184" s="49"/>
      <c r="B1184" s="50"/>
      <c r="C1184" s="50" t="s">
        <v>1784</v>
      </c>
      <c r="D1184" s="33"/>
      <c r="E1184" s="11"/>
      <c r="F1184" s="34">
        <f>Source!AN407</f>
        <v>1.62</v>
      </c>
      <c r="G1184" s="35" t="str">
        <f>Source!DF407</f>
        <v/>
      </c>
      <c r="H1184" s="37">
        <f>ROUND(Source!AE407*Source!I407, 2)</f>
        <v>0.05</v>
      </c>
      <c r="I1184" s="35"/>
      <c r="J1184" s="35">
        <f>IF(Source!BS407&lt;&gt; 0, Source!BS407, 1)</f>
        <v>7.13</v>
      </c>
      <c r="K1184" s="37">
        <f>Source!R407</f>
        <v>0.35</v>
      </c>
      <c r="L1184" s="36"/>
      <c r="R1184">
        <f>H1184</f>
        <v>0.05</v>
      </c>
    </row>
    <row r="1185" spans="1:26" ht="14.25" x14ac:dyDescent="0.2">
      <c r="A1185" s="49"/>
      <c r="B1185" s="50"/>
      <c r="C1185" s="50" t="s">
        <v>1785</v>
      </c>
      <c r="D1185" s="33" t="s">
        <v>1786</v>
      </c>
      <c r="E1185" s="11">
        <f>Source!BZ407</f>
        <v>74</v>
      </c>
      <c r="F1185" s="53"/>
      <c r="G1185" s="35"/>
      <c r="H1185" s="34">
        <f>SUM(S1180:S1187)</f>
        <v>10.94</v>
      </c>
      <c r="I1185" s="38"/>
      <c r="J1185" s="31">
        <f>Source!AT407</f>
        <v>74</v>
      </c>
      <c r="K1185" s="34">
        <f>SUM(T1180:T1187)</f>
        <v>77.989999999999995</v>
      </c>
      <c r="L1185" s="36"/>
    </row>
    <row r="1186" spans="1:26" ht="14.25" x14ac:dyDescent="0.2">
      <c r="A1186" s="49"/>
      <c r="B1186" s="50"/>
      <c r="C1186" s="50" t="s">
        <v>1787</v>
      </c>
      <c r="D1186" s="33" t="s">
        <v>1786</v>
      </c>
      <c r="E1186" s="11">
        <f>Source!CA407</f>
        <v>50</v>
      </c>
      <c r="F1186" s="53"/>
      <c r="G1186" s="35"/>
      <c r="H1186" s="34">
        <f>SUM(U1180:U1187)</f>
        <v>7.39</v>
      </c>
      <c r="I1186" s="38"/>
      <c r="J1186" s="31">
        <f>Source!AU407</f>
        <v>50</v>
      </c>
      <c r="K1186" s="34">
        <f>SUM(V1180:V1187)</f>
        <v>52.7</v>
      </c>
      <c r="L1186" s="36"/>
    </row>
    <row r="1187" spans="1:26" ht="14.25" x14ac:dyDescent="0.2">
      <c r="A1187" s="51"/>
      <c r="B1187" s="52"/>
      <c r="C1187" s="52" t="s">
        <v>1788</v>
      </c>
      <c r="D1187" s="39" t="s">
        <v>1789</v>
      </c>
      <c r="E1187" s="40">
        <f>Source!AQ407</f>
        <v>57.57</v>
      </c>
      <c r="F1187" s="41"/>
      <c r="G1187" s="42" t="str">
        <f>Source!DI407</f>
        <v/>
      </c>
      <c r="H1187" s="41"/>
      <c r="I1187" s="42"/>
      <c r="J1187" s="42"/>
      <c r="K1187" s="41"/>
      <c r="L1187" s="43">
        <f>Source!U407</f>
        <v>1.7270999999999999</v>
      </c>
    </row>
    <row r="1188" spans="1:26" ht="15" x14ac:dyDescent="0.25">
      <c r="G1188" s="87">
        <f>H1182+H1183+H1185+H1186</f>
        <v>33.17</v>
      </c>
      <c r="H1188" s="87"/>
      <c r="J1188" s="87">
        <f>K1182+K1183+K1185+K1186</f>
        <v>236.52999999999997</v>
      </c>
      <c r="K1188" s="87"/>
      <c r="L1188" s="44">
        <f>Source!U407</f>
        <v>1.7270999999999999</v>
      </c>
      <c r="O1188" s="27">
        <f>G1188</f>
        <v>33.17</v>
      </c>
      <c r="P1188" s="27">
        <f>J1188</f>
        <v>236.52999999999997</v>
      </c>
      <c r="Q1188" s="27">
        <f>L1188</f>
        <v>1.7270999999999999</v>
      </c>
      <c r="W1188">
        <f>IF(Source!BI407&lt;=1,H1182+H1183+H1185+H1186, 0)</f>
        <v>33.17</v>
      </c>
      <c r="X1188">
        <f>IF(Source!BI407=2,H1182+H1183+H1185+H1186, 0)</f>
        <v>0</v>
      </c>
      <c r="Y1188">
        <f>IF(Source!BI407=3,H1182+H1183+H1185+H1186, 0)</f>
        <v>0</v>
      </c>
      <c r="Z1188">
        <f>IF(Source!BI407=4,H1182+H1183+H1185+H1186, 0)</f>
        <v>0</v>
      </c>
    </row>
    <row r="1189" spans="1:26" ht="14.25" x14ac:dyDescent="0.2">
      <c r="A1189" s="49" t="str">
        <f>Source!E408</f>
        <v>116</v>
      </c>
      <c r="B1189" s="50" t="str">
        <f>Source!F408</f>
        <v>65-3-7</v>
      </c>
      <c r="C1189" s="50" t="str">
        <f>Source!G408</f>
        <v>Снятие смесителя без душевой сетки</v>
      </c>
      <c r="D1189" s="33" t="str">
        <f>Source!H408</f>
        <v>100 ШТ</v>
      </c>
      <c r="E1189" s="11">
        <f>Source!I408</f>
        <v>0.08</v>
      </c>
      <c r="F1189" s="34">
        <f>Source!AL408+Source!AM408+Source!AO408</f>
        <v>315.33</v>
      </c>
      <c r="G1189" s="35"/>
      <c r="H1189" s="34"/>
      <c r="I1189" s="35" t="str">
        <f>Source!BO408</f>
        <v/>
      </c>
      <c r="J1189" s="35"/>
      <c r="K1189" s="34"/>
      <c r="L1189" s="36"/>
      <c r="S1189">
        <f>ROUND((Source!FX408/100)*((ROUND(Source!AF408*Source!I408, 2)+ROUND(Source!AE408*Source!I408, 2))), 2)</f>
        <v>18.600000000000001</v>
      </c>
      <c r="T1189">
        <f>Source!X408</f>
        <v>132.58000000000001</v>
      </c>
      <c r="U1189">
        <f>ROUND((Source!FY408/100)*((ROUND(Source!AF408*Source!I408, 2)+ROUND(Source!AE408*Source!I408, 2))), 2)</f>
        <v>12.57</v>
      </c>
      <c r="V1189">
        <f>Source!Y408</f>
        <v>89.58</v>
      </c>
    </row>
    <row r="1190" spans="1:26" x14ac:dyDescent="0.2">
      <c r="C1190" s="26" t="str">
        <f>"Объем: "&amp;Source!I408&amp;"=8/"&amp;"100"</f>
        <v>Объем: 0,08=8/100</v>
      </c>
    </row>
    <row r="1191" spans="1:26" ht="14.25" x14ac:dyDescent="0.2">
      <c r="A1191" s="49"/>
      <c r="B1191" s="50"/>
      <c r="C1191" s="50" t="s">
        <v>1783</v>
      </c>
      <c r="D1191" s="33"/>
      <c r="E1191" s="11"/>
      <c r="F1191" s="34">
        <f>Source!AO408</f>
        <v>313.14</v>
      </c>
      <c r="G1191" s="35" t="str">
        <f>Source!DG408</f>
        <v/>
      </c>
      <c r="H1191" s="34">
        <f>ROUND(Source!AF408*Source!I408, 2)</f>
        <v>25.05</v>
      </c>
      <c r="I1191" s="35"/>
      <c r="J1191" s="35">
        <f>IF(Source!BA408&lt;&gt; 0, Source!BA408, 1)</f>
        <v>7.13</v>
      </c>
      <c r="K1191" s="34">
        <f>Source!S408</f>
        <v>178.62</v>
      </c>
      <c r="L1191" s="36"/>
      <c r="R1191">
        <f>H1191</f>
        <v>25.05</v>
      </c>
    </row>
    <row r="1192" spans="1:26" ht="14.25" x14ac:dyDescent="0.2">
      <c r="A1192" s="49"/>
      <c r="B1192" s="50"/>
      <c r="C1192" s="50" t="s">
        <v>449</v>
      </c>
      <c r="D1192" s="33"/>
      <c r="E1192" s="11"/>
      <c r="F1192" s="34">
        <f>Source!AM408</f>
        <v>2.19</v>
      </c>
      <c r="G1192" s="35" t="str">
        <f>Source!DE408</f>
        <v/>
      </c>
      <c r="H1192" s="34">
        <f>ROUND(Source!AD408*Source!I408, 2)</f>
        <v>0.18</v>
      </c>
      <c r="I1192" s="35"/>
      <c r="J1192" s="35">
        <f>IF(Source!BB408&lt;&gt; 0, Source!BB408, 1)</f>
        <v>7.13</v>
      </c>
      <c r="K1192" s="34">
        <f>Source!Q408</f>
        <v>1.25</v>
      </c>
      <c r="L1192" s="36"/>
    </row>
    <row r="1193" spans="1:26" ht="14.25" x14ac:dyDescent="0.2">
      <c r="A1193" s="49"/>
      <c r="B1193" s="50"/>
      <c r="C1193" s="50" t="s">
        <v>1784</v>
      </c>
      <c r="D1193" s="33"/>
      <c r="E1193" s="11"/>
      <c r="F1193" s="34">
        <f>Source!AN408</f>
        <v>0.95</v>
      </c>
      <c r="G1193" s="35" t="str">
        <f>Source!DF408</f>
        <v/>
      </c>
      <c r="H1193" s="37">
        <f>ROUND(Source!AE408*Source!I408, 2)</f>
        <v>0.08</v>
      </c>
      <c r="I1193" s="35"/>
      <c r="J1193" s="35">
        <f>IF(Source!BS408&lt;&gt; 0, Source!BS408, 1)</f>
        <v>7.13</v>
      </c>
      <c r="K1193" s="37">
        <f>Source!R408</f>
        <v>0.54</v>
      </c>
      <c r="L1193" s="36"/>
      <c r="R1193">
        <f>H1193</f>
        <v>0.08</v>
      </c>
    </row>
    <row r="1194" spans="1:26" ht="14.25" x14ac:dyDescent="0.2">
      <c r="A1194" s="49"/>
      <c r="B1194" s="50"/>
      <c r="C1194" s="50" t="s">
        <v>1785</v>
      </c>
      <c r="D1194" s="33" t="s">
        <v>1786</v>
      </c>
      <c r="E1194" s="11">
        <f>Source!BZ408</f>
        <v>74</v>
      </c>
      <c r="F1194" s="53"/>
      <c r="G1194" s="35"/>
      <c r="H1194" s="34">
        <f>SUM(S1189:S1196)</f>
        <v>18.600000000000001</v>
      </c>
      <c r="I1194" s="38"/>
      <c r="J1194" s="31">
        <f>Source!AT408</f>
        <v>74</v>
      </c>
      <c r="K1194" s="34">
        <f>SUM(T1189:T1196)</f>
        <v>132.58000000000001</v>
      </c>
      <c r="L1194" s="36"/>
    </row>
    <row r="1195" spans="1:26" ht="14.25" x14ac:dyDescent="0.2">
      <c r="A1195" s="49"/>
      <c r="B1195" s="50"/>
      <c r="C1195" s="50" t="s">
        <v>1787</v>
      </c>
      <c r="D1195" s="33" t="s">
        <v>1786</v>
      </c>
      <c r="E1195" s="11">
        <f>Source!CA408</f>
        <v>50</v>
      </c>
      <c r="F1195" s="53"/>
      <c r="G1195" s="35"/>
      <c r="H1195" s="34">
        <f>SUM(U1189:U1196)</f>
        <v>12.57</v>
      </c>
      <c r="I1195" s="38"/>
      <c r="J1195" s="31">
        <f>Source!AU408</f>
        <v>50</v>
      </c>
      <c r="K1195" s="34">
        <f>SUM(V1189:V1196)</f>
        <v>89.58</v>
      </c>
      <c r="L1195" s="36"/>
    </row>
    <row r="1196" spans="1:26" ht="14.25" x14ac:dyDescent="0.2">
      <c r="A1196" s="51"/>
      <c r="B1196" s="52"/>
      <c r="C1196" s="52" t="s">
        <v>1788</v>
      </c>
      <c r="D1196" s="39" t="s">
        <v>1789</v>
      </c>
      <c r="E1196" s="40">
        <f>Source!AQ408</f>
        <v>36.71</v>
      </c>
      <c r="F1196" s="41"/>
      <c r="G1196" s="42" t="str">
        <f>Source!DI408</f>
        <v/>
      </c>
      <c r="H1196" s="41"/>
      <c r="I1196" s="42"/>
      <c r="J1196" s="42"/>
      <c r="K1196" s="41"/>
      <c r="L1196" s="43">
        <f>Source!U408</f>
        <v>2.9368000000000003</v>
      </c>
    </row>
    <row r="1197" spans="1:26" ht="15" x14ac:dyDescent="0.25">
      <c r="G1197" s="87">
        <f>H1191+H1192+H1194+H1195</f>
        <v>56.4</v>
      </c>
      <c r="H1197" s="87"/>
      <c r="J1197" s="87">
        <f>K1191+K1192+K1194+K1195</f>
        <v>402.03000000000003</v>
      </c>
      <c r="K1197" s="87"/>
      <c r="L1197" s="44">
        <f>Source!U408</f>
        <v>2.9368000000000003</v>
      </c>
      <c r="O1197" s="27">
        <f>G1197</f>
        <v>56.4</v>
      </c>
      <c r="P1197" s="27">
        <f>J1197</f>
        <v>402.03000000000003</v>
      </c>
      <c r="Q1197" s="27">
        <f>L1197</f>
        <v>2.9368000000000003</v>
      </c>
      <c r="W1197">
        <f>IF(Source!BI408&lt;=1,H1191+H1192+H1194+H1195, 0)</f>
        <v>56.4</v>
      </c>
      <c r="X1197">
        <f>IF(Source!BI408=2,H1191+H1192+H1194+H1195, 0)</f>
        <v>0</v>
      </c>
      <c r="Y1197">
        <f>IF(Source!BI408=3,H1191+H1192+H1194+H1195, 0)</f>
        <v>0</v>
      </c>
      <c r="Z1197">
        <f>IF(Source!BI408=4,H1191+H1192+H1194+H1195, 0)</f>
        <v>0</v>
      </c>
    </row>
    <row r="1198" spans="1:26" ht="28.5" x14ac:dyDescent="0.2">
      <c r="A1198" s="49" t="str">
        <f>Source!E409</f>
        <v>117</v>
      </c>
      <c r="B1198" s="50" t="str">
        <f>Source!F409</f>
        <v>17-01-002-03</v>
      </c>
      <c r="C1198" s="50" t="str">
        <f>Source!G409</f>
        <v>Установка смесителей</v>
      </c>
      <c r="D1198" s="33" t="str">
        <f>Source!H409</f>
        <v>10 ШТ</v>
      </c>
      <c r="E1198" s="11">
        <f>Source!I409</f>
        <v>1.1000000000000001</v>
      </c>
      <c r="F1198" s="34">
        <f>Source!AL409+Source!AM409+Source!AO409</f>
        <v>78.320000000000007</v>
      </c>
      <c r="G1198" s="35"/>
      <c r="H1198" s="34"/>
      <c r="I1198" s="35" t="str">
        <f>Source!BO409</f>
        <v/>
      </c>
      <c r="J1198" s="35"/>
      <c r="K1198" s="34"/>
      <c r="L1198" s="36"/>
      <c r="S1198">
        <f>ROUND((Source!FX409/100)*((ROUND(Source!AF409*Source!I409, 2)+ROUND(Source!AE409*Source!I409, 2))), 2)</f>
        <v>98.13</v>
      </c>
      <c r="T1198">
        <f>Source!X409</f>
        <v>698.46</v>
      </c>
      <c r="U1198">
        <f>ROUND((Source!FY409/100)*((ROUND(Source!AF409*Source!I409, 2)+ROUND(Source!AE409*Source!I409, 2))), 2)</f>
        <v>60.09</v>
      </c>
      <c r="V1198">
        <f>Source!Y409</f>
        <v>431.23</v>
      </c>
    </row>
    <row r="1199" spans="1:26" x14ac:dyDescent="0.2">
      <c r="C1199" s="26" t="str">
        <f>"Объем: "&amp;Source!I409&amp;"=11/"&amp;"10"</f>
        <v>Объем: 1,1=11/10</v>
      </c>
    </row>
    <row r="1200" spans="1:26" ht="14.25" x14ac:dyDescent="0.2">
      <c r="A1200" s="49"/>
      <c r="B1200" s="50"/>
      <c r="C1200" s="50" t="s">
        <v>1783</v>
      </c>
      <c r="D1200" s="33"/>
      <c r="E1200" s="11"/>
      <c r="F1200" s="34">
        <f>Source!AO409</f>
        <v>67.34</v>
      </c>
      <c r="G1200" s="35" t="str">
        <f>Source!DG409</f>
        <v>)*1,15</v>
      </c>
      <c r="H1200" s="34">
        <f>ROUND(Source!AF409*Source!I409, 2)</f>
        <v>85.18</v>
      </c>
      <c r="I1200" s="35"/>
      <c r="J1200" s="35">
        <f>IF(Source!BA409&lt;&gt; 0, Source!BA409, 1)</f>
        <v>7.13</v>
      </c>
      <c r="K1200" s="34">
        <f>Source!S409</f>
        <v>607.36</v>
      </c>
      <c r="L1200" s="36"/>
      <c r="R1200">
        <f>H1200</f>
        <v>85.18</v>
      </c>
    </row>
    <row r="1201" spans="1:26" ht="14.25" x14ac:dyDescent="0.2">
      <c r="A1201" s="49"/>
      <c r="B1201" s="50"/>
      <c r="C1201" s="50" t="s">
        <v>1790</v>
      </c>
      <c r="D1201" s="33"/>
      <c r="E1201" s="11"/>
      <c r="F1201" s="34">
        <f>Source!AL409</f>
        <v>10.98</v>
      </c>
      <c r="G1201" s="35" t="str">
        <f>Source!DD409</f>
        <v/>
      </c>
      <c r="H1201" s="34">
        <f>ROUND(Source!AC409*Source!I409, 2)</f>
        <v>12.08</v>
      </c>
      <c r="I1201" s="35"/>
      <c r="J1201" s="35">
        <f>IF(Source!BC409&lt;&gt; 0, Source!BC409, 1)</f>
        <v>7.13</v>
      </c>
      <c r="K1201" s="34">
        <f>Source!P409</f>
        <v>86.12</v>
      </c>
      <c r="L1201" s="36"/>
    </row>
    <row r="1202" spans="1:26" ht="14.25" x14ac:dyDescent="0.2">
      <c r="A1202" s="49"/>
      <c r="B1202" s="50"/>
      <c r="C1202" s="50" t="s">
        <v>1785</v>
      </c>
      <c r="D1202" s="33" t="s">
        <v>1786</v>
      </c>
      <c r="E1202" s="11">
        <f>Source!BZ409</f>
        <v>128</v>
      </c>
      <c r="F1202" s="81" t="str">
        <f>CONCATENATE(" )", Source!DL409, Source!FT409, "=", Source!FX409)</f>
        <v xml:space="preserve"> )*0,9=115,2</v>
      </c>
      <c r="G1202" s="88"/>
      <c r="H1202" s="34">
        <f>SUM(S1198:S1208)</f>
        <v>98.13</v>
      </c>
      <c r="I1202" s="38"/>
      <c r="J1202" s="31">
        <f>Source!AT409</f>
        <v>115</v>
      </c>
      <c r="K1202" s="34">
        <f>SUM(T1198:T1208)</f>
        <v>698.46</v>
      </c>
      <c r="L1202" s="36"/>
    </row>
    <row r="1203" spans="1:26" ht="14.25" x14ac:dyDescent="0.2">
      <c r="A1203" s="49"/>
      <c r="B1203" s="50"/>
      <c r="C1203" s="50" t="s">
        <v>1787</v>
      </c>
      <c r="D1203" s="33" t="s">
        <v>1786</v>
      </c>
      <c r="E1203" s="11">
        <f>Source!CA409</f>
        <v>83</v>
      </c>
      <c r="F1203" s="81" t="str">
        <f>CONCATENATE(" )", Source!DM409, Source!FU409, "=", Source!FY409)</f>
        <v xml:space="preserve"> )*0,85=70,55</v>
      </c>
      <c r="G1203" s="88"/>
      <c r="H1203" s="34">
        <f>SUM(U1198:U1208)</f>
        <v>60.09</v>
      </c>
      <c r="I1203" s="38"/>
      <c r="J1203" s="31">
        <f>Source!AU409</f>
        <v>71</v>
      </c>
      <c r="K1203" s="34">
        <f>SUM(V1198:V1208)</f>
        <v>431.23</v>
      </c>
      <c r="L1203" s="36"/>
    </row>
    <row r="1204" spans="1:26" ht="14.25" x14ac:dyDescent="0.2">
      <c r="A1204" s="49"/>
      <c r="B1204" s="50"/>
      <c r="C1204" s="50" t="s">
        <v>1788</v>
      </c>
      <c r="D1204" s="33" t="s">
        <v>1789</v>
      </c>
      <c r="E1204" s="11">
        <f>Source!AQ409</f>
        <v>7</v>
      </c>
      <c r="F1204" s="34"/>
      <c r="G1204" s="35" t="str">
        <f>Source!DI409</f>
        <v>)*1,15</v>
      </c>
      <c r="H1204" s="34"/>
      <c r="I1204" s="35"/>
      <c r="J1204" s="35"/>
      <c r="K1204" s="34"/>
      <c r="L1204" s="45">
        <f>Source!U409</f>
        <v>8.8550000000000004</v>
      </c>
    </row>
    <row r="1205" spans="1:26" ht="28.5" x14ac:dyDescent="0.2">
      <c r="A1205" s="49" t="str">
        <f>Source!E410</f>
        <v>117,1</v>
      </c>
      <c r="B1205" s="50" t="str">
        <f>Source!F410</f>
        <v>18.2.06.08-0013</v>
      </c>
      <c r="C1205" s="50" t="str">
        <f>Source!G410</f>
        <v>Подводка гибкая армированная резиновая 500 мм</v>
      </c>
      <c r="D1205" s="33" t="str">
        <f>Source!H410</f>
        <v>10 шт.</v>
      </c>
      <c r="E1205" s="11">
        <f>Source!I410</f>
        <v>2.2999999999999998</v>
      </c>
      <c r="F1205" s="34">
        <f>Source!AL410+Source!AM410+Source!AO410</f>
        <v>204.5</v>
      </c>
      <c r="G1205" s="48" t="s">
        <v>6</v>
      </c>
      <c r="H1205" s="34">
        <f>ROUND(Source!AC410*Source!I410, 2)+ROUND(Source!AD410*Source!I410, 2)+ROUND(Source!AF410*Source!I410, 2)</f>
        <v>470.35</v>
      </c>
      <c r="I1205" s="35"/>
      <c r="J1205" s="35">
        <f>IF(Source!BC410&lt;&gt; 0, Source!BC410, 1)</f>
        <v>7.13</v>
      </c>
      <c r="K1205" s="34">
        <f>Source!O410</f>
        <v>3353.6</v>
      </c>
      <c r="L1205" s="36"/>
      <c r="S1205">
        <f>ROUND((Source!FX410/100)*((ROUND(Source!AF410*Source!I410, 2)+ROUND(Source!AE410*Source!I410, 2))), 2)</f>
        <v>0</v>
      </c>
      <c r="T1205">
        <f>Source!X410</f>
        <v>0</v>
      </c>
      <c r="U1205">
        <f>ROUND((Source!FY410/100)*((ROUND(Source!AF410*Source!I410, 2)+ROUND(Source!AE410*Source!I410, 2))), 2)</f>
        <v>0</v>
      </c>
      <c r="V1205">
        <f>Source!Y410</f>
        <v>0</v>
      </c>
      <c r="W1205">
        <f>IF(Source!BI410&lt;=1,H1205, 0)</f>
        <v>470.35</v>
      </c>
      <c r="X1205">
        <f>IF(Source!BI410=2,H1205, 0)</f>
        <v>0</v>
      </c>
      <c r="Y1205">
        <f>IF(Source!BI410=3,H1205, 0)</f>
        <v>0</v>
      </c>
      <c r="Z1205">
        <f>IF(Source!BI410=4,H1205, 0)</f>
        <v>0</v>
      </c>
    </row>
    <row r="1206" spans="1:26" ht="57" x14ac:dyDescent="0.2">
      <c r="A1206" s="49" t="str">
        <f>Source!E411</f>
        <v>117,2</v>
      </c>
      <c r="B1206" s="50" t="str">
        <f>Source!F411</f>
        <v>18.1.10.10-0014</v>
      </c>
      <c r="C1206" s="50" t="str">
        <f>Source!G411</f>
        <v>Смесители для ванн СМ-Д-Шл с душевой сеткой на гибком шланге, с кнопочным переключателем, с латунными маховичками, штангой</v>
      </c>
      <c r="D1206" s="33" t="str">
        <f>Source!H411</f>
        <v>компл.</v>
      </c>
      <c r="E1206" s="11">
        <f>Source!I411</f>
        <v>3</v>
      </c>
      <c r="F1206" s="34">
        <f>Source!AL411+Source!AM411+Source!AO411</f>
        <v>252.5</v>
      </c>
      <c r="G1206" s="48" t="s">
        <v>6</v>
      </c>
      <c r="H1206" s="34">
        <f>ROUND(Source!AC411*Source!I411, 2)+ROUND(Source!AD411*Source!I411, 2)+ROUND(Source!AF411*Source!I411, 2)</f>
        <v>757.5</v>
      </c>
      <c r="I1206" s="35"/>
      <c r="J1206" s="35">
        <f>IF(Source!BC411&lt;&gt; 0, Source!BC411, 1)</f>
        <v>7.13</v>
      </c>
      <c r="K1206" s="34">
        <f>Source!O411</f>
        <v>5400.98</v>
      </c>
      <c r="L1206" s="36"/>
      <c r="S1206">
        <f>ROUND((Source!FX411/100)*((ROUND(Source!AF411*Source!I411, 2)+ROUND(Source!AE411*Source!I411, 2))), 2)</f>
        <v>0</v>
      </c>
      <c r="T1206">
        <f>Source!X411</f>
        <v>0</v>
      </c>
      <c r="U1206">
        <f>ROUND((Source!FY411/100)*((ROUND(Source!AF411*Source!I411, 2)+ROUND(Source!AE411*Source!I411, 2))), 2)</f>
        <v>0</v>
      </c>
      <c r="V1206">
        <f>Source!Y411</f>
        <v>0</v>
      </c>
      <c r="W1206">
        <f>IF(Source!BI411&lt;=1,H1206, 0)</f>
        <v>757.5</v>
      </c>
      <c r="X1206">
        <f>IF(Source!BI411=2,H1206, 0)</f>
        <v>0</v>
      </c>
      <c r="Y1206">
        <f>IF(Source!BI411=3,H1206, 0)</f>
        <v>0</v>
      </c>
      <c r="Z1206">
        <f>IF(Source!BI411=4,H1206, 0)</f>
        <v>0</v>
      </c>
    </row>
    <row r="1207" spans="1:26" ht="42.75" x14ac:dyDescent="0.2">
      <c r="A1207" s="49" t="str">
        <f>Source!E412</f>
        <v>117,3</v>
      </c>
      <c r="B1207" s="50" t="str">
        <f>Source!F412</f>
        <v>18.1.10.10-0042</v>
      </c>
      <c r="C1207" s="50" t="str">
        <f>Source!G412</f>
        <v>Смесители для умывальников СМ-УМ-НКСА настольные, с нижней камерой смешения с аэратором</v>
      </c>
      <c r="D1207" s="33" t="str">
        <f>Source!H412</f>
        <v>компл.</v>
      </c>
      <c r="E1207" s="11">
        <f>Source!I412</f>
        <v>3</v>
      </c>
      <c r="F1207" s="34">
        <f>Source!AL412+Source!AM412+Source!AO412</f>
        <v>106.93</v>
      </c>
      <c r="G1207" s="48" t="s">
        <v>6</v>
      </c>
      <c r="H1207" s="34">
        <f>ROUND(Source!AC412*Source!I412, 2)+ROUND(Source!AD412*Source!I412, 2)+ROUND(Source!AF412*Source!I412, 2)</f>
        <v>320.79000000000002</v>
      </c>
      <c r="I1207" s="35"/>
      <c r="J1207" s="35">
        <f>IF(Source!BC412&lt;&gt; 0, Source!BC412, 1)</f>
        <v>7.13</v>
      </c>
      <c r="K1207" s="34">
        <f>Source!O412</f>
        <v>2287.23</v>
      </c>
      <c r="L1207" s="36"/>
      <c r="S1207">
        <f>ROUND((Source!FX412/100)*((ROUND(Source!AF412*Source!I412, 2)+ROUND(Source!AE412*Source!I412, 2))), 2)</f>
        <v>0</v>
      </c>
      <c r="T1207">
        <f>Source!X412</f>
        <v>0</v>
      </c>
      <c r="U1207">
        <f>ROUND((Source!FY412/100)*((ROUND(Source!AF412*Source!I412, 2)+ROUND(Source!AE412*Source!I412, 2))), 2)</f>
        <v>0</v>
      </c>
      <c r="V1207">
        <f>Source!Y412</f>
        <v>0</v>
      </c>
      <c r="W1207">
        <f>IF(Source!BI412&lt;=1,H1207, 0)</f>
        <v>320.79000000000002</v>
      </c>
      <c r="X1207">
        <f>IF(Source!BI412=2,H1207, 0)</f>
        <v>0</v>
      </c>
      <c r="Y1207">
        <f>IF(Source!BI412=3,H1207, 0)</f>
        <v>0</v>
      </c>
      <c r="Z1207">
        <f>IF(Source!BI412=4,H1207, 0)</f>
        <v>0</v>
      </c>
    </row>
    <row r="1208" spans="1:26" ht="42.75" x14ac:dyDescent="0.2">
      <c r="A1208" s="51" t="str">
        <f>Source!E413</f>
        <v>117,4</v>
      </c>
      <c r="B1208" s="52" t="str">
        <f>Source!F413</f>
        <v>18.1.10.10-0047</v>
      </c>
      <c r="C1208" s="52" t="str">
        <f>Source!G413</f>
        <v>Смесители для умывальников СМ-УМ-ЦА настольные, с верхней камерой смешения, центральные, с аэратором</v>
      </c>
      <c r="D1208" s="39" t="str">
        <f>Source!H413</f>
        <v>компл.</v>
      </c>
      <c r="E1208" s="40">
        <f>Source!I413</f>
        <v>5</v>
      </c>
      <c r="F1208" s="41">
        <f>Source!AL413+Source!AM413+Source!AO413</f>
        <v>87.17</v>
      </c>
      <c r="G1208" s="46" t="s">
        <v>6</v>
      </c>
      <c r="H1208" s="41">
        <f>ROUND(Source!AC413*Source!I413, 2)+ROUND(Source!AD413*Source!I413, 2)+ROUND(Source!AF413*Source!I413, 2)</f>
        <v>435.85</v>
      </c>
      <c r="I1208" s="42"/>
      <c r="J1208" s="42">
        <f>IF(Source!BC413&lt;&gt; 0, Source!BC413, 1)</f>
        <v>7.13</v>
      </c>
      <c r="K1208" s="41">
        <f>Source!O413</f>
        <v>3107.61</v>
      </c>
      <c r="L1208" s="47"/>
      <c r="S1208">
        <f>ROUND((Source!FX413/100)*((ROUND(Source!AF413*Source!I413, 2)+ROUND(Source!AE413*Source!I413, 2))), 2)</f>
        <v>0</v>
      </c>
      <c r="T1208">
        <f>Source!X413</f>
        <v>0</v>
      </c>
      <c r="U1208">
        <f>ROUND((Source!FY413/100)*((ROUND(Source!AF413*Source!I413, 2)+ROUND(Source!AE413*Source!I413, 2))), 2)</f>
        <v>0</v>
      </c>
      <c r="V1208">
        <f>Source!Y413</f>
        <v>0</v>
      </c>
      <c r="W1208">
        <f>IF(Source!BI413&lt;=1,H1208, 0)</f>
        <v>435.85</v>
      </c>
      <c r="X1208">
        <f>IF(Source!BI413=2,H1208, 0)</f>
        <v>0</v>
      </c>
      <c r="Y1208">
        <f>IF(Source!BI413=3,H1208, 0)</f>
        <v>0</v>
      </c>
      <c r="Z1208">
        <f>IF(Source!BI413=4,H1208, 0)</f>
        <v>0</v>
      </c>
    </row>
    <row r="1209" spans="1:26" ht="15" x14ac:dyDescent="0.25">
      <c r="G1209" s="87">
        <f>H1200+H1201+H1202+H1203+SUM(H1205:H1208)</f>
        <v>2239.9699999999998</v>
      </c>
      <c r="H1209" s="87"/>
      <c r="J1209" s="87">
        <f>K1200+K1201+K1202+K1203+SUM(K1205:K1208)</f>
        <v>15972.59</v>
      </c>
      <c r="K1209" s="87"/>
      <c r="L1209" s="44">
        <f>Source!U409</f>
        <v>8.8550000000000004</v>
      </c>
      <c r="O1209" s="27">
        <f>G1209</f>
        <v>2239.9699999999998</v>
      </c>
      <c r="P1209" s="27">
        <f>J1209</f>
        <v>15972.59</v>
      </c>
      <c r="Q1209" s="27">
        <f>L1209</f>
        <v>8.8550000000000004</v>
      </c>
      <c r="W1209">
        <f>IF(Source!BI409&lt;=1,H1200+H1201+H1202+H1203, 0)</f>
        <v>255.48</v>
      </c>
      <c r="X1209">
        <f>IF(Source!BI409=2,H1200+H1201+H1202+H1203, 0)</f>
        <v>0</v>
      </c>
      <c r="Y1209">
        <f>IF(Source!BI409=3,H1200+H1201+H1202+H1203, 0)</f>
        <v>0</v>
      </c>
      <c r="Z1209">
        <f>IF(Source!BI409=4,H1200+H1201+H1202+H1203, 0)</f>
        <v>0</v>
      </c>
    </row>
    <row r="1210" spans="1:26" ht="57" x14ac:dyDescent="0.2">
      <c r="A1210" s="49" t="str">
        <f>Source!E414</f>
        <v>118</v>
      </c>
      <c r="B1210" s="50" t="str">
        <f>Source!F414</f>
        <v>16-07-005-01</v>
      </c>
      <c r="C1210" s="50" t="str">
        <f>Source!G414</f>
        <v>Гидравлическое испытание трубопроводов систем отопления, водопровода и горячего водоснабжения диаметром до 50 мм</v>
      </c>
      <c r="D1210" s="33" t="str">
        <f>Source!H414</f>
        <v>100 м</v>
      </c>
      <c r="E1210" s="11">
        <f>Source!I414</f>
        <v>0.90300000000000002</v>
      </c>
      <c r="F1210" s="34">
        <f>Source!AL414+Source!AM414+Source!AO414</f>
        <v>107.12</v>
      </c>
      <c r="G1210" s="35"/>
      <c r="H1210" s="34"/>
      <c r="I1210" s="35" t="str">
        <f>Source!BO414</f>
        <v/>
      </c>
      <c r="J1210" s="35"/>
      <c r="K1210" s="34"/>
      <c r="L1210" s="36"/>
      <c r="S1210">
        <f>ROUND((Source!FX414/100)*((ROUND(Source!AF414*Source!I414, 2)+ROUND(Source!AE414*Source!I414, 2))), 2)</f>
        <v>69.77</v>
      </c>
      <c r="T1210">
        <f>Source!X414</f>
        <v>496.59</v>
      </c>
      <c r="U1210">
        <f>ROUND((Source!FY414/100)*((ROUND(Source!AF414*Source!I414, 2)+ROUND(Source!AE414*Source!I414, 2))), 2)</f>
        <v>42.73</v>
      </c>
      <c r="V1210">
        <f>Source!Y414</f>
        <v>306.58999999999997</v>
      </c>
    </row>
    <row r="1211" spans="1:26" x14ac:dyDescent="0.2">
      <c r="C1211" s="26" t="str">
        <f>"Объем: "&amp;Source!I414&amp;"=90,3/"&amp;"100"</f>
        <v>Объем: 0,903=90,3/100</v>
      </c>
    </row>
    <row r="1212" spans="1:26" ht="14.25" x14ac:dyDescent="0.2">
      <c r="A1212" s="49"/>
      <c r="B1212" s="50"/>
      <c r="C1212" s="50" t="s">
        <v>1783</v>
      </c>
      <c r="D1212" s="33"/>
      <c r="E1212" s="11"/>
      <c r="F1212" s="34">
        <f>Source!AO414</f>
        <v>58.32</v>
      </c>
      <c r="G1212" s="35" t="str">
        <f>Source!DG414</f>
        <v>)*1,15</v>
      </c>
      <c r="H1212" s="34">
        <f>ROUND(Source!AF414*Source!I414, 2)</f>
        <v>60.56</v>
      </c>
      <c r="I1212" s="35"/>
      <c r="J1212" s="35">
        <f>IF(Source!BA414&lt;&gt; 0, Source!BA414, 1)</f>
        <v>7.13</v>
      </c>
      <c r="K1212" s="34">
        <f>Source!S414</f>
        <v>431.82</v>
      </c>
      <c r="L1212" s="36"/>
      <c r="R1212">
        <f>H1212</f>
        <v>60.56</v>
      </c>
    </row>
    <row r="1213" spans="1:26" ht="14.25" x14ac:dyDescent="0.2">
      <c r="A1213" s="49"/>
      <c r="B1213" s="50"/>
      <c r="C1213" s="50" t="s">
        <v>449</v>
      </c>
      <c r="D1213" s="33"/>
      <c r="E1213" s="11"/>
      <c r="F1213" s="34">
        <f>Source!AM414</f>
        <v>44.51</v>
      </c>
      <c r="G1213" s="35" t="str">
        <f>Source!DE414</f>
        <v>)*1,25</v>
      </c>
      <c r="H1213" s="34">
        <f>ROUND(Source!AD414*Source!I414, 2)</f>
        <v>50.24</v>
      </c>
      <c r="I1213" s="35"/>
      <c r="J1213" s="35">
        <f>IF(Source!BB414&lt;&gt; 0, Source!BB414, 1)</f>
        <v>7.13</v>
      </c>
      <c r="K1213" s="34">
        <f>Source!Q414</f>
        <v>358.23</v>
      </c>
      <c r="L1213" s="36"/>
    </row>
    <row r="1214" spans="1:26" ht="14.25" x14ac:dyDescent="0.2">
      <c r="A1214" s="49"/>
      <c r="B1214" s="50"/>
      <c r="C1214" s="50" t="s">
        <v>1790</v>
      </c>
      <c r="D1214" s="33"/>
      <c r="E1214" s="11"/>
      <c r="F1214" s="34">
        <f>Source!AL414</f>
        <v>4.29</v>
      </c>
      <c r="G1214" s="35" t="str">
        <f>Source!DD414</f>
        <v/>
      </c>
      <c r="H1214" s="34">
        <f>ROUND(Source!AC414*Source!I414, 2)</f>
        <v>3.87</v>
      </c>
      <c r="I1214" s="35"/>
      <c r="J1214" s="35">
        <f>IF(Source!BC414&lt;&gt; 0, Source!BC414, 1)</f>
        <v>7.13</v>
      </c>
      <c r="K1214" s="34">
        <f>Source!P414</f>
        <v>27.62</v>
      </c>
      <c r="L1214" s="36"/>
    </row>
    <row r="1215" spans="1:26" ht="14.25" x14ac:dyDescent="0.2">
      <c r="A1215" s="49"/>
      <c r="B1215" s="50"/>
      <c r="C1215" s="50" t="s">
        <v>1785</v>
      </c>
      <c r="D1215" s="33" t="s">
        <v>1786</v>
      </c>
      <c r="E1215" s="11">
        <f>Source!BZ414</f>
        <v>128</v>
      </c>
      <c r="F1215" s="81" t="str">
        <f>CONCATENATE(" )", Source!DL414, Source!FT414, "=", Source!FX414)</f>
        <v xml:space="preserve"> )*0,9=115,2</v>
      </c>
      <c r="G1215" s="88"/>
      <c r="H1215" s="34">
        <f>SUM(S1210:S1217)</f>
        <v>69.77</v>
      </c>
      <c r="I1215" s="38"/>
      <c r="J1215" s="31">
        <f>Source!AT414</f>
        <v>115</v>
      </c>
      <c r="K1215" s="34">
        <f>SUM(T1210:T1217)</f>
        <v>496.59</v>
      </c>
      <c r="L1215" s="36"/>
    </row>
    <row r="1216" spans="1:26" ht="14.25" x14ac:dyDescent="0.2">
      <c r="A1216" s="49"/>
      <c r="B1216" s="50"/>
      <c r="C1216" s="50" t="s">
        <v>1787</v>
      </c>
      <c r="D1216" s="33" t="s">
        <v>1786</v>
      </c>
      <c r="E1216" s="11">
        <f>Source!CA414</f>
        <v>83</v>
      </c>
      <c r="F1216" s="81" t="str">
        <f>CONCATENATE(" )", Source!DM414, Source!FU414, "=", Source!FY414)</f>
        <v xml:space="preserve"> )*0,85=70,55</v>
      </c>
      <c r="G1216" s="88"/>
      <c r="H1216" s="34">
        <f>SUM(U1210:U1217)</f>
        <v>42.73</v>
      </c>
      <c r="I1216" s="38"/>
      <c r="J1216" s="31">
        <f>Source!AU414</f>
        <v>71</v>
      </c>
      <c r="K1216" s="34">
        <f>SUM(V1210:V1217)</f>
        <v>306.58999999999997</v>
      </c>
      <c r="L1216" s="36"/>
    </row>
    <row r="1217" spans="1:32" ht="14.25" x14ac:dyDescent="0.2">
      <c r="A1217" s="51"/>
      <c r="B1217" s="52"/>
      <c r="C1217" s="52" t="s">
        <v>1788</v>
      </c>
      <c r="D1217" s="39" t="s">
        <v>1789</v>
      </c>
      <c r="E1217" s="40">
        <f>Source!AQ414</f>
        <v>5.01</v>
      </c>
      <c r="F1217" s="41"/>
      <c r="G1217" s="42" t="str">
        <f>Source!DI414</f>
        <v>)*1,15</v>
      </c>
      <c r="H1217" s="41"/>
      <c r="I1217" s="42"/>
      <c r="J1217" s="42"/>
      <c r="K1217" s="41"/>
      <c r="L1217" s="43">
        <f>Source!U414</f>
        <v>5.2026344999999994</v>
      </c>
    </row>
    <row r="1218" spans="1:32" ht="15" x14ac:dyDescent="0.25">
      <c r="G1218" s="87">
        <f>H1212+H1213+H1214+H1215+H1216</f>
        <v>227.17</v>
      </c>
      <c r="H1218" s="87"/>
      <c r="J1218" s="87">
        <f>K1212+K1213+K1214+K1215+K1216</f>
        <v>1620.85</v>
      </c>
      <c r="K1218" s="87"/>
      <c r="L1218" s="44">
        <f>Source!U414</f>
        <v>5.2026344999999994</v>
      </c>
      <c r="O1218" s="27">
        <f>G1218</f>
        <v>227.17</v>
      </c>
      <c r="P1218" s="27">
        <f>J1218</f>
        <v>1620.85</v>
      </c>
      <c r="Q1218" s="27">
        <f>L1218</f>
        <v>5.2026344999999994</v>
      </c>
      <c r="W1218">
        <f>IF(Source!BI414&lt;=1,H1212+H1213+H1214+H1215+H1216, 0)</f>
        <v>227.17</v>
      </c>
      <c r="X1218">
        <f>IF(Source!BI414=2,H1212+H1213+H1214+H1215+H1216, 0)</f>
        <v>0</v>
      </c>
      <c r="Y1218">
        <f>IF(Source!BI414=3,H1212+H1213+H1214+H1215+H1216, 0)</f>
        <v>0</v>
      </c>
      <c r="Z1218">
        <f>IF(Source!BI414=4,H1212+H1213+H1214+H1215+H1216, 0)</f>
        <v>0</v>
      </c>
    </row>
    <row r="1219" spans="1:32" ht="42.75" x14ac:dyDescent="0.2">
      <c r="A1219" s="49" t="str">
        <f>Source!E415</f>
        <v>119</v>
      </c>
      <c r="B1219" s="50" t="str">
        <f>Source!F415</f>
        <v>16-07-003-04</v>
      </c>
      <c r="C1219" s="50" t="str">
        <f>Source!G415</f>
        <v>Врезка в действующие внутренние сети трубопроводов отопления и водоснабжения диаметром 32 мм</v>
      </c>
      <c r="D1219" s="33" t="str">
        <f>Source!H415</f>
        <v>ШТ</v>
      </c>
      <c r="E1219" s="11">
        <f>Source!I415</f>
        <v>3</v>
      </c>
      <c r="F1219" s="34">
        <f>Source!AL415+Source!AM415+Source!AO415</f>
        <v>67.27000000000001</v>
      </c>
      <c r="G1219" s="35"/>
      <c r="H1219" s="34"/>
      <c r="I1219" s="35" t="str">
        <f>Source!BO415</f>
        <v/>
      </c>
      <c r="J1219" s="35"/>
      <c r="K1219" s="34"/>
      <c r="L1219" s="36"/>
      <c r="S1219">
        <f>ROUND((Source!FX415/100)*((ROUND(Source!AF415*Source!I415, 2)+ROUND(Source!AE415*Source!I415, 2))), 2)</f>
        <v>176.36</v>
      </c>
      <c r="T1219">
        <f>Source!X415</f>
        <v>1255.26</v>
      </c>
      <c r="U1219">
        <f>ROUND((Source!FY415/100)*((ROUND(Source!AF415*Source!I415, 2)+ROUND(Source!AE415*Source!I415, 2))), 2)</f>
        <v>108</v>
      </c>
      <c r="V1219">
        <f>Source!Y415</f>
        <v>774.99</v>
      </c>
    </row>
    <row r="1220" spans="1:32" ht="14.25" x14ac:dyDescent="0.2">
      <c r="A1220" s="49"/>
      <c r="B1220" s="50"/>
      <c r="C1220" s="50" t="s">
        <v>1783</v>
      </c>
      <c r="D1220" s="33"/>
      <c r="E1220" s="11"/>
      <c r="F1220" s="34">
        <f>Source!AO415</f>
        <v>44.24</v>
      </c>
      <c r="G1220" s="35" t="str">
        <f>Source!DG415</f>
        <v>)*1,15</v>
      </c>
      <c r="H1220" s="34">
        <f>ROUND(Source!AF415*Source!I415, 2)</f>
        <v>152.63999999999999</v>
      </c>
      <c r="I1220" s="35"/>
      <c r="J1220" s="35">
        <f>IF(Source!BA415&lt;&gt; 0, Source!BA415, 1)</f>
        <v>7.13</v>
      </c>
      <c r="K1220" s="34">
        <f>Source!S415</f>
        <v>1088.32</v>
      </c>
      <c r="L1220" s="36"/>
      <c r="R1220">
        <f>H1220</f>
        <v>152.63999999999999</v>
      </c>
    </row>
    <row r="1221" spans="1:32" ht="14.25" x14ac:dyDescent="0.2">
      <c r="A1221" s="49"/>
      <c r="B1221" s="50"/>
      <c r="C1221" s="50" t="s">
        <v>449</v>
      </c>
      <c r="D1221" s="33"/>
      <c r="E1221" s="11"/>
      <c r="F1221" s="34">
        <f>Source!AM415</f>
        <v>4.7300000000000004</v>
      </c>
      <c r="G1221" s="35" t="str">
        <f>Source!DE415</f>
        <v>)*1,25</v>
      </c>
      <c r="H1221" s="34">
        <f>ROUND(Source!AD415*Source!I415, 2)</f>
        <v>17.73</v>
      </c>
      <c r="I1221" s="35"/>
      <c r="J1221" s="35">
        <f>IF(Source!BB415&lt;&gt; 0, Source!BB415, 1)</f>
        <v>7.13</v>
      </c>
      <c r="K1221" s="34">
        <f>Source!Q415</f>
        <v>126.41</v>
      </c>
      <c r="L1221" s="36"/>
    </row>
    <row r="1222" spans="1:32" ht="14.25" x14ac:dyDescent="0.2">
      <c r="A1222" s="49"/>
      <c r="B1222" s="50"/>
      <c r="C1222" s="50" t="s">
        <v>1784</v>
      </c>
      <c r="D1222" s="33"/>
      <c r="E1222" s="11"/>
      <c r="F1222" s="34">
        <f>Source!AN415</f>
        <v>0.12</v>
      </c>
      <c r="G1222" s="35" t="str">
        <f>Source!DF415</f>
        <v>)*1,25</v>
      </c>
      <c r="H1222" s="37">
        <f>ROUND(Source!AE415*Source!I415, 2)</f>
        <v>0.45</v>
      </c>
      <c r="I1222" s="35"/>
      <c r="J1222" s="35">
        <f>IF(Source!BS415&lt;&gt; 0, Source!BS415, 1)</f>
        <v>7.13</v>
      </c>
      <c r="K1222" s="37">
        <f>Source!R415</f>
        <v>3.21</v>
      </c>
      <c r="L1222" s="36"/>
      <c r="R1222">
        <f>H1222</f>
        <v>0.45</v>
      </c>
    </row>
    <row r="1223" spans="1:32" ht="14.25" x14ac:dyDescent="0.2">
      <c r="A1223" s="49"/>
      <c r="B1223" s="50"/>
      <c r="C1223" s="50" t="s">
        <v>1790</v>
      </c>
      <c r="D1223" s="33"/>
      <c r="E1223" s="11"/>
      <c r="F1223" s="34">
        <f>Source!AL415</f>
        <v>18.3</v>
      </c>
      <c r="G1223" s="35" t="str">
        <f>Source!DD415</f>
        <v/>
      </c>
      <c r="H1223" s="34">
        <f>ROUND(Source!AC415*Source!I415, 2)</f>
        <v>54.9</v>
      </c>
      <c r="I1223" s="35"/>
      <c r="J1223" s="35">
        <f>IF(Source!BC415&lt;&gt; 0, Source!BC415, 1)</f>
        <v>7.13</v>
      </c>
      <c r="K1223" s="34">
        <f>Source!P415</f>
        <v>391.44</v>
      </c>
      <c r="L1223" s="36"/>
    </row>
    <row r="1224" spans="1:32" ht="14.25" x14ac:dyDescent="0.2">
      <c r="A1224" s="49"/>
      <c r="B1224" s="50"/>
      <c r="C1224" s="50" t="s">
        <v>1785</v>
      </c>
      <c r="D1224" s="33" t="s">
        <v>1786</v>
      </c>
      <c r="E1224" s="11">
        <f>Source!BZ415</f>
        <v>128</v>
      </c>
      <c r="F1224" s="81" t="str">
        <f>CONCATENATE(" )", Source!DL415, Source!FT415, "=", Source!FX415)</f>
        <v xml:space="preserve"> )*0,9=115,2</v>
      </c>
      <c r="G1224" s="88"/>
      <c r="H1224" s="34">
        <f>SUM(S1219:S1226)</f>
        <v>176.36</v>
      </c>
      <c r="I1224" s="38"/>
      <c r="J1224" s="31">
        <f>Source!AT415</f>
        <v>115</v>
      </c>
      <c r="K1224" s="34">
        <f>SUM(T1219:T1226)</f>
        <v>1255.26</v>
      </c>
      <c r="L1224" s="36"/>
    </row>
    <row r="1225" spans="1:32" ht="14.25" x14ac:dyDescent="0.2">
      <c r="A1225" s="49"/>
      <c r="B1225" s="50"/>
      <c r="C1225" s="50" t="s">
        <v>1787</v>
      </c>
      <c r="D1225" s="33" t="s">
        <v>1786</v>
      </c>
      <c r="E1225" s="11">
        <f>Source!CA415</f>
        <v>83</v>
      </c>
      <c r="F1225" s="81" t="str">
        <f>CONCATENATE(" )", Source!DM415, Source!FU415, "=", Source!FY415)</f>
        <v xml:space="preserve"> )*0,85=70,55</v>
      </c>
      <c r="G1225" s="88"/>
      <c r="H1225" s="34">
        <f>SUM(U1219:U1226)</f>
        <v>108</v>
      </c>
      <c r="I1225" s="38"/>
      <c r="J1225" s="31">
        <f>Source!AU415</f>
        <v>71</v>
      </c>
      <c r="K1225" s="34">
        <f>SUM(V1219:V1226)</f>
        <v>774.99</v>
      </c>
      <c r="L1225" s="36"/>
    </row>
    <row r="1226" spans="1:32" ht="14.25" x14ac:dyDescent="0.2">
      <c r="A1226" s="51"/>
      <c r="B1226" s="52"/>
      <c r="C1226" s="52" t="s">
        <v>1788</v>
      </c>
      <c r="D1226" s="39" t="s">
        <v>1789</v>
      </c>
      <c r="E1226" s="40">
        <f>Source!AQ415</f>
        <v>4.46</v>
      </c>
      <c r="F1226" s="41"/>
      <c r="G1226" s="42" t="str">
        <f>Source!DI415</f>
        <v>)*1,15</v>
      </c>
      <c r="H1226" s="41"/>
      <c r="I1226" s="42"/>
      <c r="J1226" s="42"/>
      <c r="K1226" s="41"/>
      <c r="L1226" s="43">
        <f>Source!U415</f>
        <v>15.386999999999999</v>
      </c>
    </row>
    <row r="1227" spans="1:32" ht="15" x14ac:dyDescent="0.25">
      <c r="G1227" s="87">
        <f>H1220+H1221+H1223+H1224+H1225</f>
        <v>509.63</v>
      </c>
      <c r="H1227" s="87"/>
      <c r="J1227" s="87">
        <f>K1220+K1221+K1223+K1224+K1225</f>
        <v>3636.42</v>
      </c>
      <c r="K1227" s="87"/>
      <c r="L1227" s="44">
        <f>Source!U415</f>
        <v>15.386999999999999</v>
      </c>
      <c r="O1227" s="27">
        <f>G1227</f>
        <v>509.63</v>
      </c>
      <c r="P1227" s="27">
        <f>J1227</f>
        <v>3636.42</v>
      </c>
      <c r="Q1227" s="27">
        <f>L1227</f>
        <v>15.386999999999999</v>
      </c>
      <c r="W1227">
        <f>IF(Source!BI415&lt;=1,H1220+H1221+H1223+H1224+H1225, 0)</f>
        <v>509.63</v>
      </c>
      <c r="X1227">
        <f>IF(Source!BI415=2,H1220+H1221+H1223+H1224+H1225, 0)</f>
        <v>0</v>
      </c>
      <c r="Y1227">
        <f>IF(Source!BI415=3,H1220+H1221+H1223+H1224+H1225, 0)</f>
        <v>0</v>
      </c>
      <c r="Z1227">
        <f>IF(Source!BI415=4,H1220+H1221+H1223+H1224+H1225, 0)</f>
        <v>0</v>
      </c>
    </row>
    <row r="1229" spans="1:32" ht="15" x14ac:dyDescent="0.25">
      <c r="A1229" s="91" t="str">
        <f>CONCATENATE("Итого по разделу: ",IF(Source!G417&lt;&gt;"Новый раздел", Source!G417, ""))</f>
        <v>Итого по разделу: Внутренняя система водоснабжения</v>
      </c>
      <c r="B1229" s="91"/>
      <c r="C1229" s="91"/>
      <c r="D1229" s="91"/>
      <c r="E1229" s="91"/>
      <c r="F1229" s="91"/>
      <c r="G1229" s="92">
        <f>SUM(O1123:O1228)</f>
        <v>13616.4</v>
      </c>
      <c r="H1229" s="92"/>
      <c r="I1229" s="30"/>
      <c r="J1229" s="92">
        <f>SUM(P1123:P1228)</f>
        <v>97126.66</v>
      </c>
      <c r="K1229" s="92"/>
      <c r="L1229" s="44">
        <f>SUM(Q1123:Q1228)</f>
        <v>260.04746449999993</v>
      </c>
      <c r="AF1229" s="54" t="str">
        <f>CONCATENATE("Итого по разделу: ",IF(Source!G417&lt;&gt;"Новый раздел", Source!G417, ""))</f>
        <v>Итого по разделу: Внутренняя система водоснабжения</v>
      </c>
    </row>
    <row r="1231" spans="1:32" ht="15" x14ac:dyDescent="0.25">
      <c r="C1231" s="91" t="str">
        <f>Source!H477</f>
        <v>Всего</v>
      </c>
      <c r="D1231" s="91"/>
      <c r="E1231" s="91"/>
      <c r="F1231" s="91"/>
      <c r="G1231" s="91"/>
      <c r="H1231" s="91"/>
      <c r="I1231" s="91"/>
      <c r="J1231" s="92">
        <f>IF(Source!F477=0, "", Source!F477)</f>
        <v>2162722.7000000002</v>
      </c>
      <c r="K1231" s="92"/>
    </row>
    <row r="1232" spans="1:32" ht="15" x14ac:dyDescent="0.25">
      <c r="C1232" s="91" t="str">
        <f>Source!H478</f>
        <v>Итого НДС 18%</v>
      </c>
      <c r="D1232" s="91"/>
      <c r="E1232" s="91"/>
      <c r="F1232" s="91"/>
      <c r="G1232" s="91"/>
      <c r="H1232" s="91"/>
      <c r="I1232" s="91"/>
      <c r="J1232" s="92">
        <f>IF(Source!F478=0, "", Source!F478)</f>
        <v>389290.09</v>
      </c>
      <c r="K1232" s="92"/>
    </row>
    <row r="1233" spans="1:12" ht="15" x14ac:dyDescent="0.25">
      <c r="C1233" s="91" t="str">
        <f>Source!H479</f>
        <v>Всего по смете</v>
      </c>
      <c r="D1233" s="91"/>
      <c r="E1233" s="91"/>
      <c r="F1233" s="91"/>
      <c r="G1233" s="91"/>
      <c r="H1233" s="91"/>
      <c r="I1233" s="91"/>
      <c r="J1233" s="92">
        <f>IF(Source!F479=0, "", Source!F479)</f>
        <v>2552012.79</v>
      </c>
      <c r="K1233" s="92"/>
    </row>
    <row r="1236" spans="1:12" ht="14.25" x14ac:dyDescent="0.2">
      <c r="A1236" s="29" t="s">
        <v>1791</v>
      </c>
      <c r="B1236" s="29"/>
      <c r="C1236" s="72"/>
      <c r="D1236" s="73"/>
      <c r="E1236" s="73"/>
      <c r="F1236" s="73"/>
      <c r="G1236" s="73"/>
      <c r="H1236" s="73"/>
      <c r="I1236" s="73"/>
      <c r="J1236" s="12"/>
      <c r="K1236" s="12"/>
      <c r="L1236" s="12"/>
    </row>
    <row r="1237" spans="1:12" ht="14.25" x14ac:dyDescent="0.2">
      <c r="A1237" s="12"/>
      <c r="B1237" s="12"/>
      <c r="C1237" s="72"/>
      <c r="D1237" s="90"/>
      <c r="E1237" s="90"/>
      <c r="F1237" s="90"/>
      <c r="G1237" s="90"/>
      <c r="H1237" s="90"/>
      <c r="I1237" s="73"/>
      <c r="J1237" s="12"/>
      <c r="K1237" s="12"/>
      <c r="L1237" s="12"/>
    </row>
    <row r="1238" spans="1:12" ht="14.25" x14ac:dyDescent="0.2">
      <c r="A1238" s="12"/>
      <c r="B1238" s="12"/>
      <c r="C1238" s="72"/>
      <c r="D1238" s="73"/>
      <c r="E1238" s="73"/>
      <c r="F1238" s="73"/>
      <c r="G1238" s="73"/>
      <c r="H1238" s="73"/>
      <c r="I1238" s="73"/>
      <c r="J1238" s="12"/>
      <c r="K1238" s="12"/>
      <c r="L1238" s="12"/>
    </row>
    <row r="1239" spans="1:12" ht="14.25" x14ac:dyDescent="0.2">
      <c r="A1239" s="29" t="s">
        <v>1791</v>
      </c>
      <c r="B1239" s="29"/>
      <c r="C1239" s="72"/>
      <c r="D1239" s="73"/>
      <c r="E1239" s="73"/>
      <c r="F1239" s="73"/>
      <c r="G1239" s="73"/>
      <c r="H1239" s="73"/>
      <c r="I1239" s="73"/>
      <c r="J1239" s="12"/>
      <c r="K1239" s="12"/>
      <c r="L1239" s="12"/>
    </row>
    <row r="1240" spans="1:12" ht="14.25" x14ac:dyDescent="0.2">
      <c r="A1240" s="12"/>
      <c r="B1240" s="12"/>
      <c r="C1240" s="73"/>
      <c r="D1240" s="90"/>
      <c r="E1240" s="90"/>
      <c r="F1240" s="90"/>
      <c r="G1240" s="90"/>
      <c r="H1240" s="90"/>
      <c r="I1240" s="73"/>
      <c r="J1240" s="12"/>
      <c r="K1240" s="12"/>
      <c r="L1240" s="12"/>
    </row>
    <row r="1241" spans="1:12" x14ac:dyDescent="0.2">
      <c r="C1241" s="74"/>
      <c r="D1241" s="74"/>
      <c r="E1241" s="74"/>
      <c r="F1241" s="74"/>
      <c r="G1241" s="74"/>
      <c r="H1241" s="74"/>
      <c r="I1241" s="74"/>
    </row>
  </sheetData>
  <mergeCells count="423">
    <mergeCell ref="G1229:H1229"/>
    <mergeCell ref="J1229:K1229"/>
    <mergeCell ref="A1229:F1229"/>
    <mergeCell ref="J1227:K1227"/>
    <mergeCell ref="G1227:H1227"/>
    <mergeCell ref="J1168:K1168"/>
    <mergeCell ref="G1168:H1168"/>
    <mergeCell ref="F1164:G1164"/>
    <mergeCell ref="F1163:G1163"/>
    <mergeCell ref="J1209:K1209"/>
    <mergeCell ref="G1209:H1209"/>
    <mergeCell ref="F1203:G1203"/>
    <mergeCell ref="F1225:G1225"/>
    <mergeCell ref="F1224:G1224"/>
    <mergeCell ref="J1218:K1218"/>
    <mergeCell ref="G1218:H1218"/>
    <mergeCell ref="F1216:G1216"/>
    <mergeCell ref="F1215:G1215"/>
    <mergeCell ref="F1202:G1202"/>
    <mergeCell ref="J1197:K1197"/>
    <mergeCell ref="G1197:H1197"/>
    <mergeCell ref="J1188:K1188"/>
    <mergeCell ref="G1188:H1188"/>
    <mergeCell ref="G1121:H1121"/>
    <mergeCell ref="J1121:K1121"/>
    <mergeCell ref="A1121:F1121"/>
    <mergeCell ref="J1119:K1119"/>
    <mergeCell ref="G1119:H1119"/>
    <mergeCell ref="F1152:G1152"/>
    <mergeCell ref="F1151:G1151"/>
    <mergeCell ref="J1156:K1156"/>
    <mergeCell ref="G1156:H1156"/>
    <mergeCell ref="J998:K998"/>
    <mergeCell ref="G998:H998"/>
    <mergeCell ref="F1062:G1062"/>
    <mergeCell ref="J1055:K1055"/>
    <mergeCell ref="G1055:H1055"/>
    <mergeCell ref="J1144:K1144"/>
    <mergeCell ref="G1144:H1144"/>
    <mergeCell ref="F1140:G1140"/>
    <mergeCell ref="F1139:G1139"/>
    <mergeCell ref="J1132:K1132"/>
    <mergeCell ref="G1132:H1132"/>
    <mergeCell ref="A1123:L1123"/>
    <mergeCell ref="G1079:H1079"/>
    <mergeCell ref="F1076:G1076"/>
    <mergeCell ref="F1075:G1075"/>
    <mergeCell ref="J1068:K1068"/>
    <mergeCell ref="G1068:H1068"/>
    <mergeCell ref="F1063:G1063"/>
    <mergeCell ref="F1116:G1116"/>
    <mergeCell ref="J1110:K1110"/>
    <mergeCell ref="G1110:H1110"/>
    <mergeCell ref="F1108:G1108"/>
    <mergeCell ref="F1107:G1107"/>
    <mergeCell ref="F1117:G1117"/>
    <mergeCell ref="J1101:K1101"/>
    <mergeCell ref="G1101:H1101"/>
    <mergeCell ref="F1097:G1097"/>
    <mergeCell ref="F1096:G1096"/>
    <mergeCell ref="J1091:K1091"/>
    <mergeCell ref="G1091:H1091"/>
    <mergeCell ref="F1087:G1087"/>
    <mergeCell ref="F1086:G1086"/>
    <mergeCell ref="J1079:K1079"/>
    <mergeCell ref="G892:H892"/>
    <mergeCell ref="F929:G929"/>
    <mergeCell ref="F928:G928"/>
    <mergeCell ref="J922:K922"/>
    <mergeCell ref="F1052:G1052"/>
    <mergeCell ref="F1051:G1051"/>
    <mergeCell ref="J1044:K1044"/>
    <mergeCell ref="G1044:H1044"/>
    <mergeCell ref="F1038:G1038"/>
    <mergeCell ref="F1037:G1037"/>
    <mergeCell ref="J1030:K1030"/>
    <mergeCell ref="G942:H942"/>
    <mergeCell ref="J942:K942"/>
    <mergeCell ref="A942:F942"/>
    <mergeCell ref="J940:K940"/>
    <mergeCell ref="G940:H940"/>
    <mergeCell ref="J932:K932"/>
    <mergeCell ref="G932:H932"/>
    <mergeCell ref="J989:K989"/>
    <mergeCell ref="F1023:G1023"/>
    <mergeCell ref="J1016:K1016"/>
    <mergeCell ref="G1016:H1016"/>
    <mergeCell ref="J1007:K1007"/>
    <mergeCell ref="G1007:H1007"/>
    <mergeCell ref="G922:H922"/>
    <mergeCell ref="F919:G919"/>
    <mergeCell ref="F918:G918"/>
    <mergeCell ref="J912:K912"/>
    <mergeCell ref="G912:H912"/>
    <mergeCell ref="F909:G909"/>
    <mergeCell ref="F829:G829"/>
    <mergeCell ref="F828:G828"/>
    <mergeCell ref="J821:K821"/>
    <mergeCell ref="G821:H821"/>
    <mergeCell ref="J873:K873"/>
    <mergeCell ref="G873:H873"/>
    <mergeCell ref="F890:G890"/>
    <mergeCell ref="F889:G889"/>
    <mergeCell ref="J883:K883"/>
    <mergeCell ref="G883:H883"/>
    <mergeCell ref="F880:G880"/>
    <mergeCell ref="F879:G879"/>
    <mergeCell ref="F908:G908"/>
    <mergeCell ref="J901:K901"/>
    <mergeCell ref="G901:H901"/>
    <mergeCell ref="F899:G899"/>
    <mergeCell ref="F898:G898"/>
    <mergeCell ref="J892:K892"/>
    <mergeCell ref="J730:K730"/>
    <mergeCell ref="G730:H730"/>
    <mergeCell ref="F868:G868"/>
    <mergeCell ref="F867:G867"/>
    <mergeCell ref="J861:K861"/>
    <mergeCell ref="G861:H861"/>
    <mergeCell ref="F853:G853"/>
    <mergeCell ref="F852:G852"/>
    <mergeCell ref="G769:H769"/>
    <mergeCell ref="J763:K763"/>
    <mergeCell ref="G763:H763"/>
    <mergeCell ref="J756:K756"/>
    <mergeCell ref="G756:H756"/>
    <mergeCell ref="J750:K750"/>
    <mergeCell ref="G750:H750"/>
    <mergeCell ref="J808:K808"/>
    <mergeCell ref="G808:H808"/>
    <mergeCell ref="J799:K799"/>
    <mergeCell ref="G799:H799"/>
    <mergeCell ref="F816:G816"/>
    <mergeCell ref="F815:G815"/>
    <mergeCell ref="J788:K788"/>
    <mergeCell ref="G788:H788"/>
    <mergeCell ref="A779:L779"/>
    <mergeCell ref="G777:H777"/>
    <mergeCell ref="J777:K777"/>
    <mergeCell ref="A777:F777"/>
    <mergeCell ref="J775:K775"/>
    <mergeCell ref="G775:H775"/>
    <mergeCell ref="J769:K769"/>
    <mergeCell ref="J545:K545"/>
    <mergeCell ref="G545:H545"/>
    <mergeCell ref="J655:K655"/>
    <mergeCell ref="G655:H655"/>
    <mergeCell ref="J644:K644"/>
    <mergeCell ref="G644:H644"/>
    <mergeCell ref="J637:K637"/>
    <mergeCell ref="G637:H637"/>
    <mergeCell ref="J687:K687"/>
    <mergeCell ref="G687:H687"/>
    <mergeCell ref="J674:K674"/>
    <mergeCell ref="G674:H674"/>
    <mergeCell ref="J666:K666"/>
    <mergeCell ref="G666:H666"/>
    <mergeCell ref="J740:K740"/>
    <mergeCell ref="G740:H740"/>
    <mergeCell ref="J537:K537"/>
    <mergeCell ref="G537:H537"/>
    <mergeCell ref="J719:K719"/>
    <mergeCell ref="G719:H719"/>
    <mergeCell ref="J709:K709"/>
    <mergeCell ref="G709:H709"/>
    <mergeCell ref="J698:K698"/>
    <mergeCell ref="G698:H698"/>
    <mergeCell ref="J569:K569"/>
    <mergeCell ref="G569:H569"/>
    <mergeCell ref="J560:K560"/>
    <mergeCell ref="G560:H560"/>
    <mergeCell ref="J551:K551"/>
    <mergeCell ref="G551:H551"/>
    <mergeCell ref="G612:H612"/>
    <mergeCell ref="J601:K601"/>
    <mergeCell ref="G601:H601"/>
    <mergeCell ref="J590:K590"/>
    <mergeCell ref="G590:H590"/>
    <mergeCell ref="J578:K578"/>
    <mergeCell ref="G578:H578"/>
    <mergeCell ref="J625:K625"/>
    <mergeCell ref="F440:G440"/>
    <mergeCell ref="J498:K498"/>
    <mergeCell ref="G498:H498"/>
    <mergeCell ref="J491:K491"/>
    <mergeCell ref="G491:H491"/>
    <mergeCell ref="F489:G489"/>
    <mergeCell ref="F488:G488"/>
    <mergeCell ref="G504:H504"/>
    <mergeCell ref="J504:K504"/>
    <mergeCell ref="A504:F504"/>
    <mergeCell ref="J502:K502"/>
    <mergeCell ref="G502:H502"/>
    <mergeCell ref="J500:K500"/>
    <mergeCell ref="G500:H500"/>
    <mergeCell ref="J530:K530"/>
    <mergeCell ref="G530:H530"/>
    <mergeCell ref="J523:K523"/>
    <mergeCell ref="G523:H523"/>
    <mergeCell ref="J514:K514"/>
    <mergeCell ref="G451:H451"/>
    <mergeCell ref="F448:G448"/>
    <mergeCell ref="F447:G447"/>
    <mergeCell ref="J443:K443"/>
    <mergeCell ref="G443:H443"/>
    <mergeCell ref="J481:K481"/>
    <mergeCell ref="G481:H481"/>
    <mergeCell ref="J471:K471"/>
    <mergeCell ref="G471:H471"/>
    <mergeCell ref="J463:K463"/>
    <mergeCell ref="G463:H463"/>
    <mergeCell ref="F459:G459"/>
    <mergeCell ref="F458:G458"/>
    <mergeCell ref="J451:K451"/>
    <mergeCell ref="F381:G381"/>
    <mergeCell ref="F380:G380"/>
    <mergeCell ref="J373:K373"/>
    <mergeCell ref="G373:H373"/>
    <mergeCell ref="F439:G439"/>
    <mergeCell ref="J432:K432"/>
    <mergeCell ref="G432:H432"/>
    <mergeCell ref="J420:K420"/>
    <mergeCell ref="G420:H420"/>
    <mergeCell ref="J408:K408"/>
    <mergeCell ref="G408:H408"/>
    <mergeCell ref="F405:G405"/>
    <mergeCell ref="F404:G404"/>
    <mergeCell ref="J397:K397"/>
    <mergeCell ref="G397:H397"/>
    <mergeCell ref="F393:G393"/>
    <mergeCell ref="F392:G392"/>
    <mergeCell ref="J385:K385"/>
    <mergeCell ref="G385:H385"/>
    <mergeCell ref="J320:K320"/>
    <mergeCell ref="G320:H320"/>
    <mergeCell ref="J352:K352"/>
    <mergeCell ref="F370:G370"/>
    <mergeCell ref="F369:G369"/>
    <mergeCell ref="J362:K362"/>
    <mergeCell ref="G362:H362"/>
    <mergeCell ref="F360:G360"/>
    <mergeCell ref="F359:G359"/>
    <mergeCell ref="G352:H352"/>
    <mergeCell ref="F349:G349"/>
    <mergeCell ref="F348:G348"/>
    <mergeCell ref="J341:K341"/>
    <mergeCell ref="G341:H341"/>
    <mergeCell ref="F337:G337"/>
    <mergeCell ref="F336:G336"/>
    <mergeCell ref="G133:H133"/>
    <mergeCell ref="J283:K283"/>
    <mergeCell ref="G283:H283"/>
    <mergeCell ref="F281:G281"/>
    <mergeCell ref="F280:G280"/>
    <mergeCell ref="J186:K186"/>
    <mergeCell ref="G186:H186"/>
    <mergeCell ref="F183:G183"/>
    <mergeCell ref="F182:G182"/>
    <mergeCell ref="J175:K175"/>
    <mergeCell ref="G175:H175"/>
    <mergeCell ref="F204:G204"/>
    <mergeCell ref="F203:G203"/>
    <mergeCell ref="J196:K196"/>
    <mergeCell ref="G196:H196"/>
    <mergeCell ref="F250:G250"/>
    <mergeCell ref="F249:G249"/>
    <mergeCell ref="J273:K273"/>
    <mergeCell ref="G273:H273"/>
    <mergeCell ref="F270:G270"/>
    <mergeCell ref="F269:G269"/>
    <mergeCell ref="J263:K263"/>
    <mergeCell ref="G263:H263"/>
    <mergeCell ref="F260:G260"/>
    <mergeCell ref="F191:G191"/>
    <mergeCell ref="J242:K242"/>
    <mergeCell ref="G242:H242"/>
    <mergeCell ref="J232:K232"/>
    <mergeCell ref="J252:K252"/>
    <mergeCell ref="G252:H252"/>
    <mergeCell ref="J58:K58"/>
    <mergeCell ref="G58:H58"/>
    <mergeCell ref="J99:K99"/>
    <mergeCell ref="G99:H99"/>
    <mergeCell ref="J115:K115"/>
    <mergeCell ref="G232:H232"/>
    <mergeCell ref="F229:G229"/>
    <mergeCell ref="F228:G228"/>
    <mergeCell ref="J222:K222"/>
    <mergeCell ref="G222:H222"/>
    <mergeCell ref="F217:G217"/>
    <mergeCell ref="F216:G216"/>
    <mergeCell ref="J209:K209"/>
    <mergeCell ref="G209:H209"/>
    <mergeCell ref="F130:G130"/>
    <mergeCell ref="F129:G129"/>
    <mergeCell ref="J122:K122"/>
    <mergeCell ref="G145:H145"/>
    <mergeCell ref="J845:K845"/>
    <mergeCell ref="G845:H845"/>
    <mergeCell ref="J834:K834"/>
    <mergeCell ref="G834:H834"/>
    <mergeCell ref="G514:H514"/>
    <mergeCell ref="A506:L506"/>
    <mergeCell ref="G625:H625"/>
    <mergeCell ref="J612:K612"/>
    <mergeCell ref="F192:G192"/>
    <mergeCell ref="J300:K300"/>
    <mergeCell ref="G300:H300"/>
    <mergeCell ref="F317:G317"/>
    <mergeCell ref="J310:K310"/>
    <mergeCell ref="G310:H310"/>
    <mergeCell ref="F308:G308"/>
    <mergeCell ref="F307:G307"/>
    <mergeCell ref="F291:G291"/>
    <mergeCell ref="F290:G290"/>
    <mergeCell ref="F259:G259"/>
    <mergeCell ref="F318:G318"/>
    <mergeCell ref="J330:K330"/>
    <mergeCell ref="G330:H330"/>
    <mergeCell ref="F327:G327"/>
    <mergeCell ref="F326:G326"/>
    <mergeCell ref="F40:G40"/>
    <mergeCell ref="F172:G172"/>
    <mergeCell ref="F171:G171"/>
    <mergeCell ref="J166:K166"/>
    <mergeCell ref="G166:H166"/>
    <mergeCell ref="F163:G163"/>
    <mergeCell ref="F162:G162"/>
    <mergeCell ref="J155:K155"/>
    <mergeCell ref="J51:K51"/>
    <mergeCell ref="G51:H51"/>
    <mergeCell ref="F49:G49"/>
    <mergeCell ref="F48:G48"/>
    <mergeCell ref="J42:K42"/>
    <mergeCell ref="G42:H42"/>
    <mergeCell ref="J76:K76"/>
    <mergeCell ref="G76:H76"/>
    <mergeCell ref="G122:H122"/>
    <mergeCell ref="F120:G120"/>
    <mergeCell ref="F119:G119"/>
    <mergeCell ref="G155:H155"/>
    <mergeCell ref="F152:G152"/>
    <mergeCell ref="F151:G151"/>
    <mergeCell ref="J145:K145"/>
    <mergeCell ref="J133:K133"/>
    <mergeCell ref="D1240:H1240"/>
    <mergeCell ref="C1231:I1231"/>
    <mergeCell ref="J1231:K1231"/>
    <mergeCell ref="J1179:K1179"/>
    <mergeCell ref="G1179:H1179"/>
    <mergeCell ref="F1175:G1175"/>
    <mergeCell ref="F1174:G1174"/>
    <mergeCell ref="G953:H953"/>
    <mergeCell ref="A944:L944"/>
    <mergeCell ref="G1030:H1030"/>
    <mergeCell ref="F1024:G1024"/>
    <mergeCell ref="C1232:I1232"/>
    <mergeCell ref="J1232:K1232"/>
    <mergeCell ref="C1233:I1233"/>
    <mergeCell ref="J1233:K1233"/>
    <mergeCell ref="D1237:H1237"/>
    <mergeCell ref="G989:H989"/>
    <mergeCell ref="J980:K980"/>
    <mergeCell ref="G980:H980"/>
    <mergeCell ref="J972:K972"/>
    <mergeCell ref="G972:H972"/>
    <mergeCell ref="J962:K962"/>
    <mergeCell ref="G962:H962"/>
    <mergeCell ref="J953:K953"/>
    <mergeCell ref="C27:F27"/>
    <mergeCell ref="G27:H27"/>
    <mergeCell ref="I27:J27"/>
    <mergeCell ref="K27:L27"/>
    <mergeCell ref="A29:L29"/>
    <mergeCell ref="G115:H115"/>
    <mergeCell ref="J108:K108"/>
    <mergeCell ref="G108:H108"/>
    <mergeCell ref="C25:F25"/>
    <mergeCell ref="G25:H25"/>
    <mergeCell ref="I25:J25"/>
    <mergeCell ref="K25:L25"/>
    <mergeCell ref="C26:F26"/>
    <mergeCell ref="G26:H26"/>
    <mergeCell ref="I26:J26"/>
    <mergeCell ref="K26:L26"/>
    <mergeCell ref="J92:K92"/>
    <mergeCell ref="G92:H92"/>
    <mergeCell ref="J85:K85"/>
    <mergeCell ref="G85:H85"/>
    <mergeCell ref="F39:G39"/>
    <mergeCell ref="A33:L33"/>
    <mergeCell ref="J67:K67"/>
    <mergeCell ref="G67:H67"/>
    <mergeCell ref="C23:F23"/>
    <mergeCell ref="G23:H23"/>
    <mergeCell ref="I23:J23"/>
    <mergeCell ref="K23:L23"/>
    <mergeCell ref="C24:F24"/>
    <mergeCell ref="G24:H24"/>
    <mergeCell ref="I24:J24"/>
    <mergeCell ref="K24:L24"/>
    <mergeCell ref="C21:F21"/>
    <mergeCell ref="G21:H21"/>
    <mergeCell ref="I21:J21"/>
    <mergeCell ref="K21:L21"/>
    <mergeCell ref="C22:F22"/>
    <mergeCell ref="G22:H22"/>
    <mergeCell ref="I22:J22"/>
    <mergeCell ref="K22:L22"/>
    <mergeCell ref="B11:K11"/>
    <mergeCell ref="B13:K13"/>
    <mergeCell ref="B15:K15"/>
    <mergeCell ref="B16:K16"/>
    <mergeCell ref="G20:H20"/>
    <mergeCell ref="I20:J20"/>
    <mergeCell ref="B7:E7"/>
    <mergeCell ref="H7:L7"/>
    <mergeCell ref="B3:E3"/>
    <mergeCell ref="H3:L3"/>
    <mergeCell ref="B4:E4"/>
    <mergeCell ref="H4:L4"/>
    <mergeCell ref="B6:E6"/>
    <mergeCell ref="H6:L6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82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0" t="str">
        <f>Source!B1</f>
        <v>Smeta.RU  (495) 974-1589</v>
      </c>
    </row>
    <row r="2" spans="1:31" ht="15" x14ac:dyDescent="0.25">
      <c r="A2" s="30"/>
      <c r="B2" s="30"/>
      <c r="C2" s="30"/>
      <c r="D2" s="30"/>
      <c r="E2" s="99" t="s">
        <v>1792</v>
      </c>
      <c r="F2" s="99"/>
      <c r="G2" s="99"/>
      <c r="H2" s="99"/>
    </row>
    <row r="3" spans="1:31" ht="14.25" x14ac:dyDescent="0.2">
      <c r="A3" s="12"/>
      <c r="B3" s="12"/>
      <c r="C3" s="12"/>
      <c r="D3" s="12"/>
      <c r="E3" s="99" t="s">
        <v>1793</v>
      </c>
      <c r="F3" s="99"/>
      <c r="G3" s="99"/>
      <c r="H3" s="99"/>
    </row>
    <row r="4" spans="1:31" ht="14.25" x14ac:dyDescent="0.2">
      <c r="A4" s="12"/>
      <c r="B4" s="12"/>
      <c r="C4" s="12"/>
      <c r="D4" s="12"/>
      <c r="E4" s="99" t="s">
        <v>1794</v>
      </c>
      <c r="F4" s="99"/>
      <c r="G4" s="99"/>
      <c r="H4" s="99"/>
    </row>
    <row r="5" spans="1:31" ht="14.25" x14ac:dyDescent="0.2">
      <c r="A5" s="12"/>
      <c r="B5" s="12"/>
      <c r="C5" s="12"/>
      <c r="D5" s="12"/>
      <c r="E5" s="12"/>
      <c r="F5" s="12"/>
      <c r="G5" s="12"/>
      <c r="H5" s="12"/>
    </row>
    <row r="6" spans="1:31" ht="14.25" x14ac:dyDescent="0.2">
      <c r="A6" s="12"/>
      <c r="B6" s="12"/>
      <c r="C6" s="12"/>
      <c r="D6" s="12"/>
      <c r="E6" s="12"/>
      <c r="F6" s="12"/>
      <c r="G6" s="94" t="s">
        <v>1795</v>
      </c>
      <c r="H6" s="95"/>
    </row>
    <row r="7" spans="1:31" ht="14.25" x14ac:dyDescent="0.2">
      <c r="A7" s="12"/>
      <c r="B7" s="12"/>
      <c r="C7" s="12"/>
      <c r="D7" s="12"/>
      <c r="E7" s="12"/>
      <c r="F7" s="11" t="s">
        <v>1796</v>
      </c>
      <c r="G7" s="100" t="s">
        <v>1797</v>
      </c>
      <c r="H7" s="95"/>
    </row>
    <row r="8" spans="1:31" ht="14.25" x14ac:dyDescent="0.2">
      <c r="A8" s="12"/>
      <c r="B8" s="12"/>
      <c r="C8" s="12"/>
      <c r="D8" s="12"/>
      <c r="E8" s="12"/>
      <c r="F8" s="12"/>
      <c r="G8" s="94" t="str">
        <f>IF(Source!AT15 &lt;&gt; "", Source!AT15, "")</f>
        <v/>
      </c>
      <c r="H8" s="95"/>
    </row>
    <row r="9" spans="1:31" ht="14.25" x14ac:dyDescent="0.2">
      <c r="A9" s="12" t="s">
        <v>1798</v>
      </c>
      <c r="B9" s="12"/>
      <c r="C9" s="98" t="str">
        <f>IF(Source!BA15 &lt;&gt; "", Source!BA15, IF(Source!AU15 &lt;&gt; "", Source!AU15, ""))</f>
        <v/>
      </c>
      <c r="D9" s="98"/>
      <c r="E9" s="98"/>
      <c r="F9" s="11" t="s">
        <v>1799</v>
      </c>
      <c r="G9" s="96"/>
      <c r="H9" s="97"/>
    </row>
    <row r="10" spans="1:31" ht="14.25" x14ac:dyDescent="0.2">
      <c r="A10" s="12"/>
      <c r="B10" s="12"/>
      <c r="C10" s="93" t="s">
        <v>1800</v>
      </c>
      <c r="D10" s="93"/>
      <c r="E10" s="93"/>
      <c r="F10" s="12"/>
      <c r="G10" s="94" t="str">
        <f>IF(Source!AK15 &lt;&gt; "", Source!AK15, "")</f>
        <v/>
      </c>
      <c r="H10" s="95"/>
    </row>
    <row r="11" spans="1:31" ht="14.25" x14ac:dyDescent="0.2">
      <c r="A11" s="12" t="s">
        <v>1801</v>
      </c>
      <c r="B11" s="12"/>
      <c r="C11" s="98" t="str">
        <f>IF(Source!AX12&lt;&gt; "", Source!AX12, IF(Source!AJ12 &lt;&gt; "", Source!AJ12, ""))</f>
        <v/>
      </c>
      <c r="D11" s="98"/>
      <c r="E11" s="98"/>
      <c r="F11" s="11" t="s">
        <v>1799</v>
      </c>
      <c r="G11" s="96"/>
      <c r="H11" s="97"/>
    </row>
    <row r="12" spans="1:31" ht="14.25" x14ac:dyDescent="0.2">
      <c r="A12" s="12"/>
      <c r="B12" s="12"/>
      <c r="C12" s="93" t="s">
        <v>1800</v>
      </c>
      <c r="D12" s="93"/>
      <c r="E12" s="93"/>
      <c r="F12" s="12"/>
      <c r="G12" s="94" t="str">
        <f>IF(Source!AO15 &lt;&gt; "", Source!AO15, "")</f>
        <v/>
      </c>
      <c r="H12" s="95"/>
    </row>
    <row r="13" spans="1:31" ht="14.25" x14ac:dyDescent="0.2">
      <c r="A13" s="12" t="s">
        <v>1802</v>
      </c>
      <c r="B13" s="12"/>
      <c r="C13" s="98" t="str">
        <f>IF(Source!AY12&lt;&gt; "", Source!AY12, IF(Source!AN12 &lt;&gt; "", Source!AN12, ""))</f>
        <v/>
      </c>
      <c r="D13" s="98"/>
      <c r="E13" s="98"/>
      <c r="F13" s="11" t="s">
        <v>1799</v>
      </c>
      <c r="G13" s="96"/>
      <c r="H13" s="97"/>
    </row>
    <row r="14" spans="1:31" ht="14.25" x14ac:dyDescent="0.2">
      <c r="A14" s="12"/>
      <c r="B14" s="12"/>
      <c r="C14" s="93" t="s">
        <v>1800</v>
      </c>
      <c r="D14" s="93"/>
      <c r="E14" s="93"/>
      <c r="F14" s="12"/>
      <c r="G14" s="94" t="str">
        <f>IF(Source!CO15 &lt;&gt; "", Source!CO15, "")</f>
        <v/>
      </c>
      <c r="H14" s="95"/>
    </row>
    <row r="15" spans="1:31" ht="28.5" x14ac:dyDescent="0.2">
      <c r="A15" s="12" t="s">
        <v>1803</v>
      </c>
      <c r="B15" s="12"/>
      <c r="C15" s="98" t="s">
        <v>5</v>
      </c>
      <c r="D15" s="98"/>
      <c r="E15" s="98"/>
      <c r="F15" s="12"/>
      <c r="G15" s="96"/>
      <c r="H15" s="97"/>
      <c r="AE15" s="32" t="s">
        <v>5</v>
      </c>
    </row>
    <row r="16" spans="1:31" ht="14.25" x14ac:dyDescent="0.2">
      <c r="A16" s="12"/>
      <c r="B16" s="12"/>
      <c r="C16" s="93" t="s">
        <v>1804</v>
      </c>
      <c r="D16" s="93"/>
      <c r="E16" s="93"/>
      <c r="F16" s="12"/>
      <c r="G16" s="94" t="str">
        <f>IF(Source!CP15 &lt;&gt; "", Source!CP15, "")</f>
        <v/>
      </c>
      <c r="H16" s="95"/>
    </row>
    <row r="17" spans="1:31" ht="28.5" x14ac:dyDescent="0.2">
      <c r="A17" s="12" t="s">
        <v>1805</v>
      </c>
      <c r="B17" s="12"/>
      <c r="C17" s="98" t="str">
        <f>IF(Source!G12&lt;&gt;"Новый объект", Source!G12, "")</f>
        <v>Капитальный ремонт общежития №2  2-этаж  НВПК НИЯУ МИФИ</v>
      </c>
      <c r="D17" s="98"/>
      <c r="E17" s="98"/>
      <c r="F17" s="12"/>
      <c r="G17" s="104"/>
      <c r="H17" s="105"/>
      <c r="AE17" s="32" t="str">
        <f>IF(Source!G12&lt;&gt;"Новый объект", Source!G12, "")</f>
        <v>Капитальный ремонт общежития №2  2-этаж  НВПК НИЯУ МИФИ</v>
      </c>
    </row>
    <row r="18" spans="1:31" ht="14.25" x14ac:dyDescent="0.2">
      <c r="A18" s="12"/>
      <c r="B18" s="12"/>
      <c r="C18" s="93" t="s">
        <v>1806</v>
      </c>
      <c r="D18" s="93"/>
      <c r="E18" s="93"/>
      <c r="F18" s="12"/>
      <c r="G18" s="12"/>
      <c r="H18" s="12"/>
    </row>
    <row r="19" spans="1:31" ht="14.25" x14ac:dyDescent="0.2">
      <c r="A19" s="12"/>
      <c r="B19" s="12"/>
      <c r="C19" s="12"/>
      <c r="D19" s="82" t="s">
        <v>1807</v>
      </c>
      <c r="E19" s="82"/>
      <c r="F19" s="101"/>
      <c r="G19" s="94" t="str">
        <f>IF(Source!CQ15 &lt;&gt; "", Source!CQ15, "")</f>
        <v/>
      </c>
      <c r="H19" s="95"/>
    </row>
    <row r="20" spans="1:31" ht="14.25" x14ac:dyDescent="0.2">
      <c r="A20" s="12"/>
      <c r="B20" s="12"/>
      <c r="C20" s="12"/>
      <c r="D20" s="82" t="s">
        <v>1808</v>
      </c>
      <c r="E20" s="101"/>
      <c r="F20" s="55" t="s">
        <v>1809</v>
      </c>
      <c r="G20" s="94" t="str">
        <f>IF(Source!CR15 &lt;&gt; "", Source!CR15, "")</f>
        <v/>
      </c>
      <c r="H20" s="95"/>
    </row>
    <row r="21" spans="1:31" ht="14.25" x14ac:dyDescent="0.2">
      <c r="A21" s="12"/>
      <c r="B21" s="12"/>
      <c r="C21" s="12"/>
      <c r="D21" s="12"/>
      <c r="E21" s="12"/>
      <c r="F21" s="23" t="s">
        <v>1810</v>
      </c>
      <c r="G21" s="102" t="str">
        <f>IF(Source!CS15 &lt;&gt; 0, Source!CS15, "")</f>
        <v/>
      </c>
      <c r="H21" s="103"/>
    </row>
    <row r="22" spans="1:31" ht="14.25" x14ac:dyDescent="0.2">
      <c r="A22" s="12"/>
      <c r="B22" s="12"/>
      <c r="C22" s="12"/>
      <c r="D22" s="12"/>
      <c r="E22" s="12"/>
      <c r="F22" s="11" t="s">
        <v>1811</v>
      </c>
      <c r="G22" s="108" t="str">
        <f>IF(Source!CT15 &lt;&gt; "", Source!CT15, "")</f>
        <v/>
      </c>
      <c r="H22" s="109"/>
    </row>
    <row r="23" spans="1:31" ht="14.25" x14ac:dyDescent="0.2">
      <c r="A23" s="12"/>
      <c r="B23" s="12"/>
      <c r="C23" s="12"/>
      <c r="D23" s="12"/>
      <c r="E23" s="12"/>
      <c r="F23" s="12"/>
      <c r="G23" s="12"/>
      <c r="H23" s="12"/>
    </row>
    <row r="24" spans="1:31" ht="14.25" x14ac:dyDescent="0.2">
      <c r="A24" s="12"/>
      <c r="B24" s="12"/>
      <c r="C24" s="12"/>
      <c r="D24" s="110" t="s">
        <v>1812</v>
      </c>
      <c r="E24" s="112" t="s">
        <v>1813</v>
      </c>
      <c r="F24" s="112" t="s">
        <v>1814</v>
      </c>
      <c r="G24" s="114"/>
      <c r="H24" s="12"/>
    </row>
    <row r="25" spans="1:31" ht="14.25" x14ac:dyDescent="0.2">
      <c r="A25" s="12"/>
      <c r="B25" s="12"/>
      <c r="C25" s="12"/>
      <c r="D25" s="111"/>
      <c r="E25" s="113"/>
      <c r="F25" s="56" t="s">
        <v>1815</v>
      </c>
      <c r="G25" s="57" t="s">
        <v>1816</v>
      </c>
      <c r="H25" s="12"/>
    </row>
    <row r="26" spans="1:31" ht="14.25" x14ac:dyDescent="0.2">
      <c r="A26" s="12"/>
      <c r="B26" s="12"/>
      <c r="C26" s="12"/>
      <c r="D26" s="58" t="str">
        <f>IF(Source!CN15 &lt;&gt; "", Source!CN15, "")</f>
        <v/>
      </c>
      <c r="E26" s="59">
        <v>43368.41846064815</v>
      </c>
      <c r="F26" s="58"/>
      <c r="G26" s="60"/>
      <c r="H26" s="12"/>
    </row>
    <row r="27" spans="1:31" ht="14.25" x14ac:dyDescent="0.2">
      <c r="A27" s="12"/>
      <c r="B27" s="12"/>
      <c r="C27" s="12"/>
      <c r="D27" s="12"/>
      <c r="E27" s="12"/>
      <c r="F27" s="12"/>
      <c r="G27" s="12"/>
      <c r="H27" s="12"/>
    </row>
    <row r="28" spans="1:31" ht="18" x14ac:dyDescent="0.25">
      <c r="A28" s="115" t="s">
        <v>1817</v>
      </c>
      <c r="B28" s="115"/>
      <c r="C28" s="115"/>
      <c r="D28" s="115"/>
      <c r="E28" s="115"/>
      <c r="F28" s="115"/>
      <c r="G28" s="115"/>
      <c r="H28" s="115"/>
    </row>
    <row r="29" spans="1:31" ht="18" x14ac:dyDescent="0.25">
      <c r="A29" s="115" t="s">
        <v>1818</v>
      </c>
      <c r="B29" s="115"/>
      <c r="C29" s="115"/>
      <c r="D29" s="115"/>
      <c r="E29" s="115"/>
      <c r="F29" s="115"/>
      <c r="G29" s="115"/>
      <c r="H29" s="115"/>
    </row>
    <row r="30" spans="1:31" ht="14.25" x14ac:dyDescent="0.2">
      <c r="A30" s="12"/>
      <c r="B30" s="12"/>
      <c r="C30" s="12"/>
      <c r="D30" s="12"/>
      <c r="E30" s="12"/>
      <c r="F30" s="12"/>
      <c r="G30" s="12"/>
      <c r="H30" s="12"/>
    </row>
    <row r="31" spans="1:31" ht="15" x14ac:dyDescent="0.25">
      <c r="A31" s="9" t="s">
        <v>1819</v>
      </c>
      <c r="B31" s="12"/>
      <c r="C31" s="12"/>
      <c r="D31" s="12"/>
      <c r="E31" s="12"/>
      <c r="F31" s="106">
        <f>(Source!F511/1000)</f>
        <v>2552.0127900000002</v>
      </c>
      <c r="G31" s="106"/>
      <c r="H31" s="12" t="s">
        <v>1820</v>
      </c>
    </row>
    <row r="32" spans="1:31" ht="14.25" x14ac:dyDescent="0.2">
      <c r="A32" s="12"/>
      <c r="B32" s="12"/>
      <c r="C32" s="12"/>
      <c r="D32" s="12"/>
      <c r="E32" s="12"/>
      <c r="F32" s="12"/>
      <c r="G32" s="12"/>
      <c r="H32" s="12"/>
    </row>
    <row r="33" spans="1:28" ht="14.25" x14ac:dyDescent="0.2">
      <c r="A33" s="107" t="s">
        <v>1821</v>
      </c>
      <c r="B33" s="107"/>
      <c r="C33" s="107" t="s">
        <v>1822</v>
      </c>
      <c r="D33" s="107" t="s">
        <v>1823</v>
      </c>
      <c r="E33" s="107" t="s">
        <v>1824</v>
      </c>
      <c r="F33" s="107" t="s">
        <v>1825</v>
      </c>
      <c r="G33" s="107"/>
      <c r="H33" s="107"/>
    </row>
    <row r="34" spans="1:28" ht="57" x14ac:dyDescent="0.2">
      <c r="A34" s="22" t="s">
        <v>1826</v>
      </c>
      <c r="B34" s="22" t="s">
        <v>1827</v>
      </c>
      <c r="C34" s="107"/>
      <c r="D34" s="107"/>
      <c r="E34" s="107"/>
      <c r="F34" s="22" t="s">
        <v>1828</v>
      </c>
      <c r="G34" s="22" t="s">
        <v>1829</v>
      </c>
      <c r="H34" s="22" t="s">
        <v>1830</v>
      </c>
    </row>
    <row r="35" spans="1:28" ht="14.25" x14ac:dyDescent="0.2">
      <c r="A35" s="22">
        <v>1</v>
      </c>
      <c r="B35" s="22">
        <v>2</v>
      </c>
      <c r="C35" s="22">
        <v>3</v>
      </c>
      <c r="D35" s="22">
        <v>4</v>
      </c>
      <c r="E35" s="22">
        <v>5</v>
      </c>
      <c r="F35" s="22">
        <v>6</v>
      </c>
      <c r="G35" s="22">
        <v>7</v>
      </c>
      <c r="H35" s="22">
        <v>8</v>
      </c>
    </row>
    <row r="37" spans="1:28" ht="16.5" x14ac:dyDescent="0.25">
      <c r="A37" s="89" t="str">
        <f>CONCATENATE("Локальная смета: ",IF(Source!G20&lt;&gt;"Новая локальная смета", Source!G20, ""))</f>
        <v xml:space="preserve">Локальная смета: </v>
      </c>
      <c r="B37" s="89"/>
      <c r="C37" s="89"/>
      <c r="D37" s="89"/>
      <c r="E37" s="89"/>
      <c r="F37" s="89"/>
      <c r="G37" s="89"/>
      <c r="H37" s="89"/>
    </row>
    <row r="39" spans="1:28" ht="16.5" x14ac:dyDescent="0.25">
      <c r="A39" s="89" t="str">
        <f>CONCATENATE("Раздел: ",IF(Source!G24&lt;&gt;"Новый раздел", Source!G24, ""))</f>
        <v>Раздел: Общестроительные работы</v>
      </c>
      <c r="B39" s="89"/>
      <c r="C39" s="89"/>
      <c r="D39" s="89"/>
      <c r="E39" s="89"/>
      <c r="F39" s="89"/>
      <c r="G39" s="89"/>
      <c r="H39" s="89"/>
    </row>
    <row r="40" spans="1:28" ht="28.5" x14ac:dyDescent="0.2">
      <c r="A40" s="50">
        <v>1</v>
      </c>
      <c r="B40" s="50" t="str">
        <f>Source!E28</f>
        <v>1</v>
      </c>
      <c r="C40" s="50" t="str">
        <f>Source!G28</f>
        <v>Разборка деревянных заполнений проемов дверных и воротных</v>
      </c>
      <c r="D40" s="50" t="str">
        <f>Source!F28</f>
        <v>46-04-012-03</v>
      </c>
      <c r="E40" s="35" t="str">
        <f>Source!H28</f>
        <v>100 м2</v>
      </c>
      <c r="F40" s="12">
        <f>Source!I28</f>
        <v>0.45140000000000002</v>
      </c>
      <c r="G40" s="25">
        <f>Source!AB28</f>
        <v>1082.58</v>
      </c>
      <c r="H40" s="25">
        <f>Source!O28</f>
        <v>3484.26</v>
      </c>
      <c r="T40">
        <f>Source!O28+Source!X28+Source!Y28</f>
        <v>8320.8000000000011</v>
      </c>
      <c r="U40">
        <f>Source!P28</f>
        <v>0</v>
      </c>
      <c r="V40">
        <f>Source!S28</f>
        <v>2705.55</v>
      </c>
      <c r="W40">
        <f>Source!Q28</f>
        <v>778.71</v>
      </c>
      <c r="X40">
        <f>Source!R28</f>
        <v>336.3</v>
      </c>
      <c r="Y40">
        <f>Source!U28</f>
        <v>46.904974000000003</v>
      </c>
      <c r="Z40">
        <f>Source!V28</f>
        <v>3.4938360000000004</v>
      </c>
      <c r="AA40">
        <f>Source!X28</f>
        <v>3011.43</v>
      </c>
      <c r="AB40">
        <f>Source!Y28</f>
        <v>1825.11</v>
      </c>
    </row>
    <row r="41" spans="1:28" ht="14.25" x14ac:dyDescent="0.2">
      <c r="C41" s="26" t="str">
        <f>"Объем: "&amp;Source!I28&amp;"=45,14/"&amp;"100"</f>
        <v>Объем: 0,4514=45,14/100</v>
      </c>
      <c r="F41" s="12"/>
      <c r="G41" s="12"/>
      <c r="H41" s="12"/>
    </row>
    <row r="42" spans="1:28" x14ac:dyDescent="0.2">
      <c r="C42" s="26" t="s">
        <v>1831</v>
      </c>
      <c r="D42" s="26">
        <f>Source!BA28</f>
        <v>7.13</v>
      </c>
    </row>
    <row r="43" spans="1:28" x14ac:dyDescent="0.2">
      <c r="C43" s="26" t="s">
        <v>1832</v>
      </c>
      <c r="D43" s="26">
        <f>Source!BB28</f>
        <v>7.13</v>
      </c>
    </row>
    <row r="44" spans="1:28" x14ac:dyDescent="0.2">
      <c r="C44" s="26" t="s">
        <v>1833</v>
      </c>
      <c r="D44" s="26">
        <f>Source!BC28</f>
        <v>7.13</v>
      </c>
    </row>
    <row r="45" spans="1:28" x14ac:dyDescent="0.2">
      <c r="C45" s="26" t="s">
        <v>1834</v>
      </c>
      <c r="D45" s="26">
        <f>Source!BS28</f>
        <v>7.13</v>
      </c>
    </row>
    <row r="46" spans="1:28" x14ac:dyDescent="0.2">
      <c r="C46" s="9" t="s">
        <v>1835</v>
      </c>
      <c r="D46" s="38"/>
      <c r="E46" s="38"/>
      <c r="F46" s="38">
        <f>Source!BZ28</f>
        <v>110</v>
      </c>
      <c r="G46" s="61">
        <f>(Source!AF28+Source!AE28)*Source!FX28/100</f>
        <v>935.66880000000003</v>
      </c>
      <c r="H46" s="61">
        <f>Source!X28</f>
        <v>3011.43</v>
      </c>
    </row>
    <row r="47" spans="1:28" x14ac:dyDescent="0.2">
      <c r="C47" s="9" t="s">
        <v>1836</v>
      </c>
      <c r="D47" s="38"/>
      <c r="E47" s="38"/>
      <c r="F47" s="38"/>
      <c r="G47" s="38" t="str">
        <f>CONCATENATE(Source!DL28,Source!FT28, "=", Source!FX28, "%")</f>
        <v>*0,9=99%</v>
      </c>
      <c r="H47" s="38" t="str">
        <f>CONCATENATE(Source!AT28)</f>
        <v>99</v>
      </c>
    </row>
    <row r="48" spans="1:28" x14ac:dyDescent="0.2">
      <c r="C48" s="9" t="s">
        <v>1837</v>
      </c>
      <c r="D48" s="38"/>
      <c r="E48" s="38"/>
      <c r="F48" s="38">
        <f>Source!CA28</f>
        <v>70</v>
      </c>
      <c r="G48" s="61">
        <f>(Source!AF28+Source!AE28)*Source!FY28/100</f>
        <v>562.34640000000002</v>
      </c>
      <c r="H48" s="61">
        <f>Source!Y28</f>
        <v>1825.11</v>
      </c>
    </row>
    <row r="49" spans="1:28" x14ac:dyDescent="0.2">
      <c r="C49" s="9" t="s">
        <v>1838</v>
      </c>
      <c r="D49" s="38"/>
      <c r="E49" s="38"/>
      <c r="F49" s="38"/>
      <c r="G49" s="38" t="str">
        <f>CONCATENATE(Source!DM28,Source!FU28, "=", Source!FY28, "%")</f>
        <v>*0,85=59,5%</v>
      </c>
      <c r="H49" s="38" t="str">
        <f>CONCATENATE(Source!AU28)</f>
        <v>60</v>
      </c>
    </row>
    <row r="50" spans="1:28" x14ac:dyDescent="0.2">
      <c r="C50" s="9" t="s">
        <v>1839</v>
      </c>
      <c r="D50" s="38"/>
      <c r="E50" s="38"/>
      <c r="F50" s="38"/>
      <c r="G50" s="61">
        <f>((Source!AF28+Source!AE28)*Source!FX28/100)+((Source!AF28+Source!AE28)*Source!FY28/100)+Source!AB28</f>
        <v>2580.5951999999997</v>
      </c>
      <c r="H50" s="61">
        <f>Source!O28+Source!X28+Source!Y28</f>
        <v>8320.8000000000011</v>
      </c>
    </row>
    <row r="51" spans="1:28" ht="28.5" x14ac:dyDescent="0.2">
      <c r="A51" s="50">
        <v>2</v>
      </c>
      <c r="B51" s="50" t="str">
        <f>Source!E29</f>
        <v>2</v>
      </c>
      <c r="C51" s="50" t="str">
        <f>Source!G29</f>
        <v>Разборка деревянных встроенных шкафов</v>
      </c>
      <c r="D51" s="50" t="str">
        <f>Source!F29</f>
        <v>10-01-059-01</v>
      </c>
      <c r="E51" s="35" t="str">
        <f>Source!H29</f>
        <v>100 ШТ</v>
      </c>
      <c r="F51" s="12">
        <f>Source!I29</f>
        <v>0.02</v>
      </c>
      <c r="G51" s="25">
        <f>Source!AB29</f>
        <v>655.27</v>
      </c>
      <c r="H51" s="25">
        <f>Source!O29</f>
        <v>93.45</v>
      </c>
      <c r="T51">
        <f>Source!O29+Source!X29+Source!Y29</f>
        <v>212.95</v>
      </c>
      <c r="U51">
        <f>Source!P29</f>
        <v>0</v>
      </c>
      <c r="V51">
        <f>Source!S29</f>
        <v>68.760000000000005</v>
      </c>
      <c r="W51">
        <f>Source!Q29</f>
        <v>24.69</v>
      </c>
      <c r="X51">
        <f>Source!R29</f>
        <v>5.93</v>
      </c>
      <c r="Y51">
        <f>Source!U29</f>
        <v>1.2024000000000001</v>
      </c>
      <c r="Z51">
        <f>Source!V29</f>
        <v>6.720000000000001E-2</v>
      </c>
      <c r="AA51">
        <f>Source!X29</f>
        <v>79.17</v>
      </c>
      <c r="AB51">
        <f>Source!Y29</f>
        <v>40.33</v>
      </c>
    </row>
    <row r="52" spans="1:28" ht="14.25" x14ac:dyDescent="0.2">
      <c r="C52" s="26" t="str">
        <f>"Объем: "&amp;Source!I29&amp;"=2/"&amp;"100"</f>
        <v>Объем: 0,02=2/100</v>
      </c>
      <c r="F52" s="12"/>
      <c r="G52" s="12"/>
      <c r="H52" s="12"/>
    </row>
    <row r="53" spans="1:28" x14ac:dyDescent="0.2">
      <c r="C53" s="26" t="s">
        <v>1831</v>
      </c>
      <c r="D53" s="26">
        <f>Source!BA29</f>
        <v>7.13</v>
      </c>
    </row>
    <row r="54" spans="1:28" x14ac:dyDescent="0.2">
      <c r="C54" s="26" t="s">
        <v>1832</v>
      </c>
      <c r="D54" s="26">
        <f>Source!BB29</f>
        <v>7.13</v>
      </c>
    </row>
    <row r="55" spans="1:28" x14ac:dyDescent="0.2">
      <c r="C55" s="26" t="s">
        <v>1833</v>
      </c>
      <c r="D55" s="26">
        <f>Source!BC29</f>
        <v>7.13</v>
      </c>
    </row>
    <row r="56" spans="1:28" x14ac:dyDescent="0.2">
      <c r="C56" s="26" t="s">
        <v>1834</v>
      </c>
      <c r="D56" s="26">
        <f>Source!BS29</f>
        <v>7.13</v>
      </c>
    </row>
    <row r="57" spans="1:28" x14ac:dyDescent="0.2">
      <c r="C57" s="26" t="s">
        <v>1840</v>
      </c>
      <c r="D57" s="116" t="s">
        <v>30</v>
      </c>
      <c r="E57" s="116"/>
      <c r="F57" s="116"/>
      <c r="G57" s="116"/>
      <c r="H57" s="116"/>
    </row>
    <row r="58" spans="1:28" x14ac:dyDescent="0.2">
      <c r="C58" s="26" t="s">
        <v>1841</v>
      </c>
      <c r="D58" s="116" t="s">
        <v>31</v>
      </c>
      <c r="E58" s="116"/>
      <c r="F58" s="116"/>
      <c r="G58" s="116"/>
      <c r="H58" s="116"/>
    </row>
    <row r="59" spans="1:28" x14ac:dyDescent="0.2">
      <c r="C59" s="26" t="s">
        <v>1842</v>
      </c>
      <c r="D59" s="116" t="s">
        <v>31</v>
      </c>
      <c r="E59" s="116"/>
      <c r="F59" s="116"/>
      <c r="G59" s="116"/>
      <c r="H59" s="116"/>
    </row>
    <row r="60" spans="1:28" x14ac:dyDescent="0.2">
      <c r="C60" s="26" t="s">
        <v>1843</v>
      </c>
      <c r="D60" s="116" t="s">
        <v>31</v>
      </c>
      <c r="E60" s="116"/>
      <c r="F60" s="116"/>
      <c r="G60" s="116"/>
      <c r="H60" s="116"/>
    </row>
    <row r="61" spans="1:28" x14ac:dyDescent="0.2">
      <c r="C61" s="26" t="s">
        <v>1844</v>
      </c>
      <c r="D61" s="116" t="s">
        <v>31</v>
      </c>
      <c r="E61" s="116"/>
      <c r="F61" s="116"/>
      <c r="G61" s="116"/>
      <c r="H61" s="116"/>
    </row>
    <row r="62" spans="1:28" x14ac:dyDescent="0.2">
      <c r="C62" s="26" t="s">
        <v>1845</v>
      </c>
      <c r="D62" s="116" t="s">
        <v>31</v>
      </c>
      <c r="E62" s="116"/>
      <c r="F62" s="116"/>
      <c r="G62" s="116"/>
      <c r="H62" s="116"/>
    </row>
    <row r="63" spans="1:28" x14ac:dyDescent="0.2">
      <c r="C63" s="9" t="s">
        <v>1835</v>
      </c>
      <c r="D63" s="38"/>
      <c r="E63" s="38"/>
      <c r="F63" s="38">
        <f>Source!BZ29</f>
        <v>118</v>
      </c>
      <c r="G63" s="61">
        <f>(Source!AF29+Source!AE29)*Source!FX29/100</f>
        <v>556.24374</v>
      </c>
      <c r="H63" s="61">
        <f>Source!X29</f>
        <v>79.17</v>
      </c>
    </row>
    <row r="64" spans="1:28" x14ac:dyDescent="0.2">
      <c r="C64" s="9" t="s">
        <v>1836</v>
      </c>
      <c r="D64" s="38"/>
      <c r="E64" s="38"/>
      <c r="F64" s="38"/>
      <c r="G64" s="38" t="str">
        <f>CONCATENATE(Source!DL29,Source!FT29, "=", Source!FX29, "%")</f>
        <v>*0,9=106,2%</v>
      </c>
      <c r="H64" s="38" t="str">
        <f>CONCATENATE(Source!AT29)</f>
        <v>106</v>
      </c>
    </row>
    <row r="65" spans="1:28" x14ac:dyDescent="0.2">
      <c r="C65" s="9" t="s">
        <v>1837</v>
      </c>
      <c r="D65" s="38"/>
      <c r="E65" s="38"/>
      <c r="F65" s="38">
        <f>Source!CA29</f>
        <v>63</v>
      </c>
      <c r="G65" s="61">
        <f>(Source!AF29+Source!AE29)*Source!FY29/100</f>
        <v>280.47883499999995</v>
      </c>
      <c r="H65" s="61">
        <f>Source!Y29</f>
        <v>40.33</v>
      </c>
    </row>
    <row r="66" spans="1:28" x14ac:dyDescent="0.2">
      <c r="C66" s="9" t="s">
        <v>1838</v>
      </c>
      <c r="D66" s="38"/>
      <c r="E66" s="38"/>
      <c r="F66" s="38"/>
      <c r="G66" s="38" t="str">
        <f>CONCATENATE(Source!DM29,Source!FU29, "=", Source!FY29, "%")</f>
        <v>*0,85=53,55%</v>
      </c>
      <c r="H66" s="38" t="str">
        <f>CONCATENATE(Source!AU29)</f>
        <v>54</v>
      </c>
    </row>
    <row r="67" spans="1:28" x14ac:dyDescent="0.2">
      <c r="C67" s="9" t="s">
        <v>1839</v>
      </c>
      <c r="D67" s="38"/>
      <c r="E67" s="38"/>
      <c r="F67" s="38"/>
      <c r="G67" s="61">
        <f>((Source!AF29+Source!AE29)*Source!FX29/100)+((Source!AF29+Source!AE29)*Source!FY29/100)+Source!AB29</f>
        <v>1491.992575</v>
      </c>
      <c r="H67" s="61">
        <f>Source!O29+Source!X29+Source!Y29</f>
        <v>212.95</v>
      </c>
    </row>
    <row r="68" spans="1:28" ht="28.5" x14ac:dyDescent="0.2">
      <c r="A68" s="50">
        <v>3</v>
      </c>
      <c r="B68" s="50" t="str">
        <f>Source!E30</f>
        <v>3</v>
      </c>
      <c r="C68" s="50" t="str">
        <f>Source!G30</f>
        <v>Разборка оснований покрытия полов лаг из досок и брусков</v>
      </c>
      <c r="D68" s="50" t="str">
        <f>Source!F30</f>
        <v>57-1-2</v>
      </c>
      <c r="E68" s="35" t="str">
        <f>Source!H30</f>
        <v>100 м2</v>
      </c>
      <c r="F68" s="12">
        <f>Source!I30</f>
        <v>5.8999999999999997E-2</v>
      </c>
      <c r="G68" s="25">
        <f>Source!AB30</f>
        <v>59.83</v>
      </c>
      <c r="H68" s="25">
        <f>Source!O30</f>
        <v>25.17</v>
      </c>
      <c r="T68">
        <f>Source!O30+Source!X30+Source!Y30</f>
        <v>62.430000000000007</v>
      </c>
      <c r="U68">
        <f>Source!P30</f>
        <v>0</v>
      </c>
      <c r="V68">
        <f>Source!S30</f>
        <v>25.17</v>
      </c>
      <c r="W68">
        <f>Source!Q30</f>
        <v>0</v>
      </c>
      <c r="X68">
        <f>Source!R30</f>
        <v>0</v>
      </c>
      <c r="Y68">
        <f>Source!U30</f>
        <v>0.45252999999999999</v>
      </c>
      <c r="Z68">
        <f>Source!V30</f>
        <v>0</v>
      </c>
      <c r="AA68">
        <f>Source!X30</f>
        <v>20.14</v>
      </c>
      <c r="AB68">
        <f>Source!Y30</f>
        <v>17.12</v>
      </c>
    </row>
    <row r="69" spans="1:28" ht="14.25" x14ac:dyDescent="0.2">
      <c r="C69" s="26" t="str">
        <f>"Объем: "&amp;Source!I30&amp;"=5,9/"&amp;"100"</f>
        <v>Объем: 0,059=5,9/100</v>
      </c>
      <c r="F69" s="12"/>
      <c r="G69" s="12"/>
      <c r="H69" s="12"/>
    </row>
    <row r="70" spans="1:28" x14ac:dyDescent="0.2">
      <c r="C70" s="26" t="s">
        <v>1831</v>
      </c>
      <c r="D70" s="26">
        <f>Source!BA30</f>
        <v>7.13</v>
      </c>
    </row>
    <row r="71" spans="1:28" x14ac:dyDescent="0.2">
      <c r="C71" s="26" t="s">
        <v>1832</v>
      </c>
      <c r="D71" s="26">
        <f>Source!BB30</f>
        <v>7.13</v>
      </c>
    </row>
    <row r="72" spans="1:28" x14ac:dyDescent="0.2">
      <c r="C72" s="26" t="s">
        <v>1833</v>
      </c>
      <c r="D72" s="26">
        <f>Source!BC30</f>
        <v>7.13</v>
      </c>
    </row>
    <row r="73" spans="1:28" x14ac:dyDescent="0.2">
      <c r="C73" s="26" t="s">
        <v>1834</v>
      </c>
      <c r="D73" s="26">
        <f>Source!BS30</f>
        <v>7.13</v>
      </c>
    </row>
    <row r="74" spans="1:28" x14ac:dyDescent="0.2">
      <c r="C74" s="9" t="s">
        <v>1835</v>
      </c>
      <c r="D74" s="38"/>
      <c r="E74" s="38"/>
      <c r="F74" s="38">
        <f>Source!BZ30</f>
        <v>80</v>
      </c>
      <c r="G74" s="61">
        <f>(Source!AF30+Source!AE30)*Source!FX30/100</f>
        <v>47.863999999999997</v>
      </c>
      <c r="H74" s="61">
        <f>Source!X30</f>
        <v>20.14</v>
      </c>
    </row>
    <row r="75" spans="1:28" x14ac:dyDescent="0.2">
      <c r="C75" s="9" t="s">
        <v>1837</v>
      </c>
      <c r="D75" s="38"/>
      <c r="E75" s="38"/>
      <c r="F75" s="38">
        <f>Source!CA30</f>
        <v>68</v>
      </c>
      <c r="G75" s="61">
        <f>(Source!AF30+Source!AE30)*Source!FY30/100</f>
        <v>40.684400000000004</v>
      </c>
      <c r="H75" s="61">
        <f>Source!Y30</f>
        <v>17.12</v>
      </c>
    </row>
    <row r="76" spans="1:28" x14ac:dyDescent="0.2">
      <c r="C76" s="9" t="s">
        <v>1839</v>
      </c>
      <c r="D76" s="38"/>
      <c r="E76" s="38"/>
      <c r="F76" s="38"/>
      <c r="G76" s="61">
        <f>((Source!AF30+Source!AE30)*Source!FX30/100)+((Source!AF30+Source!AE30)*Source!FY30/100)+Source!AB30</f>
        <v>148.3784</v>
      </c>
      <c r="H76" s="61">
        <f>Source!O30+Source!X30+Source!Y30</f>
        <v>62.430000000000007</v>
      </c>
    </row>
    <row r="77" spans="1:28" ht="28.5" x14ac:dyDescent="0.2">
      <c r="A77" s="50">
        <v>4</v>
      </c>
      <c r="B77" s="50" t="str">
        <f>Source!E31</f>
        <v>4</v>
      </c>
      <c r="C77" s="50" t="str">
        <f>Source!G31</f>
        <v>Разборка покрытий полов из линолеума и релина</v>
      </c>
      <c r="D77" s="50" t="str">
        <f>Source!F31</f>
        <v>57-2-1</v>
      </c>
      <c r="E77" s="35" t="str">
        <f>Source!H31</f>
        <v>100 м2</v>
      </c>
      <c r="F77" s="12">
        <f>Source!I31</f>
        <v>2.2389999999999999</v>
      </c>
      <c r="G77" s="25">
        <f>Source!AB31</f>
        <v>92.9</v>
      </c>
      <c r="H77" s="25">
        <f>Source!O31</f>
        <v>1483.06</v>
      </c>
      <c r="T77">
        <f>Source!O31+Source!X31+Source!Y31</f>
        <v>3623.66</v>
      </c>
      <c r="U77">
        <f>Source!P31</f>
        <v>0</v>
      </c>
      <c r="V77">
        <f>Source!S31</f>
        <v>1418.25</v>
      </c>
      <c r="W77">
        <f>Source!Q31</f>
        <v>64.81</v>
      </c>
      <c r="X77">
        <f>Source!R31</f>
        <v>28.1</v>
      </c>
      <c r="Y77">
        <f>Source!U31</f>
        <v>25.502210000000002</v>
      </c>
      <c r="Z77">
        <f>Source!V31</f>
        <v>0.29107</v>
      </c>
      <c r="AA77">
        <f>Source!X31</f>
        <v>1157.08</v>
      </c>
      <c r="AB77">
        <f>Source!Y31</f>
        <v>983.52</v>
      </c>
    </row>
    <row r="78" spans="1:28" ht="14.25" x14ac:dyDescent="0.2">
      <c r="C78" s="26" t="str">
        <f>"Объем: "&amp;Source!I31&amp;"=223,9/"&amp;"100"</f>
        <v>Объем: 2,239=223,9/100</v>
      </c>
      <c r="F78" s="12"/>
      <c r="G78" s="12"/>
      <c r="H78" s="12"/>
    </row>
    <row r="79" spans="1:28" x14ac:dyDescent="0.2">
      <c r="C79" s="26" t="s">
        <v>1831</v>
      </c>
      <c r="D79" s="26">
        <f>Source!BA31</f>
        <v>7.13</v>
      </c>
    </row>
    <row r="80" spans="1:28" x14ac:dyDescent="0.2">
      <c r="C80" s="26" t="s">
        <v>1832</v>
      </c>
      <c r="D80" s="26">
        <f>Source!BB31</f>
        <v>7.13</v>
      </c>
    </row>
    <row r="81" spans="1:28" x14ac:dyDescent="0.2">
      <c r="C81" s="26" t="s">
        <v>1833</v>
      </c>
      <c r="D81" s="26">
        <f>Source!BC31</f>
        <v>7.13</v>
      </c>
    </row>
    <row r="82" spans="1:28" x14ac:dyDescent="0.2">
      <c r="C82" s="26" t="s">
        <v>1834</v>
      </c>
      <c r="D82" s="26">
        <f>Source!BS31</f>
        <v>7.13</v>
      </c>
    </row>
    <row r="83" spans="1:28" x14ac:dyDescent="0.2">
      <c r="C83" s="9" t="s">
        <v>1835</v>
      </c>
      <c r="D83" s="38"/>
      <c r="E83" s="38"/>
      <c r="F83" s="38">
        <f>Source!BZ31</f>
        <v>80</v>
      </c>
      <c r="G83" s="61">
        <f>(Source!AF31+Source!AE31)*Source!FX31/100</f>
        <v>72.48</v>
      </c>
      <c r="H83" s="61">
        <f>Source!X31</f>
        <v>1157.08</v>
      </c>
    </row>
    <row r="84" spans="1:28" x14ac:dyDescent="0.2">
      <c r="C84" s="9" t="s">
        <v>1837</v>
      </c>
      <c r="D84" s="38"/>
      <c r="E84" s="38"/>
      <c r="F84" s="38">
        <f>Source!CA31</f>
        <v>68</v>
      </c>
      <c r="G84" s="61">
        <f>(Source!AF31+Source!AE31)*Source!FY31/100</f>
        <v>61.608000000000004</v>
      </c>
      <c r="H84" s="61">
        <f>Source!Y31</f>
        <v>983.52</v>
      </c>
    </row>
    <row r="85" spans="1:28" x14ac:dyDescent="0.2">
      <c r="C85" s="9" t="s">
        <v>1839</v>
      </c>
      <c r="D85" s="38"/>
      <c r="E85" s="38"/>
      <c r="F85" s="38"/>
      <c r="G85" s="61">
        <f>((Source!AF31+Source!AE31)*Source!FX31/100)+((Source!AF31+Source!AE31)*Source!FY31/100)+Source!AB31</f>
        <v>226.98800000000003</v>
      </c>
      <c r="H85" s="61">
        <f>Source!O31+Source!X31+Source!Y31</f>
        <v>3623.66</v>
      </c>
    </row>
    <row r="86" spans="1:28" ht="28.5" x14ac:dyDescent="0.2">
      <c r="A86" s="50">
        <v>5</v>
      </c>
      <c r="B86" s="50" t="str">
        <f>Source!E32</f>
        <v>5</v>
      </c>
      <c r="C86" s="50" t="str">
        <f>Source!G32</f>
        <v>Разборка покрытий полов из керамических плиток</v>
      </c>
      <c r="D86" s="50" t="str">
        <f>Source!F32</f>
        <v>57-2-3</v>
      </c>
      <c r="E86" s="35" t="str">
        <f>Source!H32</f>
        <v>100 м2</v>
      </c>
      <c r="F86" s="12">
        <f>Source!I32</f>
        <v>0.33800000000000002</v>
      </c>
      <c r="G86" s="25">
        <f>Source!AB32</f>
        <v>641</v>
      </c>
      <c r="H86" s="25">
        <f>Source!O32</f>
        <v>1544.77</v>
      </c>
      <c r="T86">
        <f>Source!O32+Source!X32+Source!Y32</f>
        <v>3739.83</v>
      </c>
      <c r="U86">
        <f>Source!P32</f>
        <v>0</v>
      </c>
      <c r="V86">
        <f>Source!S32</f>
        <v>1436.3</v>
      </c>
      <c r="W86">
        <f>Source!Q32</f>
        <v>108.47</v>
      </c>
      <c r="X86">
        <f>Source!R32</f>
        <v>46.85</v>
      </c>
      <c r="Y86">
        <f>Source!U32</f>
        <v>23.616060000000004</v>
      </c>
      <c r="Z86">
        <f>Source!V32</f>
        <v>0.48672000000000004</v>
      </c>
      <c r="AA86">
        <f>Source!X32</f>
        <v>1186.52</v>
      </c>
      <c r="AB86">
        <f>Source!Y32</f>
        <v>1008.54</v>
      </c>
    </row>
    <row r="87" spans="1:28" ht="14.25" x14ac:dyDescent="0.2">
      <c r="C87" s="26" t="str">
        <f>"Объем: "&amp;Source!I32&amp;"=33,8/"&amp;"100"</f>
        <v>Объем: 0,338=33,8/100</v>
      </c>
      <c r="F87" s="12"/>
      <c r="G87" s="12"/>
      <c r="H87" s="12"/>
    </row>
    <row r="88" spans="1:28" x14ac:dyDescent="0.2">
      <c r="C88" s="26" t="s">
        <v>1831</v>
      </c>
      <c r="D88" s="26">
        <f>Source!BA32</f>
        <v>7.13</v>
      </c>
    </row>
    <row r="89" spans="1:28" x14ac:dyDescent="0.2">
      <c r="C89" s="26" t="s">
        <v>1832</v>
      </c>
      <c r="D89" s="26">
        <f>Source!BB32</f>
        <v>7.13</v>
      </c>
    </row>
    <row r="90" spans="1:28" x14ac:dyDescent="0.2">
      <c r="C90" s="26" t="s">
        <v>1833</v>
      </c>
      <c r="D90" s="26">
        <f>Source!BC32</f>
        <v>7.13</v>
      </c>
    </row>
    <row r="91" spans="1:28" x14ac:dyDescent="0.2">
      <c r="C91" s="26" t="s">
        <v>1834</v>
      </c>
      <c r="D91" s="26">
        <f>Source!BS32</f>
        <v>7.13</v>
      </c>
    </row>
    <row r="92" spans="1:28" x14ac:dyDescent="0.2">
      <c r="C92" s="9" t="s">
        <v>1835</v>
      </c>
      <c r="D92" s="38"/>
      <c r="E92" s="38"/>
      <c r="F92" s="38">
        <f>Source!BZ32</f>
        <v>80</v>
      </c>
      <c r="G92" s="61">
        <f>(Source!AF32+Source!AE32)*Source!FX32/100</f>
        <v>492.34400000000011</v>
      </c>
      <c r="H92" s="61">
        <f>Source!X32</f>
        <v>1186.52</v>
      </c>
    </row>
    <row r="93" spans="1:28" x14ac:dyDescent="0.2">
      <c r="C93" s="9" t="s">
        <v>1837</v>
      </c>
      <c r="D93" s="38"/>
      <c r="E93" s="38"/>
      <c r="F93" s="38">
        <f>Source!CA32</f>
        <v>68</v>
      </c>
      <c r="G93" s="61">
        <f>(Source!AF32+Source!AE32)*Source!FY32/100</f>
        <v>418.49240000000003</v>
      </c>
      <c r="H93" s="61">
        <f>Source!Y32</f>
        <v>1008.54</v>
      </c>
    </row>
    <row r="94" spans="1:28" x14ac:dyDescent="0.2">
      <c r="C94" s="9" t="s">
        <v>1839</v>
      </c>
      <c r="D94" s="38"/>
      <c r="E94" s="38"/>
      <c r="F94" s="38"/>
      <c r="G94" s="61">
        <f>((Source!AF32+Source!AE32)*Source!FX32/100)+((Source!AF32+Source!AE32)*Source!FY32/100)+Source!AB32</f>
        <v>1551.8364000000001</v>
      </c>
      <c r="H94" s="61">
        <f>Source!O32+Source!X32+Source!Y32</f>
        <v>3739.83</v>
      </c>
    </row>
    <row r="95" spans="1:28" ht="28.5" x14ac:dyDescent="0.2">
      <c r="A95" s="50">
        <v>6</v>
      </c>
      <c r="B95" s="50" t="str">
        <f>Source!E33</f>
        <v>6</v>
      </c>
      <c r="C95" s="50" t="str">
        <f>Source!G33</f>
        <v>Разборка покрытий полов цементных толщиной 45 мм</v>
      </c>
      <c r="D95" s="50" t="str">
        <f>Source!F33</f>
        <v>57-2-4</v>
      </c>
      <c r="E95" s="35" t="str">
        <f>Source!H33</f>
        <v>100 м2</v>
      </c>
      <c r="F95" s="12">
        <f>Source!I33</f>
        <v>0.33800000000000002</v>
      </c>
      <c r="G95" s="25">
        <f>Source!AB33</f>
        <v>1687.56</v>
      </c>
      <c r="H95" s="25">
        <f>Source!O33</f>
        <v>4066.91</v>
      </c>
      <c r="T95">
        <f>Source!O33+Source!X33+Source!Y33</f>
        <v>7536.74</v>
      </c>
      <c r="U95">
        <f>Source!P33</f>
        <v>0</v>
      </c>
      <c r="V95">
        <f>Source!S33</f>
        <v>2285.92</v>
      </c>
      <c r="W95">
        <f>Source!Q33</f>
        <v>1780.99</v>
      </c>
      <c r="X95">
        <f>Source!R33</f>
        <v>58.56</v>
      </c>
      <c r="Y95">
        <f>Source!U33</f>
        <v>37.585600000000007</v>
      </c>
      <c r="Z95">
        <f>Source!V33</f>
        <v>0.60840000000000005</v>
      </c>
      <c r="AA95">
        <f>Source!X33</f>
        <v>1875.58</v>
      </c>
      <c r="AB95">
        <f>Source!Y33</f>
        <v>1594.25</v>
      </c>
    </row>
    <row r="96" spans="1:28" ht="14.25" x14ac:dyDescent="0.2">
      <c r="C96" s="26" t="str">
        <f>"Объем: "&amp;Source!I33&amp;"=33,8/"&amp;"100"</f>
        <v>Объем: 0,338=33,8/100</v>
      </c>
      <c r="F96" s="12"/>
      <c r="G96" s="12"/>
      <c r="H96" s="12"/>
    </row>
    <row r="97" spans="1:28" x14ac:dyDescent="0.2">
      <c r="C97" s="26" t="s">
        <v>1831</v>
      </c>
      <c r="D97" s="26">
        <f>Source!BA33</f>
        <v>7.13</v>
      </c>
    </row>
    <row r="98" spans="1:28" x14ac:dyDescent="0.2">
      <c r="C98" s="26" t="s">
        <v>1832</v>
      </c>
      <c r="D98" s="26">
        <f>Source!BB33</f>
        <v>7.13</v>
      </c>
    </row>
    <row r="99" spans="1:28" x14ac:dyDescent="0.2">
      <c r="C99" s="26" t="s">
        <v>1833</v>
      </c>
      <c r="D99" s="26">
        <f>Source!BC33</f>
        <v>7.13</v>
      </c>
    </row>
    <row r="100" spans="1:28" x14ac:dyDescent="0.2">
      <c r="C100" s="26" t="s">
        <v>1834</v>
      </c>
      <c r="D100" s="26">
        <f>Source!BS33</f>
        <v>7.13</v>
      </c>
    </row>
    <row r="101" spans="1:28" x14ac:dyDescent="0.2">
      <c r="C101" s="9" t="s">
        <v>1835</v>
      </c>
      <c r="D101" s="38"/>
      <c r="E101" s="38"/>
      <c r="F101" s="38">
        <f>Source!BZ33</f>
        <v>80</v>
      </c>
      <c r="G101" s="61">
        <f>(Source!AF33+Source!AE33)*Source!FX33/100</f>
        <v>778.27199999999993</v>
      </c>
      <c r="H101" s="61">
        <f>Source!X33</f>
        <v>1875.58</v>
      </c>
    </row>
    <row r="102" spans="1:28" x14ac:dyDescent="0.2">
      <c r="C102" s="9" t="s">
        <v>1837</v>
      </c>
      <c r="D102" s="38"/>
      <c r="E102" s="38"/>
      <c r="F102" s="38">
        <f>Source!CA33</f>
        <v>68</v>
      </c>
      <c r="G102" s="61">
        <f>(Source!AF33+Source!AE33)*Source!FY33/100</f>
        <v>661.5311999999999</v>
      </c>
      <c r="H102" s="61">
        <f>Source!Y33</f>
        <v>1594.25</v>
      </c>
    </row>
    <row r="103" spans="1:28" x14ac:dyDescent="0.2">
      <c r="C103" s="9" t="s">
        <v>1839</v>
      </c>
      <c r="D103" s="38"/>
      <c r="E103" s="38"/>
      <c r="F103" s="38"/>
      <c r="G103" s="61">
        <f>((Source!AF33+Source!AE33)*Source!FX33/100)+((Source!AF33+Source!AE33)*Source!FY33/100)+Source!AB33</f>
        <v>3127.3631999999998</v>
      </c>
      <c r="H103" s="61">
        <f>Source!O33+Source!X33+Source!Y33</f>
        <v>7536.74</v>
      </c>
    </row>
    <row r="104" spans="1:28" ht="28.5" x14ac:dyDescent="0.2">
      <c r="A104" s="50">
        <v>7</v>
      </c>
      <c r="B104" s="50" t="str">
        <f>Source!E34</f>
        <v>7</v>
      </c>
      <c r="C104" s="50" t="str">
        <f>Source!G34</f>
        <v>Разборка плинтусов цементных и из керамической плитки</v>
      </c>
      <c r="D104" s="50" t="str">
        <f>Source!F34</f>
        <v>57-3-2</v>
      </c>
      <c r="E104" s="35" t="str">
        <f>Source!H34</f>
        <v>100 м</v>
      </c>
      <c r="F104" s="12">
        <f>Source!I34</f>
        <v>0.51880000000000004</v>
      </c>
      <c r="G104" s="25">
        <f>Source!AB34</f>
        <v>111.38</v>
      </c>
      <c r="H104" s="25">
        <f>Source!O34</f>
        <v>412</v>
      </c>
      <c r="T104">
        <f>Source!O34+Source!X34+Source!Y34</f>
        <v>1021.76</v>
      </c>
      <c r="U104">
        <f>Source!P34</f>
        <v>0</v>
      </c>
      <c r="V104">
        <f>Source!S34</f>
        <v>412</v>
      </c>
      <c r="W104">
        <f>Source!Q34</f>
        <v>0</v>
      </c>
      <c r="X104">
        <f>Source!R34</f>
        <v>0</v>
      </c>
      <c r="Y104">
        <f>Source!U34</f>
        <v>7.4084640000000004</v>
      </c>
      <c r="Z104">
        <f>Source!V34</f>
        <v>0</v>
      </c>
      <c r="AA104">
        <f>Source!X34</f>
        <v>329.6</v>
      </c>
      <c r="AB104">
        <f>Source!Y34</f>
        <v>280.16000000000003</v>
      </c>
    </row>
    <row r="105" spans="1:28" ht="14.25" x14ac:dyDescent="0.2">
      <c r="C105" s="26" t="str">
        <f>"Объем: "&amp;Source!I34&amp;"=51,88/"&amp;"100"</f>
        <v>Объем: 0,5188=51,88/100</v>
      </c>
      <c r="F105" s="12"/>
      <c r="G105" s="12"/>
      <c r="H105" s="12"/>
    </row>
    <row r="106" spans="1:28" x14ac:dyDescent="0.2">
      <c r="C106" s="26" t="s">
        <v>1831</v>
      </c>
      <c r="D106" s="26">
        <f>Source!BA34</f>
        <v>7.13</v>
      </c>
    </row>
    <row r="107" spans="1:28" x14ac:dyDescent="0.2">
      <c r="C107" s="26" t="s">
        <v>1832</v>
      </c>
      <c r="D107" s="26">
        <f>Source!BB34</f>
        <v>7.13</v>
      </c>
    </row>
    <row r="108" spans="1:28" x14ac:dyDescent="0.2">
      <c r="C108" s="26" t="s">
        <v>1833</v>
      </c>
      <c r="D108" s="26">
        <f>Source!BC34</f>
        <v>7.13</v>
      </c>
    </row>
    <row r="109" spans="1:28" x14ac:dyDescent="0.2">
      <c r="C109" s="26" t="s">
        <v>1834</v>
      </c>
      <c r="D109" s="26">
        <f>Source!BS34</f>
        <v>7.13</v>
      </c>
    </row>
    <row r="110" spans="1:28" x14ac:dyDescent="0.2">
      <c r="C110" s="9" t="s">
        <v>1835</v>
      </c>
      <c r="D110" s="38"/>
      <c r="E110" s="38"/>
      <c r="F110" s="38">
        <f>Source!BZ34</f>
        <v>80</v>
      </c>
      <c r="G110" s="61">
        <f>(Source!AF34+Source!AE34)*Source!FX34/100</f>
        <v>89.103999999999999</v>
      </c>
      <c r="H110" s="61">
        <f>Source!X34</f>
        <v>329.6</v>
      </c>
    </row>
    <row r="111" spans="1:28" x14ac:dyDescent="0.2">
      <c r="C111" s="9" t="s">
        <v>1837</v>
      </c>
      <c r="D111" s="38"/>
      <c r="E111" s="38"/>
      <c r="F111" s="38">
        <f>Source!CA34</f>
        <v>68</v>
      </c>
      <c r="G111" s="61">
        <f>(Source!AF34+Source!AE34)*Source!FY34/100</f>
        <v>75.738399999999999</v>
      </c>
      <c r="H111" s="61">
        <f>Source!Y34</f>
        <v>280.16000000000003</v>
      </c>
    </row>
    <row r="112" spans="1:28" x14ac:dyDescent="0.2">
      <c r="C112" s="9" t="s">
        <v>1839</v>
      </c>
      <c r="D112" s="38"/>
      <c r="E112" s="38"/>
      <c r="F112" s="38"/>
      <c r="G112" s="61">
        <f>((Source!AF34+Source!AE34)*Source!FX34/100)+((Source!AF34+Source!AE34)*Source!FY34/100)+Source!AB34</f>
        <v>276.22239999999999</v>
      </c>
      <c r="H112" s="61">
        <f>Source!O34+Source!X34+Source!Y34</f>
        <v>1021.76</v>
      </c>
    </row>
    <row r="113" spans="1:28" ht="28.5" x14ac:dyDescent="0.2">
      <c r="A113" s="50">
        <v>8</v>
      </c>
      <c r="B113" s="50" t="str">
        <f>Source!E35</f>
        <v>8</v>
      </c>
      <c r="C113" s="50" t="str">
        <f>Source!G35</f>
        <v>Разборка плинтусов деревянных и из пластмассовых материалов</v>
      </c>
      <c r="D113" s="50" t="str">
        <f>Source!F35</f>
        <v>57-3-1</v>
      </c>
      <c r="E113" s="35" t="str">
        <f>Source!H35</f>
        <v>100 м</v>
      </c>
      <c r="F113" s="12">
        <f>Source!I35</f>
        <v>1.9157999999999999</v>
      </c>
      <c r="G113" s="25">
        <f>Source!AB35</f>
        <v>29.41</v>
      </c>
      <c r="H113" s="25">
        <f>Source!O35</f>
        <v>401.73</v>
      </c>
      <c r="T113">
        <f>Source!O35+Source!X35+Source!Y35</f>
        <v>996.29</v>
      </c>
      <c r="U113">
        <f>Source!P35</f>
        <v>0</v>
      </c>
      <c r="V113">
        <f>Source!S35</f>
        <v>401.73</v>
      </c>
      <c r="W113">
        <f>Source!Q35</f>
        <v>0</v>
      </c>
      <c r="X113">
        <f>Source!R35</f>
        <v>0</v>
      </c>
      <c r="Y113">
        <f>Source!U35</f>
        <v>7.2225659999999996</v>
      </c>
      <c r="Z113">
        <f>Source!V35</f>
        <v>0</v>
      </c>
      <c r="AA113">
        <f>Source!X35</f>
        <v>321.38</v>
      </c>
      <c r="AB113">
        <f>Source!Y35</f>
        <v>273.18</v>
      </c>
    </row>
    <row r="114" spans="1:28" ht="14.25" x14ac:dyDescent="0.2">
      <c r="C114" s="26" t="str">
        <f>"Объем: "&amp;Source!I35&amp;"=191,58/"&amp;"100"</f>
        <v>Объем: 1,9158=191,58/100</v>
      </c>
      <c r="F114" s="12"/>
      <c r="G114" s="12"/>
      <c r="H114" s="12"/>
    </row>
    <row r="115" spans="1:28" x14ac:dyDescent="0.2">
      <c r="C115" s="26" t="s">
        <v>1831</v>
      </c>
      <c r="D115" s="26">
        <f>Source!BA35</f>
        <v>7.13</v>
      </c>
    </row>
    <row r="116" spans="1:28" x14ac:dyDescent="0.2">
      <c r="C116" s="26" t="s">
        <v>1832</v>
      </c>
      <c r="D116" s="26">
        <f>Source!BB35</f>
        <v>7.13</v>
      </c>
    </row>
    <row r="117" spans="1:28" x14ac:dyDescent="0.2">
      <c r="C117" s="26" t="s">
        <v>1833</v>
      </c>
      <c r="D117" s="26">
        <f>Source!BC35</f>
        <v>7.13</v>
      </c>
    </row>
    <row r="118" spans="1:28" x14ac:dyDescent="0.2">
      <c r="C118" s="26" t="s">
        <v>1834</v>
      </c>
      <c r="D118" s="26">
        <f>Source!BS35</f>
        <v>7.13</v>
      </c>
    </row>
    <row r="119" spans="1:28" x14ac:dyDescent="0.2">
      <c r="C119" s="9" t="s">
        <v>1835</v>
      </c>
      <c r="D119" s="38"/>
      <c r="E119" s="38"/>
      <c r="F119" s="38">
        <f>Source!BZ35</f>
        <v>80</v>
      </c>
      <c r="G119" s="61">
        <f>(Source!AF35+Source!AE35)*Source!FX35/100</f>
        <v>23.528000000000002</v>
      </c>
      <c r="H119" s="61">
        <f>Source!X35</f>
        <v>321.38</v>
      </c>
    </row>
    <row r="120" spans="1:28" x14ac:dyDescent="0.2">
      <c r="C120" s="9" t="s">
        <v>1837</v>
      </c>
      <c r="D120" s="38"/>
      <c r="E120" s="38"/>
      <c r="F120" s="38">
        <f>Source!CA35</f>
        <v>68</v>
      </c>
      <c r="G120" s="61">
        <f>(Source!AF35+Source!AE35)*Source!FY35/100</f>
        <v>19.998800000000003</v>
      </c>
      <c r="H120" s="61">
        <f>Source!Y35</f>
        <v>273.18</v>
      </c>
    </row>
    <row r="121" spans="1:28" x14ac:dyDescent="0.2">
      <c r="C121" s="9" t="s">
        <v>1839</v>
      </c>
      <c r="D121" s="38"/>
      <c r="E121" s="38"/>
      <c r="F121" s="38"/>
      <c r="G121" s="61">
        <f>((Source!AF35+Source!AE35)*Source!FX35/100)+((Source!AF35+Source!AE35)*Source!FY35/100)+Source!AB35</f>
        <v>72.936800000000005</v>
      </c>
      <c r="H121" s="61">
        <f>Source!O35+Source!X35+Source!Y35</f>
        <v>996.29</v>
      </c>
    </row>
    <row r="122" spans="1:28" ht="28.5" x14ac:dyDescent="0.2">
      <c r="A122" s="50">
        <v>9</v>
      </c>
      <c r="B122" s="50" t="str">
        <f>Source!E36</f>
        <v>9</v>
      </c>
      <c r="C122" s="50" t="str">
        <f>Source!G36</f>
        <v>Разборка облицовки стен из керамических глазурованных плиток</v>
      </c>
      <c r="D122" s="50" t="str">
        <f>Source!F36</f>
        <v>63-7-5</v>
      </c>
      <c r="E122" s="35" t="str">
        <f>Source!H36</f>
        <v>100 м2</v>
      </c>
      <c r="F122" s="12">
        <f>Source!I36</f>
        <v>0.7873</v>
      </c>
      <c r="G122" s="25">
        <f>Source!AB36</f>
        <v>654</v>
      </c>
      <c r="H122" s="25">
        <f>Source!O36</f>
        <v>3671.2</v>
      </c>
      <c r="T122">
        <f>Source!O36+Source!X36+Source!Y36</f>
        <v>7873.58</v>
      </c>
      <c r="U122">
        <f>Source!P36</f>
        <v>0</v>
      </c>
      <c r="V122">
        <f>Source!S36</f>
        <v>3282.41</v>
      </c>
      <c r="W122">
        <f>Source!Q36</f>
        <v>388.79</v>
      </c>
      <c r="X122">
        <f>Source!R36</f>
        <v>26.55</v>
      </c>
      <c r="Y122">
        <f>Source!U36</f>
        <v>58.496389999999998</v>
      </c>
      <c r="Z122">
        <f>Source!V36</f>
        <v>0.27555499999999999</v>
      </c>
      <c r="AA122">
        <f>Source!X36</f>
        <v>2547.9</v>
      </c>
      <c r="AB122">
        <f>Source!Y36</f>
        <v>1654.48</v>
      </c>
    </row>
    <row r="123" spans="1:28" ht="14.25" x14ac:dyDescent="0.2">
      <c r="C123" s="26" t="str">
        <f>"Объем: "&amp;Source!I36&amp;"=78,73/"&amp;"100"</f>
        <v>Объем: 0,7873=78,73/100</v>
      </c>
      <c r="F123" s="12"/>
      <c r="G123" s="12"/>
      <c r="H123" s="12"/>
    </row>
    <row r="124" spans="1:28" x14ac:dyDescent="0.2">
      <c r="C124" s="26" t="s">
        <v>1831</v>
      </c>
      <c r="D124" s="26">
        <f>Source!BA36</f>
        <v>7.13</v>
      </c>
    </row>
    <row r="125" spans="1:28" x14ac:dyDescent="0.2">
      <c r="C125" s="26" t="s">
        <v>1832</v>
      </c>
      <c r="D125" s="26">
        <f>Source!BB36</f>
        <v>7.13</v>
      </c>
    </row>
    <row r="126" spans="1:28" x14ac:dyDescent="0.2">
      <c r="C126" s="26" t="s">
        <v>1833</v>
      </c>
      <c r="D126" s="26">
        <f>Source!BC36</f>
        <v>7.13</v>
      </c>
    </row>
    <row r="127" spans="1:28" x14ac:dyDescent="0.2">
      <c r="C127" s="26" t="s">
        <v>1834</v>
      </c>
      <c r="D127" s="26">
        <f>Source!BS36</f>
        <v>7.13</v>
      </c>
    </row>
    <row r="128" spans="1:28" x14ac:dyDescent="0.2">
      <c r="C128" s="9" t="s">
        <v>1835</v>
      </c>
      <c r="D128" s="38"/>
      <c r="E128" s="38"/>
      <c r="F128" s="38">
        <f>Source!BZ36</f>
        <v>77</v>
      </c>
      <c r="G128" s="61">
        <f>(Source!AF36+Source!AE36)*Source!FX36/100</f>
        <v>453.89190000000002</v>
      </c>
      <c r="H128" s="61">
        <f>Source!X36</f>
        <v>2547.9</v>
      </c>
    </row>
    <row r="129" spans="1:28" x14ac:dyDescent="0.2">
      <c r="C129" s="9" t="s">
        <v>1837</v>
      </c>
      <c r="D129" s="38"/>
      <c r="E129" s="38"/>
      <c r="F129" s="38">
        <f>Source!CA36</f>
        <v>50</v>
      </c>
      <c r="G129" s="61">
        <f>(Source!AF36+Source!AE36)*Source!FY36/100</f>
        <v>294.73500000000001</v>
      </c>
      <c r="H129" s="61">
        <f>Source!Y36</f>
        <v>1654.48</v>
      </c>
    </row>
    <row r="130" spans="1:28" x14ac:dyDescent="0.2">
      <c r="C130" s="9" t="s">
        <v>1839</v>
      </c>
      <c r="D130" s="38"/>
      <c r="E130" s="38"/>
      <c r="F130" s="38"/>
      <c r="G130" s="61">
        <f>((Source!AF36+Source!AE36)*Source!FX36/100)+((Source!AF36+Source!AE36)*Source!FY36/100)+Source!AB36</f>
        <v>1402.6269</v>
      </c>
      <c r="H130" s="61">
        <f>Source!O36+Source!X36+Source!Y36</f>
        <v>7873.58</v>
      </c>
    </row>
    <row r="131" spans="1:28" ht="14.25" x14ac:dyDescent="0.2">
      <c r="A131" s="50">
        <v>10</v>
      </c>
      <c r="B131" s="50" t="str">
        <f>Source!E37</f>
        <v>10</v>
      </c>
      <c r="C131" s="50" t="str">
        <f>Source!G37</f>
        <v>Снятие обоев простых и улучшенных</v>
      </c>
      <c r="D131" s="50" t="str">
        <f>Source!F37</f>
        <v>63-5-1</v>
      </c>
      <c r="E131" s="35" t="str">
        <f>Source!H37</f>
        <v>100 м2</v>
      </c>
      <c r="F131" s="12">
        <f>Source!I37</f>
        <v>3.7440000000000002</v>
      </c>
      <c r="G131" s="25">
        <f>Source!AB37</f>
        <v>81.12</v>
      </c>
      <c r="H131" s="25">
        <f>Source!O37</f>
        <v>2165.48</v>
      </c>
      <c r="T131">
        <f>Source!O37+Source!X37+Source!Y37</f>
        <v>4915.6400000000003</v>
      </c>
      <c r="U131">
        <f>Source!P37</f>
        <v>0</v>
      </c>
      <c r="V131">
        <f>Source!S37</f>
        <v>2165.48</v>
      </c>
      <c r="W131">
        <f>Source!Q37</f>
        <v>0</v>
      </c>
      <c r="X131">
        <f>Source!R37</f>
        <v>0</v>
      </c>
      <c r="Y131">
        <f>Source!U37</f>
        <v>38.937600000000003</v>
      </c>
      <c r="Z131">
        <f>Source!V37</f>
        <v>0</v>
      </c>
      <c r="AA131">
        <f>Source!X37</f>
        <v>1667.42</v>
      </c>
      <c r="AB131">
        <f>Source!Y37</f>
        <v>1082.74</v>
      </c>
    </row>
    <row r="132" spans="1:28" ht="14.25" x14ac:dyDescent="0.2">
      <c r="C132" s="26" t="str">
        <f>"Объем: "&amp;Source!I37&amp;"=374,4/"&amp;"100"</f>
        <v>Объем: 3,744=374,4/100</v>
      </c>
      <c r="F132" s="12"/>
      <c r="G132" s="12"/>
      <c r="H132" s="12"/>
    </row>
    <row r="133" spans="1:28" x14ac:dyDescent="0.2">
      <c r="C133" s="26" t="s">
        <v>1831</v>
      </c>
      <c r="D133" s="26">
        <f>Source!BA37</f>
        <v>7.13</v>
      </c>
    </row>
    <row r="134" spans="1:28" x14ac:dyDescent="0.2">
      <c r="C134" s="26" t="s">
        <v>1832</v>
      </c>
      <c r="D134" s="26">
        <f>Source!BB37</f>
        <v>7.13</v>
      </c>
    </row>
    <row r="135" spans="1:28" x14ac:dyDescent="0.2">
      <c r="C135" s="26" t="s">
        <v>1833</v>
      </c>
      <c r="D135" s="26">
        <f>Source!BC37</f>
        <v>7.13</v>
      </c>
    </row>
    <row r="136" spans="1:28" x14ac:dyDescent="0.2">
      <c r="C136" s="26" t="s">
        <v>1834</v>
      </c>
      <c r="D136" s="26">
        <f>Source!BS37</f>
        <v>7.13</v>
      </c>
    </row>
    <row r="137" spans="1:28" x14ac:dyDescent="0.2">
      <c r="C137" s="9" t="s">
        <v>1835</v>
      </c>
      <c r="D137" s="38"/>
      <c r="E137" s="38"/>
      <c r="F137" s="38">
        <f>Source!BZ37</f>
        <v>77</v>
      </c>
      <c r="G137" s="61">
        <f>(Source!AF37+Source!AE37)*Source!FX37/100</f>
        <v>62.462400000000009</v>
      </c>
      <c r="H137" s="61">
        <f>Source!X37</f>
        <v>1667.42</v>
      </c>
    </row>
    <row r="138" spans="1:28" x14ac:dyDescent="0.2">
      <c r="C138" s="9" t="s">
        <v>1837</v>
      </c>
      <c r="D138" s="38"/>
      <c r="E138" s="38"/>
      <c r="F138" s="38">
        <f>Source!CA37</f>
        <v>50</v>
      </c>
      <c r="G138" s="61">
        <f>(Source!AF37+Source!AE37)*Source!FY37/100</f>
        <v>40.56</v>
      </c>
      <c r="H138" s="61">
        <f>Source!Y37</f>
        <v>1082.74</v>
      </c>
    </row>
    <row r="139" spans="1:28" x14ac:dyDescent="0.2">
      <c r="C139" s="9" t="s">
        <v>1839</v>
      </c>
      <c r="D139" s="38"/>
      <c r="E139" s="38"/>
      <c r="F139" s="38"/>
      <c r="G139" s="61">
        <f>((Source!AF37+Source!AE37)*Source!FX37/100)+((Source!AF37+Source!AE37)*Source!FY37/100)+Source!AB37</f>
        <v>184.14240000000001</v>
      </c>
      <c r="H139" s="61">
        <f>Source!O37+Source!X37+Source!Y37</f>
        <v>4915.6400000000003</v>
      </c>
    </row>
    <row r="140" spans="1:28" ht="28.5" x14ac:dyDescent="0.2">
      <c r="A140" s="50">
        <v>11</v>
      </c>
      <c r="B140" s="50" t="str">
        <f>Source!E38</f>
        <v>11</v>
      </c>
      <c r="C140" s="50" t="str">
        <f>Source!G38</f>
        <v>Отбивка штукатурки с поверхностей стен</v>
      </c>
      <c r="D140" s="50" t="str">
        <f>Source!F38</f>
        <v>46-02-009-02</v>
      </c>
      <c r="E140" s="35" t="str">
        <f>Source!H38</f>
        <v>100 м2</v>
      </c>
      <c r="F140" s="12">
        <f>Source!I38</f>
        <v>1.3838999999999999</v>
      </c>
      <c r="G140" s="25">
        <f>Source!AB38</f>
        <v>178</v>
      </c>
      <c r="H140" s="25">
        <f>Source!O38</f>
        <v>1756.36</v>
      </c>
      <c r="T140">
        <f>Source!O38+Source!X38+Source!Y38</f>
        <v>4548.9799999999996</v>
      </c>
      <c r="U140">
        <f>Source!P38</f>
        <v>0</v>
      </c>
      <c r="V140">
        <f>Source!S38</f>
        <v>1756.36</v>
      </c>
      <c r="W140">
        <f>Source!Q38</f>
        <v>0</v>
      </c>
      <c r="X140">
        <f>Source!R38</f>
        <v>0</v>
      </c>
      <c r="Y140">
        <f>Source!U38</f>
        <v>31.580597999999998</v>
      </c>
      <c r="Z140">
        <f>Source!V38</f>
        <v>0</v>
      </c>
      <c r="AA140">
        <f>Source!X38</f>
        <v>1738.8</v>
      </c>
      <c r="AB140">
        <f>Source!Y38</f>
        <v>1053.82</v>
      </c>
    </row>
    <row r="141" spans="1:28" ht="14.25" x14ac:dyDescent="0.2">
      <c r="C141" s="26" t="str">
        <f>"Объем: "&amp;Source!I38&amp;"=138,39/"&amp;"100"</f>
        <v>Объем: 1,3839=138,39/100</v>
      </c>
      <c r="F141" s="12"/>
      <c r="G141" s="12"/>
      <c r="H141" s="12"/>
    </row>
    <row r="142" spans="1:28" x14ac:dyDescent="0.2">
      <c r="C142" s="26" t="s">
        <v>1831</v>
      </c>
      <c r="D142" s="26">
        <f>Source!BA38</f>
        <v>7.13</v>
      </c>
    </row>
    <row r="143" spans="1:28" x14ac:dyDescent="0.2">
      <c r="C143" s="26" t="s">
        <v>1832</v>
      </c>
      <c r="D143" s="26">
        <f>Source!BB38</f>
        <v>7.13</v>
      </c>
    </row>
    <row r="144" spans="1:28" x14ac:dyDescent="0.2">
      <c r="C144" s="26" t="s">
        <v>1833</v>
      </c>
      <c r="D144" s="26">
        <f>Source!BC38</f>
        <v>7.13</v>
      </c>
    </row>
    <row r="145" spans="1:28" x14ac:dyDescent="0.2">
      <c r="C145" s="26" t="s">
        <v>1834</v>
      </c>
      <c r="D145" s="26">
        <f>Source!BS38</f>
        <v>7.13</v>
      </c>
    </row>
    <row r="146" spans="1:28" x14ac:dyDescent="0.2">
      <c r="C146" s="9" t="s">
        <v>1835</v>
      </c>
      <c r="D146" s="38"/>
      <c r="E146" s="38"/>
      <c r="F146" s="38">
        <f>Source!BZ38</f>
        <v>110</v>
      </c>
      <c r="G146" s="61">
        <f>(Source!AF38+Source!AE38)*Source!FX38/100</f>
        <v>176.22</v>
      </c>
      <c r="H146" s="61">
        <f>Source!X38</f>
        <v>1738.8</v>
      </c>
    </row>
    <row r="147" spans="1:28" x14ac:dyDescent="0.2">
      <c r="C147" s="9" t="s">
        <v>1836</v>
      </c>
      <c r="D147" s="38"/>
      <c r="E147" s="38"/>
      <c r="F147" s="38"/>
      <c r="G147" s="38" t="str">
        <f>CONCATENATE(Source!DL38,Source!FT38, "=", Source!FX38, "%")</f>
        <v>*0,9=99%</v>
      </c>
      <c r="H147" s="38" t="str">
        <f>CONCATENATE(Source!AT38)</f>
        <v>99</v>
      </c>
    </row>
    <row r="148" spans="1:28" x14ac:dyDescent="0.2">
      <c r="C148" s="9" t="s">
        <v>1837</v>
      </c>
      <c r="D148" s="38"/>
      <c r="E148" s="38"/>
      <c r="F148" s="38">
        <f>Source!CA38</f>
        <v>70</v>
      </c>
      <c r="G148" s="61">
        <f>(Source!AF38+Source!AE38)*Source!FY38/100</f>
        <v>105.91</v>
      </c>
      <c r="H148" s="61">
        <f>Source!Y38</f>
        <v>1053.82</v>
      </c>
    </row>
    <row r="149" spans="1:28" x14ac:dyDescent="0.2">
      <c r="C149" s="9" t="s">
        <v>1838</v>
      </c>
      <c r="D149" s="38"/>
      <c r="E149" s="38"/>
      <c r="F149" s="38"/>
      <c r="G149" s="38" t="str">
        <f>CONCATENATE(Source!DM38,Source!FU38, "=", Source!FY38, "%")</f>
        <v>*0,85=59,5%</v>
      </c>
      <c r="H149" s="38" t="str">
        <f>CONCATENATE(Source!AU38)</f>
        <v>60</v>
      </c>
    </row>
    <row r="150" spans="1:28" x14ac:dyDescent="0.2">
      <c r="C150" s="9" t="s">
        <v>1839</v>
      </c>
      <c r="D150" s="38"/>
      <c r="E150" s="38"/>
      <c r="F150" s="38"/>
      <c r="G150" s="61">
        <f>((Source!AF38+Source!AE38)*Source!FX38/100)+((Source!AF38+Source!AE38)*Source!FY38/100)+Source!AB38</f>
        <v>460.13</v>
      </c>
      <c r="H150" s="61">
        <f>Source!O38+Source!X38+Source!Y38</f>
        <v>4548.9799999999996</v>
      </c>
    </row>
    <row r="151" spans="1:28" ht="57" x14ac:dyDescent="0.2">
      <c r="A151" s="50">
        <v>12</v>
      </c>
      <c r="B151" s="50" t="str">
        <f>Source!E39</f>
        <v>12</v>
      </c>
      <c r="C151" s="50" t="str">
        <f>Source!G39</f>
        <v>Установка блоков из ПВХ в наружных и внутренних дверных проемах в каменных стенах площадью проема более 3 м2</v>
      </c>
      <c r="D151" s="50" t="str">
        <f>Source!F39</f>
        <v>10-01-047-02</v>
      </c>
      <c r="E151" s="35" t="str">
        <f>Source!H39</f>
        <v>100 м2</v>
      </c>
      <c r="F151" s="12">
        <f>Source!I39</f>
        <v>6.5000000000000002E-2</v>
      </c>
      <c r="G151" s="25">
        <f>Source!AB39</f>
        <v>9574.5</v>
      </c>
      <c r="H151" s="25">
        <f>Source!O39</f>
        <v>4437.3</v>
      </c>
      <c r="T151">
        <f>Source!O39+Source!X39+Source!Y39</f>
        <v>5413.1500000000005</v>
      </c>
      <c r="U151">
        <f>Source!P39</f>
        <v>3710.14</v>
      </c>
      <c r="V151">
        <f>Source!S39</f>
        <v>581.85</v>
      </c>
      <c r="W151">
        <f>Source!Q39</f>
        <v>145.31</v>
      </c>
      <c r="X151">
        <f>Source!R39</f>
        <v>28.06</v>
      </c>
      <c r="Y151">
        <f>Source!U39</f>
        <v>9.337022499999998</v>
      </c>
      <c r="Z151">
        <f>Source!V39</f>
        <v>0.33231250000000001</v>
      </c>
      <c r="AA151">
        <f>Source!X39</f>
        <v>646.5</v>
      </c>
      <c r="AB151">
        <f>Source!Y39</f>
        <v>329.35</v>
      </c>
    </row>
    <row r="152" spans="1:28" ht="14.25" x14ac:dyDescent="0.2">
      <c r="C152" s="26" t="str">
        <f>"Объем: "&amp;Source!I39&amp;"=6,5/"&amp;"100"</f>
        <v>Объем: 0,065=6,5/100</v>
      </c>
      <c r="F152" s="12"/>
      <c r="G152" s="12"/>
      <c r="H152" s="12"/>
    </row>
    <row r="153" spans="1:28" x14ac:dyDescent="0.2">
      <c r="C153" s="26" t="s">
        <v>1831</v>
      </c>
      <c r="D153" s="26">
        <f>Source!BA39</f>
        <v>7.13</v>
      </c>
    </row>
    <row r="154" spans="1:28" x14ac:dyDescent="0.2">
      <c r="C154" s="26" t="s">
        <v>1832</v>
      </c>
      <c r="D154" s="26">
        <f>Source!BB39</f>
        <v>7.13</v>
      </c>
    </row>
    <row r="155" spans="1:28" x14ac:dyDescent="0.2">
      <c r="C155" s="26" t="s">
        <v>1833</v>
      </c>
      <c r="D155" s="26">
        <f>Source!BC39</f>
        <v>7.13</v>
      </c>
    </row>
    <row r="156" spans="1:28" x14ac:dyDescent="0.2">
      <c r="C156" s="26" t="s">
        <v>1834</v>
      </c>
      <c r="D156" s="26">
        <f>Source!BS39</f>
        <v>7.13</v>
      </c>
    </row>
    <row r="157" spans="1:28" x14ac:dyDescent="0.2">
      <c r="C157" s="26" t="s">
        <v>1841</v>
      </c>
      <c r="D157" s="116" t="s">
        <v>81</v>
      </c>
      <c r="E157" s="116"/>
      <c r="F157" s="116"/>
      <c r="G157" s="116"/>
      <c r="H157" s="116"/>
    </row>
    <row r="158" spans="1:28" x14ac:dyDescent="0.2">
      <c r="C158" s="26" t="s">
        <v>1842</v>
      </c>
      <c r="D158" s="116" t="s">
        <v>81</v>
      </c>
      <c r="E158" s="116"/>
      <c r="F158" s="116"/>
      <c r="G158" s="116"/>
      <c r="H158" s="116"/>
    </row>
    <row r="159" spans="1:28" x14ac:dyDescent="0.2">
      <c r="C159" s="26" t="s">
        <v>1843</v>
      </c>
      <c r="D159" s="116" t="s">
        <v>82</v>
      </c>
      <c r="E159" s="116"/>
      <c r="F159" s="116"/>
      <c r="G159" s="116"/>
      <c r="H159" s="116"/>
    </row>
    <row r="160" spans="1:28" x14ac:dyDescent="0.2">
      <c r="C160" s="26" t="s">
        <v>1844</v>
      </c>
      <c r="D160" s="116" t="s">
        <v>82</v>
      </c>
      <c r="E160" s="116"/>
      <c r="F160" s="116"/>
      <c r="G160" s="116"/>
      <c r="H160" s="116"/>
    </row>
    <row r="161" spans="1:28" x14ac:dyDescent="0.2">
      <c r="C161" s="26" t="s">
        <v>1845</v>
      </c>
      <c r="D161" s="116" t="s">
        <v>81</v>
      </c>
      <c r="E161" s="116"/>
      <c r="F161" s="116"/>
      <c r="G161" s="116"/>
      <c r="H161" s="116"/>
    </row>
    <row r="162" spans="1:28" x14ac:dyDescent="0.2">
      <c r="C162" s="9" t="s">
        <v>1835</v>
      </c>
      <c r="D162" s="38"/>
      <c r="E162" s="38"/>
      <c r="F162" s="38">
        <f>Source!BZ39</f>
        <v>118</v>
      </c>
      <c r="G162" s="61">
        <f>(Source!AF39+Source!AE39)*Source!FX39/100</f>
        <v>1397.6026200000001</v>
      </c>
      <c r="H162" s="61">
        <f>Source!X39</f>
        <v>646.5</v>
      </c>
    </row>
    <row r="163" spans="1:28" x14ac:dyDescent="0.2">
      <c r="C163" s="9" t="s">
        <v>1836</v>
      </c>
      <c r="D163" s="38"/>
      <c r="E163" s="38"/>
      <c r="F163" s="38"/>
      <c r="G163" s="38" t="str">
        <f>CONCATENATE(Source!DL39,Source!FT39, "=", Source!FX39, "%")</f>
        <v>*0,9=106,2%</v>
      </c>
      <c r="H163" s="38" t="str">
        <f>CONCATENATE(Source!AT39)</f>
        <v>106</v>
      </c>
    </row>
    <row r="164" spans="1:28" x14ac:dyDescent="0.2">
      <c r="C164" s="9" t="s">
        <v>1837</v>
      </c>
      <c r="D164" s="38"/>
      <c r="E164" s="38"/>
      <c r="F164" s="38">
        <f>Source!CA39</f>
        <v>63</v>
      </c>
      <c r="G164" s="61">
        <f>(Source!AF39+Source!AE39)*Source!FY39/100</f>
        <v>704.72335499999997</v>
      </c>
      <c r="H164" s="61">
        <f>Source!Y39</f>
        <v>329.35</v>
      </c>
    </row>
    <row r="165" spans="1:28" x14ac:dyDescent="0.2">
      <c r="C165" s="9" t="s">
        <v>1838</v>
      </c>
      <c r="D165" s="38"/>
      <c r="E165" s="38"/>
      <c r="F165" s="38"/>
      <c r="G165" s="38" t="str">
        <f>CONCATENATE(Source!DM39,Source!FU39, "=", Source!FY39, "%")</f>
        <v>*0,85=53,55%</v>
      </c>
      <c r="H165" s="38" t="str">
        <f>CONCATENATE(Source!AU39)</f>
        <v>54</v>
      </c>
    </row>
    <row r="166" spans="1:28" x14ac:dyDescent="0.2">
      <c r="C166" s="9" t="s">
        <v>1839</v>
      </c>
      <c r="D166" s="38"/>
      <c r="E166" s="38"/>
      <c r="F166" s="38"/>
      <c r="G166" s="61">
        <f>((Source!AF39+Source!AE39)*Source!FX39/100)+((Source!AF39+Source!AE39)*Source!FY39/100)+Source!AB39</f>
        <v>11676.825975</v>
      </c>
      <c r="H166" s="61">
        <f>Source!O39+Source!X39+Source!Y39</f>
        <v>5413.1500000000005</v>
      </c>
    </row>
    <row r="167" spans="1:28" ht="85.5" x14ac:dyDescent="0.2">
      <c r="A167" s="50">
        <v>13</v>
      </c>
      <c r="B167" s="50" t="str">
        <f>Source!E40</f>
        <v>12,1</v>
      </c>
      <c r="C167" s="50" t="str">
        <f>Source!G40</f>
        <v>Блоки дверные внутренние светлые (со светопрозрачным заполнением верхней части и глухим заполнением нижней части полотна) (ГОСТ 30970-2002), распашные , размером 2600х2500 мм в комплекте</v>
      </c>
      <c r="D167" s="50" t="str">
        <f>Source!F40</f>
        <v>11.3.01.05-0003</v>
      </c>
      <c r="E167" s="35" t="str">
        <f>Source!H40</f>
        <v>м2</v>
      </c>
      <c r="F167" s="12">
        <f>Source!I40</f>
        <v>6.5</v>
      </c>
      <c r="G167" s="25">
        <f>Source!AB40</f>
        <v>1428.35</v>
      </c>
      <c r="H167" s="25">
        <f>Source!O40</f>
        <v>66196.88</v>
      </c>
      <c r="T167">
        <f>Source!O40+Source!X40+Source!Y40</f>
        <v>66196.88</v>
      </c>
      <c r="U167">
        <f>Source!P40</f>
        <v>66196.88</v>
      </c>
      <c r="V167">
        <f>Source!S40</f>
        <v>0</v>
      </c>
      <c r="W167">
        <f>Source!Q40</f>
        <v>0</v>
      </c>
      <c r="X167">
        <f>Source!R40</f>
        <v>0</v>
      </c>
      <c r="Y167">
        <f>Source!U40</f>
        <v>0</v>
      </c>
      <c r="Z167">
        <f>Source!V40</f>
        <v>0</v>
      </c>
      <c r="AA167">
        <f>Source!X40</f>
        <v>0</v>
      </c>
      <c r="AB167">
        <f>Source!Y40</f>
        <v>0</v>
      </c>
    </row>
    <row r="168" spans="1:28" ht="14.25" x14ac:dyDescent="0.2">
      <c r="C168" s="26" t="s">
        <v>1833</v>
      </c>
      <c r="D168" s="26">
        <f>Source!BC40</f>
        <v>7.13</v>
      </c>
      <c r="F168" s="12"/>
      <c r="G168" s="12"/>
      <c r="H168" s="12"/>
    </row>
    <row r="169" spans="1:28" ht="57" x14ac:dyDescent="0.2">
      <c r="A169" s="50">
        <v>14</v>
      </c>
      <c r="B169" s="50" t="str">
        <f>Source!E41</f>
        <v>13</v>
      </c>
      <c r="C169" s="50" t="str">
        <f>Source!G41</f>
        <v>Окраска силикатными красками за 1 раз ранее окрашенных фасадов  и потолка лоджии по кирпичу с земли и лесов</v>
      </c>
      <c r="D169" s="50" t="str">
        <f>Source!F41</f>
        <v>62-23-4</v>
      </c>
      <c r="E169" s="35" t="str">
        <f>Source!H41</f>
        <v>100 м2</v>
      </c>
      <c r="F169" s="12">
        <f>Source!I41</f>
        <v>0.16320000000000001</v>
      </c>
      <c r="G169" s="25">
        <f>Source!AB41</f>
        <v>192.67</v>
      </c>
      <c r="H169" s="25">
        <f>Source!O41</f>
        <v>224.2</v>
      </c>
      <c r="T169">
        <f>Source!O41+Source!X41+Source!Y41</f>
        <v>451.78</v>
      </c>
      <c r="U169">
        <f>Source!P41</f>
        <v>46.42</v>
      </c>
      <c r="V169">
        <f>Source!S41</f>
        <v>174.52</v>
      </c>
      <c r="W169">
        <f>Source!Q41</f>
        <v>3.26</v>
      </c>
      <c r="X169">
        <f>Source!R41</f>
        <v>0.54</v>
      </c>
      <c r="Y169">
        <f>Source!U41</f>
        <v>2.8005120000000003</v>
      </c>
      <c r="Z169">
        <f>Source!V41</f>
        <v>6.5280000000000008E-3</v>
      </c>
      <c r="AA169">
        <f>Source!X41</f>
        <v>140.05000000000001</v>
      </c>
      <c r="AB169">
        <f>Source!Y41</f>
        <v>87.53</v>
      </c>
    </row>
    <row r="170" spans="1:28" ht="14.25" x14ac:dyDescent="0.2">
      <c r="C170" s="26" t="str">
        <f>"Объем: "&amp;Source!I41&amp;"=16,32/"&amp;"100"</f>
        <v>Объем: 0,1632=16,32/100</v>
      </c>
      <c r="F170" s="12"/>
      <c r="G170" s="12"/>
      <c r="H170" s="12"/>
    </row>
    <row r="171" spans="1:28" x14ac:dyDescent="0.2">
      <c r="C171" s="26" t="s">
        <v>1831</v>
      </c>
      <c r="D171" s="26">
        <f>Source!BA41</f>
        <v>7.13</v>
      </c>
    </row>
    <row r="172" spans="1:28" x14ac:dyDescent="0.2">
      <c r="C172" s="26" t="s">
        <v>1832</v>
      </c>
      <c r="D172" s="26">
        <f>Source!BB41</f>
        <v>7.13</v>
      </c>
    </row>
    <row r="173" spans="1:28" x14ac:dyDescent="0.2">
      <c r="C173" s="26" t="s">
        <v>1833</v>
      </c>
      <c r="D173" s="26">
        <f>Source!BC41</f>
        <v>7.13</v>
      </c>
    </row>
    <row r="174" spans="1:28" x14ac:dyDescent="0.2">
      <c r="C174" s="26" t="s">
        <v>1834</v>
      </c>
      <c r="D174" s="26">
        <f>Source!BS41</f>
        <v>7.13</v>
      </c>
    </row>
    <row r="175" spans="1:28" x14ac:dyDescent="0.2">
      <c r="C175" s="9" t="s">
        <v>1835</v>
      </c>
      <c r="D175" s="38"/>
      <c r="E175" s="38"/>
      <c r="F175" s="38">
        <f>Source!BZ41</f>
        <v>80</v>
      </c>
      <c r="G175" s="61">
        <f>(Source!AF41+Source!AE41)*Source!FX41/100</f>
        <v>120.352</v>
      </c>
      <c r="H175" s="61">
        <f>Source!X41</f>
        <v>140.05000000000001</v>
      </c>
    </row>
    <row r="176" spans="1:28" x14ac:dyDescent="0.2">
      <c r="C176" s="9" t="s">
        <v>1837</v>
      </c>
      <c r="D176" s="38"/>
      <c r="E176" s="38"/>
      <c r="F176" s="38">
        <f>Source!CA41</f>
        <v>50</v>
      </c>
      <c r="G176" s="61">
        <f>(Source!AF41+Source!AE41)*Source!FY41/100</f>
        <v>75.22</v>
      </c>
      <c r="H176" s="61">
        <f>Source!Y41</f>
        <v>87.53</v>
      </c>
    </row>
    <row r="177" spans="1:28" x14ac:dyDescent="0.2">
      <c r="C177" s="9" t="s">
        <v>1839</v>
      </c>
      <c r="D177" s="38"/>
      <c r="E177" s="38"/>
      <c r="F177" s="38"/>
      <c r="G177" s="61">
        <f>((Source!AF41+Source!AE41)*Source!FX41/100)+((Source!AF41+Source!AE41)*Source!FY41/100)+Source!AB41</f>
        <v>388.24199999999996</v>
      </c>
      <c r="H177" s="61">
        <f>Source!O41+Source!X41+Source!Y41</f>
        <v>451.78</v>
      </c>
    </row>
    <row r="178" spans="1:28" ht="14.25" x14ac:dyDescent="0.2">
      <c r="A178" s="50">
        <v>15</v>
      </c>
      <c r="B178" s="50" t="str">
        <f>Source!E42</f>
        <v>13,1</v>
      </c>
      <c r="C178" s="50" t="str">
        <f>Source!G42</f>
        <v>Краски силикатные</v>
      </c>
      <c r="D178" s="50" t="str">
        <f>Source!F42</f>
        <v>14.3.02.05</v>
      </c>
      <c r="E178" s="35" t="str">
        <f>Source!H42</f>
        <v>т</v>
      </c>
      <c r="F178" s="12">
        <f>Source!I42</f>
        <v>2.2850000000000001E-3</v>
      </c>
      <c r="G178" s="25">
        <f>Source!AB42</f>
        <v>0</v>
      </c>
      <c r="H178" s="25">
        <f>Source!O42</f>
        <v>0</v>
      </c>
      <c r="T178">
        <f>Source!O42+Source!X42+Source!Y42</f>
        <v>0</v>
      </c>
      <c r="U178">
        <f>Source!P42</f>
        <v>0</v>
      </c>
      <c r="V178">
        <f>Source!S42</f>
        <v>0</v>
      </c>
      <c r="W178">
        <f>Source!Q42</f>
        <v>0</v>
      </c>
      <c r="X178">
        <f>Source!R42</f>
        <v>0</v>
      </c>
      <c r="Y178">
        <f>Source!U42</f>
        <v>0</v>
      </c>
      <c r="Z178">
        <f>Source!V42</f>
        <v>0</v>
      </c>
      <c r="AA178">
        <f>Source!X42</f>
        <v>0</v>
      </c>
      <c r="AB178">
        <f>Source!Y42</f>
        <v>0</v>
      </c>
    </row>
    <row r="179" spans="1:28" ht="14.25" x14ac:dyDescent="0.2">
      <c r="C179" s="26" t="s">
        <v>1833</v>
      </c>
      <c r="D179" s="26">
        <f>Source!BC42</f>
        <v>7.13</v>
      </c>
      <c r="F179" s="12"/>
      <c r="G179" s="12"/>
      <c r="H179" s="12"/>
    </row>
    <row r="180" spans="1:28" ht="28.5" x14ac:dyDescent="0.2">
      <c r="A180" s="50">
        <v>16</v>
      </c>
      <c r="B180" s="50" t="str">
        <f>Source!E43</f>
        <v>13,2</v>
      </c>
      <c r="C180" s="50" t="str">
        <f>Source!G43</f>
        <v>Краска силикатная фасадная GERESIT CT 54</v>
      </c>
      <c r="D180" s="50" t="str">
        <f>Source!F43</f>
        <v>14.3.02.05-0102</v>
      </c>
      <c r="E180" s="35" t="str">
        <f>Source!H43</f>
        <v>кг</v>
      </c>
      <c r="F180" s="12">
        <f>Source!I43</f>
        <v>2.2848000000000002</v>
      </c>
      <c r="G180" s="25">
        <f>Source!AB43</f>
        <v>78.239999999999995</v>
      </c>
      <c r="H180" s="25">
        <f>Source!O43</f>
        <v>1274.58</v>
      </c>
      <c r="T180">
        <f>Source!O43+Source!X43+Source!Y43</f>
        <v>1274.58</v>
      </c>
      <c r="U180">
        <f>Source!P43</f>
        <v>1274.58</v>
      </c>
      <c r="V180">
        <f>Source!S43</f>
        <v>0</v>
      </c>
      <c r="W180">
        <f>Source!Q43</f>
        <v>0</v>
      </c>
      <c r="X180">
        <f>Source!R43</f>
        <v>0</v>
      </c>
      <c r="Y180">
        <f>Source!U43</f>
        <v>0</v>
      </c>
      <c r="Z180">
        <f>Source!V43</f>
        <v>0</v>
      </c>
      <c r="AA180">
        <f>Source!X43</f>
        <v>0</v>
      </c>
      <c r="AB180">
        <f>Source!Y43</f>
        <v>0</v>
      </c>
    </row>
    <row r="181" spans="1:28" ht="14.25" x14ac:dyDescent="0.2">
      <c r="C181" s="26" t="s">
        <v>1833</v>
      </c>
      <c r="D181" s="26">
        <f>Source!BC43</f>
        <v>7.13</v>
      </c>
      <c r="F181" s="12"/>
      <c r="G181" s="12"/>
      <c r="H181" s="12"/>
    </row>
    <row r="182" spans="1:28" ht="28.5" x14ac:dyDescent="0.2">
      <c r="A182" s="50">
        <v>17</v>
      </c>
      <c r="B182" s="50" t="str">
        <f>Source!E44</f>
        <v>14</v>
      </c>
      <c r="C182" s="50" t="str">
        <f>Source!G44</f>
        <v>Обрамление металлическим уголком ограждения балкона</v>
      </c>
      <c r="D182" s="50" t="str">
        <f>Source!F44</f>
        <v>09-03-050-01</v>
      </c>
      <c r="E182" s="35" t="str">
        <f>Source!H44</f>
        <v>100 м</v>
      </c>
      <c r="F182" s="12">
        <f>Source!I44</f>
        <v>0.08</v>
      </c>
      <c r="G182" s="25">
        <f>Source!AB44</f>
        <v>140.87</v>
      </c>
      <c r="H182" s="25">
        <f>Source!O44</f>
        <v>80.349999999999994</v>
      </c>
      <c r="T182">
        <f>Source!O44+Source!X44+Source!Y44</f>
        <v>200.33</v>
      </c>
      <c r="U182">
        <f>Source!P44</f>
        <v>0</v>
      </c>
      <c r="V182">
        <f>Source!S44</f>
        <v>78</v>
      </c>
      <c r="W182">
        <f>Source!Q44</f>
        <v>2.35</v>
      </c>
      <c r="X182">
        <f>Source!R44</f>
        <v>0.42</v>
      </c>
      <c r="Y182">
        <f>Source!U44</f>
        <v>1.1776</v>
      </c>
      <c r="Z182">
        <f>Source!V44</f>
        <v>5.0000000000000001E-3</v>
      </c>
      <c r="AA182">
        <f>Source!X44</f>
        <v>63.52</v>
      </c>
      <c r="AB182">
        <f>Source!Y44</f>
        <v>56.46</v>
      </c>
    </row>
    <row r="183" spans="1:28" ht="14.25" x14ac:dyDescent="0.2">
      <c r="C183" s="26" t="str">
        <f>"Объем: "&amp;Source!I44&amp;"=8/"&amp;"100"</f>
        <v>Объем: 0,08=8/100</v>
      </c>
      <c r="F183" s="12"/>
      <c r="G183" s="12"/>
      <c r="H183" s="12"/>
    </row>
    <row r="184" spans="1:28" x14ac:dyDescent="0.2">
      <c r="C184" s="26" t="s">
        <v>1831</v>
      </c>
      <c r="D184" s="26">
        <f>Source!BA44</f>
        <v>7.13</v>
      </c>
    </row>
    <row r="185" spans="1:28" x14ac:dyDescent="0.2">
      <c r="C185" s="26" t="s">
        <v>1832</v>
      </c>
      <c r="D185" s="26">
        <f>Source!BB44</f>
        <v>7.13</v>
      </c>
    </row>
    <row r="186" spans="1:28" x14ac:dyDescent="0.2">
      <c r="C186" s="26" t="s">
        <v>1833</v>
      </c>
      <c r="D186" s="26">
        <f>Source!BC44</f>
        <v>7.13</v>
      </c>
    </row>
    <row r="187" spans="1:28" x14ac:dyDescent="0.2">
      <c r="C187" s="26" t="s">
        <v>1834</v>
      </c>
      <c r="D187" s="26">
        <f>Source!BS44</f>
        <v>7.13</v>
      </c>
    </row>
    <row r="188" spans="1:28" x14ac:dyDescent="0.2">
      <c r="C188" s="26" t="s">
        <v>1841</v>
      </c>
      <c r="D188" s="116" t="s">
        <v>81</v>
      </c>
      <c r="E188" s="116"/>
      <c r="F188" s="116"/>
      <c r="G188" s="116"/>
      <c r="H188" s="116"/>
    </row>
    <row r="189" spans="1:28" x14ac:dyDescent="0.2">
      <c r="C189" s="26" t="s">
        <v>1842</v>
      </c>
      <c r="D189" s="116" t="s">
        <v>81</v>
      </c>
      <c r="E189" s="116"/>
      <c r="F189" s="116"/>
      <c r="G189" s="116"/>
      <c r="H189" s="116"/>
    </row>
    <row r="190" spans="1:28" x14ac:dyDescent="0.2">
      <c r="C190" s="26" t="s">
        <v>1843</v>
      </c>
      <c r="D190" s="116" t="s">
        <v>82</v>
      </c>
      <c r="E190" s="116"/>
      <c r="F190" s="116"/>
      <c r="G190" s="116"/>
      <c r="H190" s="116"/>
    </row>
    <row r="191" spans="1:28" x14ac:dyDescent="0.2">
      <c r="C191" s="26" t="s">
        <v>1844</v>
      </c>
      <c r="D191" s="116" t="s">
        <v>82</v>
      </c>
      <c r="E191" s="116"/>
      <c r="F191" s="116"/>
      <c r="G191" s="116"/>
      <c r="H191" s="116"/>
    </row>
    <row r="192" spans="1:28" x14ac:dyDescent="0.2">
      <c r="C192" s="26" t="s">
        <v>1845</v>
      </c>
      <c r="D192" s="116" t="s">
        <v>81</v>
      </c>
      <c r="E192" s="116"/>
      <c r="F192" s="116"/>
      <c r="G192" s="116"/>
      <c r="H192" s="116"/>
    </row>
    <row r="193" spans="1:28" x14ac:dyDescent="0.2">
      <c r="C193" s="9" t="s">
        <v>1835</v>
      </c>
      <c r="D193" s="38"/>
      <c r="E193" s="38"/>
      <c r="F193" s="38">
        <f>Source!BZ44</f>
        <v>90</v>
      </c>
      <c r="G193" s="61">
        <f>(Source!AF44+Source!AE44)*Source!FX44/100</f>
        <v>111.35879999999999</v>
      </c>
      <c r="H193" s="61">
        <f>Source!X44</f>
        <v>63.52</v>
      </c>
    </row>
    <row r="194" spans="1:28" x14ac:dyDescent="0.2">
      <c r="C194" s="9" t="s">
        <v>1836</v>
      </c>
      <c r="D194" s="38"/>
      <c r="E194" s="38"/>
      <c r="F194" s="38"/>
      <c r="G194" s="38" t="str">
        <f>CONCATENATE(Source!DL44,Source!FT44, "=", Source!FX44, "%")</f>
        <v>*0,9=81%</v>
      </c>
      <c r="H194" s="38" t="str">
        <f>CONCATENATE(Source!AT44)</f>
        <v>81</v>
      </c>
    </row>
    <row r="195" spans="1:28" x14ac:dyDescent="0.2">
      <c r="C195" s="9" t="s">
        <v>1837</v>
      </c>
      <c r="D195" s="38"/>
      <c r="E195" s="38"/>
      <c r="F195" s="38">
        <f>Source!CA44</f>
        <v>85</v>
      </c>
      <c r="G195" s="61">
        <f>(Source!AF44+Source!AE44)*Source!FY44/100</f>
        <v>99.329299999999989</v>
      </c>
      <c r="H195" s="61">
        <f>Source!Y44</f>
        <v>56.46</v>
      </c>
    </row>
    <row r="196" spans="1:28" x14ac:dyDescent="0.2">
      <c r="C196" s="9" t="s">
        <v>1838</v>
      </c>
      <c r="D196" s="38"/>
      <c r="E196" s="38"/>
      <c r="F196" s="38"/>
      <c r="G196" s="38" t="str">
        <f>CONCATENATE(Source!DM44,Source!FU44, "=", Source!FY44, "%")</f>
        <v>*0,85=72,25%</v>
      </c>
      <c r="H196" s="38" t="str">
        <f>CONCATENATE(Source!AU44)</f>
        <v>72</v>
      </c>
    </row>
    <row r="197" spans="1:28" x14ac:dyDescent="0.2">
      <c r="C197" s="9" t="s">
        <v>1839</v>
      </c>
      <c r="D197" s="38"/>
      <c r="E197" s="38"/>
      <c r="F197" s="38"/>
      <c r="G197" s="61">
        <f>((Source!AF44+Source!AE44)*Source!FX44/100)+((Source!AF44+Source!AE44)*Source!FY44/100)+Source!AB44</f>
        <v>351.55809999999997</v>
      </c>
      <c r="H197" s="61">
        <f>Source!O44+Source!X44+Source!Y44</f>
        <v>200.33</v>
      </c>
    </row>
    <row r="198" spans="1:28" ht="42.75" x14ac:dyDescent="0.2">
      <c r="A198" s="50">
        <v>18</v>
      </c>
      <c r="B198" s="50" t="str">
        <f>Source!E45</f>
        <v>14,1</v>
      </c>
      <c r="C198" s="50" t="str">
        <f>Source!G45</f>
        <v>Уголки металлические оцинкованные прижимные (ТУ 5262-002- 73088633-09) размером 40х40х4мм</v>
      </c>
      <c r="D198" s="50" t="str">
        <f>Source!F45</f>
        <v>01.5.02.01-0151</v>
      </c>
      <c r="E198" s="35" t="str">
        <f>Source!H45</f>
        <v>т</v>
      </c>
      <c r="F198" s="12">
        <f>Source!I45</f>
        <v>3.2000000000000003E-4</v>
      </c>
      <c r="G198" s="25">
        <f>Source!AB45</f>
        <v>5106.21</v>
      </c>
      <c r="H198" s="25">
        <f>Source!O45</f>
        <v>11.65</v>
      </c>
      <c r="T198">
        <f>Source!O45+Source!X45+Source!Y45</f>
        <v>11.65</v>
      </c>
      <c r="U198">
        <f>Source!P45</f>
        <v>11.65</v>
      </c>
      <c r="V198">
        <f>Source!S45</f>
        <v>0</v>
      </c>
      <c r="W198">
        <f>Source!Q45</f>
        <v>0</v>
      </c>
      <c r="X198">
        <f>Source!R45</f>
        <v>0</v>
      </c>
      <c r="Y198">
        <f>Source!U45</f>
        <v>0</v>
      </c>
      <c r="Z198">
        <f>Source!V45</f>
        <v>0</v>
      </c>
      <c r="AA198">
        <f>Source!X45</f>
        <v>0</v>
      </c>
      <c r="AB198">
        <f>Source!Y45</f>
        <v>0</v>
      </c>
    </row>
    <row r="199" spans="1:28" ht="14.25" x14ac:dyDescent="0.2">
      <c r="C199" s="26" t="s">
        <v>1833</v>
      </c>
      <c r="D199" s="26">
        <f>Source!BC45</f>
        <v>7.13</v>
      </c>
      <c r="F199" s="12"/>
      <c r="G199" s="12"/>
      <c r="H199" s="12"/>
    </row>
    <row r="200" spans="1:28" ht="57" x14ac:dyDescent="0.2">
      <c r="A200" s="50">
        <v>19</v>
      </c>
      <c r="B200" s="50" t="str">
        <f>Source!E46</f>
        <v>15</v>
      </c>
      <c r="C200" s="50" t="str">
        <f>Source!G46</f>
        <v>Масляная окраска металлических поверхностей решеток, переплетов, труб диаметром менее 50 мм и т.п., количество окрасок 2</v>
      </c>
      <c r="D200" s="50" t="str">
        <f>Source!F46</f>
        <v>15-04-030-04</v>
      </c>
      <c r="E200" s="35" t="str">
        <f>Source!H46</f>
        <v>100 м2</v>
      </c>
      <c r="F200" s="12">
        <f>Source!I46</f>
        <v>0.08</v>
      </c>
      <c r="G200" s="25">
        <f>Source!AB46</f>
        <v>815.45</v>
      </c>
      <c r="H200" s="25">
        <f>Source!O46</f>
        <v>465.14</v>
      </c>
      <c r="T200">
        <f>Source!O46+Source!X46+Source!Y46</f>
        <v>1052.08</v>
      </c>
      <c r="U200">
        <f>Source!P46</f>
        <v>50.52</v>
      </c>
      <c r="V200">
        <f>Source!S46</f>
        <v>412.99</v>
      </c>
      <c r="W200">
        <f>Source!Q46</f>
        <v>1.63</v>
      </c>
      <c r="X200">
        <f>Source!R46</f>
        <v>0.35</v>
      </c>
      <c r="Y200">
        <f>Source!U46</f>
        <v>6.5375199999999998</v>
      </c>
      <c r="Z200">
        <f>Source!V46</f>
        <v>4.0000000000000001E-3</v>
      </c>
      <c r="AA200">
        <f>Source!X46</f>
        <v>392.67</v>
      </c>
      <c r="AB200">
        <f>Source!Y46</f>
        <v>194.27</v>
      </c>
    </row>
    <row r="201" spans="1:28" ht="14.25" x14ac:dyDescent="0.2">
      <c r="C201" s="26" t="str">
        <f>"Объем: "&amp;Source!I46&amp;"=8/"&amp;"100"</f>
        <v>Объем: 0,08=8/100</v>
      </c>
      <c r="F201" s="12"/>
      <c r="G201" s="12"/>
      <c r="H201" s="12"/>
    </row>
    <row r="202" spans="1:28" x14ac:dyDescent="0.2">
      <c r="C202" s="26" t="s">
        <v>1831</v>
      </c>
      <c r="D202" s="26">
        <f>Source!BA46</f>
        <v>7.13</v>
      </c>
    </row>
    <row r="203" spans="1:28" x14ac:dyDescent="0.2">
      <c r="C203" s="26" t="s">
        <v>1832</v>
      </c>
      <c r="D203" s="26">
        <f>Source!BB46</f>
        <v>7.13</v>
      </c>
    </row>
    <row r="204" spans="1:28" x14ac:dyDescent="0.2">
      <c r="C204" s="26" t="s">
        <v>1833</v>
      </c>
      <c r="D204" s="26">
        <f>Source!BC46</f>
        <v>7.13</v>
      </c>
    </row>
    <row r="205" spans="1:28" x14ac:dyDescent="0.2">
      <c r="C205" s="26" t="s">
        <v>1834</v>
      </c>
      <c r="D205" s="26">
        <f>Source!BS46</f>
        <v>7.13</v>
      </c>
    </row>
    <row r="206" spans="1:28" x14ac:dyDescent="0.2">
      <c r="C206" s="26" t="s">
        <v>1841</v>
      </c>
      <c r="D206" s="116" t="s">
        <v>81</v>
      </c>
      <c r="E206" s="116"/>
      <c r="F206" s="116"/>
      <c r="G206" s="116"/>
      <c r="H206" s="116"/>
    </row>
    <row r="207" spans="1:28" x14ac:dyDescent="0.2">
      <c r="C207" s="26" t="s">
        <v>1842</v>
      </c>
      <c r="D207" s="116" t="s">
        <v>81</v>
      </c>
      <c r="E207" s="116"/>
      <c r="F207" s="116"/>
      <c r="G207" s="116"/>
      <c r="H207" s="116"/>
    </row>
    <row r="208" spans="1:28" x14ac:dyDescent="0.2">
      <c r="C208" s="26" t="s">
        <v>1843</v>
      </c>
      <c r="D208" s="116" t="s">
        <v>82</v>
      </c>
      <c r="E208" s="116"/>
      <c r="F208" s="116"/>
      <c r="G208" s="116"/>
      <c r="H208" s="116"/>
    </row>
    <row r="209" spans="1:28" x14ac:dyDescent="0.2">
      <c r="C209" s="26" t="s">
        <v>1844</v>
      </c>
      <c r="D209" s="116" t="s">
        <v>82</v>
      </c>
      <c r="E209" s="116"/>
      <c r="F209" s="116"/>
      <c r="G209" s="116"/>
      <c r="H209" s="116"/>
    </row>
    <row r="210" spans="1:28" x14ac:dyDescent="0.2">
      <c r="C210" s="26" t="s">
        <v>1845</v>
      </c>
      <c r="D210" s="116" t="s">
        <v>81</v>
      </c>
      <c r="E210" s="116"/>
      <c r="F210" s="116"/>
      <c r="G210" s="116"/>
      <c r="H210" s="116"/>
    </row>
    <row r="211" spans="1:28" x14ac:dyDescent="0.2">
      <c r="C211" s="9" t="s">
        <v>1835</v>
      </c>
      <c r="D211" s="38"/>
      <c r="E211" s="38"/>
      <c r="F211" s="38">
        <f>Source!BZ46</f>
        <v>105</v>
      </c>
      <c r="G211" s="61">
        <f>(Source!AF46+Source!AE46)*Source!FX46/100</f>
        <v>684.7847999999999</v>
      </c>
      <c r="H211" s="61">
        <f>Source!X46</f>
        <v>392.67</v>
      </c>
    </row>
    <row r="212" spans="1:28" x14ac:dyDescent="0.2">
      <c r="C212" s="9" t="s">
        <v>1836</v>
      </c>
      <c r="D212" s="38"/>
      <c r="E212" s="38"/>
      <c r="F212" s="38"/>
      <c r="G212" s="38" t="str">
        <f>CONCATENATE(Source!DL46,Source!FT46, "=", Source!FX46, "%")</f>
        <v>*0,9=94,5%</v>
      </c>
      <c r="H212" s="38" t="str">
        <f>CONCATENATE(Source!AT46)</f>
        <v>95</v>
      </c>
    </row>
    <row r="213" spans="1:28" x14ac:dyDescent="0.2">
      <c r="C213" s="9" t="s">
        <v>1837</v>
      </c>
      <c r="D213" s="38"/>
      <c r="E213" s="38"/>
      <c r="F213" s="38">
        <f>Source!CA46</f>
        <v>55</v>
      </c>
      <c r="G213" s="61">
        <f>(Source!AF46+Source!AE46)*Source!FY46/100</f>
        <v>338.76919999999996</v>
      </c>
      <c r="H213" s="61">
        <f>Source!Y46</f>
        <v>194.27</v>
      </c>
    </row>
    <row r="214" spans="1:28" x14ac:dyDescent="0.2">
      <c r="C214" s="9" t="s">
        <v>1838</v>
      </c>
      <c r="D214" s="38"/>
      <c r="E214" s="38"/>
      <c r="F214" s="38"/>
      <c r="G214" s="38" t="str">
        <f>CONCATENATE(Source!DM46,Source!FU46, "=", Source!FY46, "%")</f>
        <v>*0,85=46,75%</v>
      </c>
      <c r="H214" s="38" t="str">
        <f>CONCATENATE(Source!AU46)</f>
        <v>47</v>
      </c>
    </row>
    <row r="215" spans="1:28" x14ac:dyDescent="0.2">
      <c r="C215" s="9" t="s">
        <v>1839</v>
      </c>
      <c r="D215" s="38"/>
      <c r="E215" s="38"/>
      <c r="F215" s="38"/>
      <c r="G215" s="61">
        <f>((Source!AF46+Source!AE46)*Source!FX46/100)+((Source!AF46+Source!AE46)*Source!FY46/100)+Source!AB46</f>
        <v>1839.0039999999999</v>
      </c>
      <c r="H215" s="61">
        <f>Source!O46+Source!X46+Source!Y46</f>
        <v>1052.08</v>
      </c>
    </row>
    <row r="216" spans="1:28" ht="28.5" x14ac:dyDescent="0.2">
      <c r="A216" s="50">
        <v>20</v>
      </c>
      <c r="B216" s="50" t="str">
        <f>Source!E47</f>
        <v>15,1</v>
      </c>
      <c r="C216" s="50" t="str">
        <f>Source!G47</f>
        <v>Эмаль ПФ-115</v>
      </c>
      <c r="D216" s="50" t="str">
        <f>Source!F47</f>
        <v>14.4.04.08-0004</v>
      </c>
      <c r="E216" s="35" t="str">
        <f>Source!H47</f>
        <v>кг</v>
      </c>
      <c r="F216" s="12">
        <f>Source!I47</f>
        <v>1.96875</v>
      </c>
      <c r="G216" s="25">
        <f>Source!AB47</f>
        <v>16.66</v>
      </c>
      <c r="H216" s="25">
        <f>Source!O47</f>
        <v>233.86</v>
      </c>
      <c r="T216">
        <f>Source!O47+Source!X47+Source!Y47</f>
        <v>233.86</v>
      </c>
      <c r="U216">
        <f>Source!P47</f>
        <v>233.86</v>
      </c>
      <c r="V216">
        <f>Source!S47</f>
        <v>0</v>
      </c>
      <c r="W216">
        <f>Source!Q47</f>
        <v>0</v>
      </c>
      <c r="X216">
        <f>Source!R47</f>
        <v>0</v>
      </c>
      <c r="Y216">
        <f>Source!U47</f>
        <v>0</v>
      </c>
      <c r="Z216">
        <f>Source!V47</f>
        <v>0</v>
      </c>
      <c r="AA216">
        <f>Source!X47</f>
        <v>0</v>
      </c>
      <c r="AB216">
        <f>Source!Y47</f>
        <v>0</v>
      </c>
    </row>
    <row r="217" spans="1:28" ht="14.25" x14ac:dyDescent="0.2">
      <c r="C217" s="26" t="s">
        <v>1833</v>
      </c>
      <c r="D217" s="26">
        <f>Source!BC47</f>
        <v>7.13</v>
      </c>
      <c r="F217" s="12"/>
      <c r="G217" s="12"/>
      <c r="H217" s="12"/>
    </row>
    <row r="218" spans="1:28" ht="28.5" x14ac:dyDescent="0.2">
      <c r="A218" s="50">
        <v>21</v>
      </c>
      <c r="B218" s="50" t="str">
        <f>Source!E48</f>
        <v>16</v>
      </c>
      <c r="C218" s="50" t="str">
        <f>Source!G48</f>
        <v>Установка дверного доводчика к металлическим дверям</v>
      </c>
      <c r="D218" s="50" t="str">
        <f>Source!F48</f>
        <v>09-04-012-02</v>
      </c>
      <c r="E218" s="35" t="str">
        <f>Source!H48</f>
        <v>ШТ</v>
      </c>
      <c r="F218" s="12">
        <f>Source!I48</f>
        <v>2</v>
      </c>
      <c r="G218" s="25">
        <f>Source!AB48</f>
        <v>16.02</v>
      </c>
      <c r="H218" s="25">
        <f>Source!O48</f>
        <v>228.45</v>
      </c>
      <c r="T218">
        <f>Source!O48+Source!X48+Source!Y48</f>
        <v>504.65999999999997</v>
      </c>
      <c r="U218">
        <f>Source!P48</f>
        <v>10.27</v>
      </c>
      <c r="V218">
        <f>Source!S48</f>
        <v>180.53</v>
      </c>
      <c r="W218">
        <f>Source!Q48</f>
        <v>37.65</v>
      </c>
      <c r="X218">
        <f>Source!R48</f>
        <v>0</v>
      </c>
      <c r="Y218">
        <f>Source!U48</f>
        <v>2.5529999999999999</v>
      </c>
      <c r="Z218">
        <f>Source!V48</f>
        <v>0</v>
      </c>
      <c r="AA218">
        <f>Source!X48</f>
        <v>146.22999999999999</v>
      </c>
      <c r="AB218">
        <f>Source!Y48</f>
        <v>129.97999999999999</v>
      </c>
    </row>
    <row r="219" spans="1:28" ht="14.25" x14ac:dyDescent="0.2">
      <c r="C219" s="26" t="s">
        <v>1831</v>
      </c>
      <c r="D219" s="26">
        <f>Source!BA48</f>
        <v>7.13</v>
      </c>
      <c r="F219" s="12"/>
      <c r="G219" s="12"/>
      <c r="H219" s="12"/>
    </row>
    <row r="220" spans="1:28" x14ac:dyDescent="0.2">
      <c r="C220" s="26" t="s">
        <v>1832</v>
      </c>
      <c r="D220" s="26">
        <f>Source!BB48</f>
        <v>7.13</v>
      </c>
    </row>
    <row r="221" spans="1:28" x14ac:dyDescent="0.2">
      <c r="C221" s="26" t="s">
        <v>1833</v>
      </c>
      <c r="D221" s="26">
        <f>Source!BC48</f>
        <v>7.13</v>
      </c>
    </row>
    <row r="222" spans="1:28" x14ac:dyDescent="0.2">
      <c r="C222" s="26" t="s">
        <v>1834</v>
      </c>
      <c r="D222" s="26">
        <f>Source!BS48</f>
        <v>7.13</v>
      </c>
    </row>
    <row r="223" spans="1:28" x14ac:dyDescent="0.2">
      <c r="C223" s="26" t="s">
        <v>1841</v>
      </c>
      <c r="D223" s="116" t="s">
        <v>81</v>
      </c>
      <c r="E223" s="116"/>
      <c r="F223" s="116"/>
      <c r="G223" s="116"/>
      <c r="H223" s="116"/>
    </row>
    <row r="224" spans="1:28" x14ac:dyDescent="0.2">
      <c r="C224" s="26" t="s">
        <v>1842</v>
      </c>
      <c r="D224" s="116" t="s">
        <v>81</v>
      </c>
      <c r="E224" s="116"/>
      <c r="F224" s="116"/>
      <c r="G224" s="116"/>
      <c r="H224" s="116"/>
    </row>
    <row r="225" spans="1:28" x14ac:dyDescent="0.2">
      <c r="C225" s="26" t="s">
        <v>1843</v>
      </c>
      <c r="D225" s="116" t="s">
        <v>82</v>
      </c>
      <c r="E225" s="116"/>
      <c r="F225" s="116"/>
      <c r="G225" s="116"/>
      <c r="H225" s="116"/>
    </row>
    <row r="226" spans="1:28" x14ac:dyDescent="0.2">
      <c r="C226" s="26" t="s">
        <v>1844</v>
      </c>
      <c r="D226" s="116" t="s">
        <v>82</v>
      </c>
      <c r="E226" s="116"/>
      <c r="F226" s="116"/>
      <c r="G226" s="116"/>
      <c r="H226" s="116"/>
    </row>
    <row r="227" spans="1:28" x14ac:dyDescent="0.2">
      <c r="C227" s="26" t="s">
        <v>1845</v>
      </c>
      <c r="D227" s="116" t="s">
        <v>81</v>
      </c>
      <c r="E227" s="116"/>
      <c r="F227" s="116"/>
      <c r="G227" s="116"/>
      <c r="H227" s="116"/>
    </row>
    <row r="228" spans="1:28" x14ac:dyDescent="0.2">
      <c r="C228" s="9" t="s">
        <v>1835</v>
      </c>
      <c r="D228" s="38"/>
      <c r="E228" s="38"/>
      <c r="F228" s="38">
        <f>Source!BZ48</f>
        <v>90</v>
      </c>
      <c r="G228" s="61">
        <f>(Source!AF48+Source!AE48)*Source!FX48/100</f>
        <v>10.2546</v>
      </c>
      <c r="H228" s="61">
        <f>Source!X48</f>
        <v>146.22999999999999</v>
      </c>
    </row>
    <row r="229" spans="1:28" x14ac:dyDescent="0.2">
      <c r="C229" s="9" t="s">
        <v>1836</v>
      </c>
      <c r="D229" s="38"/>
      <c r="E229" s="38"/>
      <c r="F229" s="38"/>
      <c r="G229" s="38" t="str">
        <f>CONCATENATE(Source!DL48,Source!FT48, "=", Source!FX48, "%")</f>
        <v>*0,9=81%</v>
      </c>
      <c r="H229" s="38" t="str">
        <f>CONCATENATE(Source!AT48)</f>
        <v>81</v>
      </c>
    </row>
    <row r="230" spans="1:28" x14ac:dyDescent="0.2">
      <c r="C230" s="9" t="s">
        <v>1837</v>
      </c>
      <c r="D230" s="38"/>
      <c r="E230" s="38"/>
      <c r="F230" s="38">
        <f>Source!CA48</f>
        <v>85</v>
      </c>
      <c r="G230" s="61">
        <f>(Source!AF48+Source!AE48)*Source!FY48/100</f>
        <v>9.1468500000000006</v>
      </c>
      <c r="H230" s="61">
        <f>Source!Y48</f>
        <v>129.97999999999999</v>
      </c>
    </row>
    <row r="231" spans="1:28" x14ac:dyDescent="0.2">
      <c r="C231" s="9" t="s">
        <v>1838</v>
      </c>
      <c r="D231" s="38"/>
      <c r="E231" s="38"/>
      <c r="F231" s="38"/>
      <c r="G231" s="38" t="str">
        <f>CONCATENATE(Source!DM48,Source!FU48, "=", Source!FY48, "%")</f>
        <v>*0,85=72,25%</v>
      </c>
      <c r="H231" s="38" t="str">
        <f>CONCATENATE(Source!AU48)</f>
        <v>72</v>
      </c>
    </row>
    <row r="232" spans="1:28" x14ac:dyDescent="0.2">
      <c r="C232" s="9" t="s">
        <v>1839</v>
      </c>
      <c r="D232" s="38"/>
      <c r="E232" s="38"/>
      <c r="F232" s="38"/>
      <c r="G232" s="61">
        <f>((Source!AF48+Source!AE48)*Source!FX48/100)+((Source!AF48+Source!AE48)*Source!FY48/100)+Source!AB48</f>
        <v>35.42145</v>
      </c>
      <c r="H232" s="61">
        <f>Source!O48+Source!X48+Source!Y48</f>
        <v>504.65999999999997</v>
      </c>
    </row>
    <row r="233" spans="1:28" ht="28.5" x14ac:dyDescent="0.2">
      <c r="A233" s="50">
        <v>22</v>
      </c>
      <c r="B233" s="50" t="str">
        <f>Source!E49</f>
        <v>16,1</v>
      </c>
      <c r="C233" s="50" t="str">
        <f>Source!G49</f>
        <v>Доводчик дверной DS 73 BC "Серия Premium", усилие закрывания EN2-5</v>
      </c>
      <c r="D233" s="50" t="str">
        <f>Source!F49</f>
        <v>01.7.04.01-0001</v>
      </c>
      <c r="E233" s="35" t="str">
        <f>Source!H49</f>
        <v>шт.</v>
      </c>
      <c r="F233" s="12">
        <f>Source!I49</f>
        <v>2</v>
      </c>
      <c r="G233" s="25">
        <f>Source!AB49</f>
        <v>371.2</v>
      </c>
      <c r="H233" s="25">
        <f>Source!O49</f>
        <v>5293.31</v>
      </c>
      <c r="T233">
        <f>Source!O49+Source!X49+Source!Y49</f>
        <v>5293.31</v>
      </c>
      <c r="U233">
        <f>Source!P49</f>
        <v>5293.31</v>
      </c>
      <c r="V233">
        <f>Source!S49</f>
        <v>0</v>
      </c>
      <c r="W233">
        <f>Source!Q49</f>
        <v>0</v>
      </c>
      <c r="X233">
        <f>Source!R49</f>
        <v>0</v>
      </c>
      <c r="Y233">
        <f>Source!U49</f>
        <v>0</v>
      </c>
      <c r="Z233">
        <f>Source!V49</f>
        <v>0</v>
      </c>
      <c r="AA233">
        <f>Source!X49</f>
        <v>0</v>
      </c>
      <c r="AB233">
        <f>Source!Y49</f>
        <v>0</v>
      </c>
    </row>
    <row r="234" spans="1:28" ht="14.25" x14ac:dyDescent="0.2">
      <c r="C234" s="26" t="s">
        <v>1833</v>
      </c>
      <c r="D234" s="26">
        <f>Source!BC49</f>
        <v>7.13</v>
      </c>
      <c r="F234" s="12"/>
      <c r="G234" s="12"/>
      <c r="H234" s="12"/>
    </row>
    <row r="235" spans="1:28" ht="42.75" x14ac:dyDescent="0.2">
      <c r="A235" s="50">
        <v>23</v>
      </c>
      <c r="B235" s="50" t="str">
        <f>Source!E50</f>
        <v>17</v>
      </c>
      <c r="C235" s="50" t="str">
        <f>Source!G50</f>
        <v>Окраска поливинилацетатными водоэмульсионными составами улучшенная по штукатурке откосов</v>
      </c>
      <c r="D235" s="50" t="str">
        <f>Source!F50</f>
        <v>15-04-005-03</v>
      </c>
      <c r="E235" s="35" t="str">
        <f>Source!H50</f>
        <v>100 м2</v>
      </c>
      <c r="F235" s="12">
        <f>Source!I50</f>
        <v>0.188</v>
      </c>
      <c r="G235" s="25">
        <f>Source!AB50</f>
        <v>735.94</v>
      </c>
      <c r="H235" s="25">
        <f>Source!O50</f>
        <v>986.48</v>
      </c>
      <c r="T235">
        <f>Source!O50+Source!X50+Source!Y50</f>
        <v>1833.56</v>
      </c>
      <c r="U235">
        <f>Source!P50</f>
        <v>375.73</v>
      </c>
      <c r="V235">
        <f>Source!S50</f>
        <v>593.17999999999995</v>
      </c>
      <c r="W235">
        <f>Source!Q50</f>
        <v>17.57</v>
      </c>
      <c r="X235">
        <f>Source!R50</f>
        <v>3.36</v>
      </c>
      <c r="Y235">
        <f>Source!U50</f>
        <v>9.2749799999999993</v>
      </c>
      <c r="Z235">
        <f>Source!V50</f>
        <v>3.9950000000000006E-2</v>
      </c>
      <c r="AA235">
        <f>Source!X50</f>
        <v>566.71</v>
      </c>
      <c r="AB235">
        <f>Source!Y50</f>
        <v>280.37</v>
      </c>
    </row>
    <row r="236" spans="1:28" ht="14.25" x14ac:dyDescent="0.2">
      <c r="C236" s="26" t="str">
        <f>"Объем: "&amp;Source!I50&amp;"=18,8/"&amp;"100"</f>
        <v>Объем: 0,188=18,8/100</v>
      </c>
      <c r="F236" s="12"/>
      <c r="G236" s="12"/>
      <c r="H236" s="12"/>
    </row>
    <row r="237" spans="1:28" x14ac:dyDescent="0.2">
      <c r="C237" s="26" t="s">
        <v>1831</v>
      </c>
      <c r="D237" s="26">
        <f>Source!BA50</f>
        <v>7.13</v>
      </c>
    </row>
    <row r="238" spans="1:28" x14ac:dyDescent="0.2">
      <c r="C238" s="26" t="s">
        <v>1832</v>
      </c>
      <c r="D238" s="26">
        <f>Source!BB50</f>
        <v>7.13</v>
      </c>
    </row>
    <row r="239" spans="1:28" x14ac:dyDescent="0.2">
      <c r="C239" s="26" t="s">
        <v>1833</v>
      </c>
      <c r="D239" s="26">
        <f>Source!BC50</f>
        <v>7.13</v>
      </c>
    </row>
    <row r="240" spans="1:28" x14ac:dyDescent="0.2">
      <c r="C240" s="26" t="s">
        <v>1834</v>
      </c>
      <c r="D240" s="26">
        <f>Source!BS50</f>
        <v>7.13</v>
      </c>
    </row>
    <row r="241" spans="1:28" x14ac:dyDescent="0.2">
      <c r="C241" s="26" t="s">
        <v>1841</v>
      </c>
      <c r="D241" s="116" t="s">
        <v>81</v>
      </c>
      <c r="E241" s="116"/>
      <c r="F241" s="116"/>
      <c r="G241" s="116"/>
      <c r="H241" s="116"/>
    </row>
    <row r="242" spans="1:28" x14ac:dyDescent="0.2">
      <c r="C242" s="26" t="s">
        <v>1842</v>
      </c>
      <c r="D242" s="116" t="s">
        <v>81</v>
      </c>
      <c r="E242" s="116"/>
      <c r="F242" s="116"/>
      <c r="G242" s="116"/>
      <c r="H242" s="116"/>
    </row>
    <row r="243" spans="1:28" x14ac:dyDescent="0.2">
      <c r="C243" s="26" t="s">
        <v>1843</v>
      </c>
      <c r="D243" s="116" t="s">
        <v>82</v>
      </c>
      <c r="E243" s="116"/>
      <c r="F243" s="116"/>
      <c r="G243" s="116"/>
      <c r="H243" s="116"/>
    </row>
    <row r="244" spans="1:28" x14ac:dyDescent="0.2">
      <c r="C244" s="26" t="s">
        <v>1844</v>
      </c>
      <c r="D244" s="116" t="s">
        <v>82</v>
      </c>
      <c r="E244" s="116"/>
      <c r="F244" s="116"/>
      <c r="G244" s="116"/>
      <c r="H244" s="116"/>
    </row>
    <row r="245" spans="1:28" x14ac:dyDescent="0.2">
      <c r="C245" s="26" t="s">
        <v>1845</v>
      </c>
      <c r="D245" s="116" t="s">
        <v>81</v>
      </c>
      <c r="E245" s="116"/>
      <c r="F245" s="116"/>
      <c r="G245" s="116"/>
      <c r="H245" s="116"/>
    </row>
    <row r="246" spans="1:28" x14ac:dyDescent="0.2">
      <c r="C246" s="9" t="s">
        <v>1835</v>
      </c>
      <c r="D246" s="38"/>
      <c r="E246" s="38"/>
      <c r="F246" s="38">
        <f>Source!BZ50</f>
        <v>105</v>
      </c>
      <c r="G246" s="61">
        <f>(Source!AF50+Source!AE50)*Source!FX50/100</f>
        <v>420.56279999999998</v>
      </c>
      <c r="H246" s="61">
        <f>Source!X50</f>
        <v>566.71</v>
      </c>
    </row>
    <row r="247" spans="1:28" x14ac:dyDescent="0.2">
      <c r="C247" s="9" t="s">
        <v>1836</v>
      </c>
      <c r="D247" s="38"/>
      <c r="E247" s="38"/>
      <c r="F247" s="38"/>
      <c r="G247" s="38" t="str">
        <f>CONCATENATE(Source!DL50,Source!FT50, "=", Source!FX50, "%")</f>
        <v>*0,9=94,5%</v>
      </c>
      <c r="H247" s="38" t="str">
        <f>CONCATENATE(Source!AT50)</f>
        <v>95</v>
      </c>
    </row>
    <row r="248" spans="1:28" x14ac:dyDescent="0.2">
      <c r="C248" s="9" t="s">
        <v>1837</v>
      </c>
      <c r="D248" s="38"/>
      <c r="E248" s="38"/>
      <c r="F248" s="38">
        <f>Source!CA50</f>
        <v>55</v>
      </c>
      <c r="G248" s="61">
        <f>(Source!AF50+Source!AE50)*Source!FY50/100</f>
        <v>208.05619999999999</v>
      </c>
      <c r="H248" s="61">
        <f>Source!Y50</f>
        <v>280.37</v>
      </c>
    </row>
    <row r="249" spans="1:28" x14ac:dyDescent="0.2">
      <c r="C249" s="9" t="s">
        <v>1838</v>
      </c>
      <c r="D249" s="38"/>
      <c r="E249" s="38"/>
      <c r="F249" s="38"/>
      <c r="G249" s="38" t="str">
        <f>CONCATENATE(Source!DM50,Source!FU50, "=", Source!FY50, "%")</f>
        <v>*0,85=46,75%</v>
      </c>
      <c r="H249" s="38" t="str">
        <f>CONCATENATE(Source!AU50)</f>
        <v>47</v>
      </c>
    </row>
    <row r="250" spans="1:28" x14ac:dyDescent="0.2">
      <c r="C250" s="9" t="s">
        <v>1839</v>
      </c>
      <c r="D250" s="38"/>
      <c r="E250" s="38"/>
      <c r="F250" s="38"/>
      <c r="G250" s="61">
        <f>((Source!AF50+Source!AE50)*Source!FX50/100)+((Source!AF50+Source!AE50)*Source!FY50/100)+Source!AB50</f>
        <v>1364.559</v>
      </c>
      <c r="H250" s="61">
        <f>Source!O50+Source!X50+Source!Y50</f>
        <v>1833.56</v>
      </c>
    </row>
    <row r="251" spans="1:28" ht="28.5" x14ac:dyDescent="0.2">
      <c r="A251" s="50">
        <v>24</v>
      </c>
      <c r="B251" s="50" t="str">
        <f>Source!E51</f>
        <v>17,1</v>
      </c>
      <c r="C251" s="50" t="str">
        <f>Source!G51</f>
        <v>Краска водоэмульсионная (согласно тех.заданию)</v>
      </c>
      <c r="D251" s="50" t="str">
        <f>Source!F51</f>
        <v>14.3.02.01-0219</v>
      </c>
      <c r="E251" s="35" t="str">
        <f>Source!H51</f>
        <v>т</v>
      </c>
      <c r="F251" s="12">
        <f>Source!I51</f>
        <v>1.1844E-2</v>
      </c>
      <c r="G251" s="25">
        <f>Source!AB51</f>
        <v>15481</v>
      </c>
      <c r="H251" s="25">
        <f>Source!O51</f>
        <v>1307.3399999999999</v>
      </c>
      <c r="T251">
        <f>Source!O51+Source!X51+Source!Y51</f>
        <v>1307.3399999999999</v>
      </c>
      <c r="U251">
        <f>Source!P51</f>
        <v>1307.3399999999999</v>
      </c>
      <c r="V251">
        <f>Source!S51</f>
        <v>0</v>
      </c>
      <c r="W251">
        <f>Source!Q51</f>
        <v>0</v>
      </c>
      <c r="X251">
        <f>Source!R51</f>
        <v>0</v>
      </c>
      <c r="Y251">
        <f>Source!U51</f>
        <v>0</v>
      </c>
      <c r="Z251">
        <f>Source!V51</f>
        <v>0</v>
      </c>
      <c r="AA251">
        <f>Source!X51</f>
        <v>0</v>
      </c>
      <c r="AB251">
        <f>Source!Y51</f>
        <v>0</v>
      </c>
    </row>
    <row r="252" spans="1:28" ht="14.25" x14ac:dyDescent="0.2">
      <c r="C252" s="26" t="s">
        <v>1833</v>
      </c>
      <c r="D252" s="26">
        <f>Source!BC51</f>
        <v>7.13</v>
      </c>
      <c r="F252" s="12"/>
      <c r="G252" s="12"/>
      <c r="H252" s="12"/>
    </row>
    <row r="253" spans="1:28" ht="28.5" x14ac:dyDescent="0.2">
      <c r="A253" s="50">
        <v>25</v>
      </c>
      <c r="B253" s="50" t="str">
        <f>Source!E52</f>
        <v>18</v>
      </c>
      <c r="C253" s="50" t="str">
        <f>Source!G52</f>
        <v>Укладка металлического накладного профиля (порога)</v>
      </c>
      <c r="D253" s="50" t="str">
        <f>Source!F52</f>
        <v>11-01-049-01</v>
      </c>
      <c r="E253" s="35" t="str">
        <f>Source!H52</f>
        <v>100 м</v>
      </c>
      <c r="F253" s="12">
        <f>Source!I52</f>
        <v>0.14000000000000001</v>
      </c>
      <c r="G253" s="25">
        <f>Source!AB52</f>
        <v>247.64</v>
      </c>
      <c r="H253" s="25">
        <f>Source!O52</f>
        <v>247.2</v>
      </c>
      <c r="T253">
        <f>Source!O52+Source!X52+Source!Y52</f>
        <v>539.34</v>
      </c>
      <c r="U253">
        <f>Source!P52</f>
        <v>80.260000000000005</v>
      </c>
      <c r="V253">
        <f>Source!S52</f>
        <v>166.94</v>
      </c>
      <c r="W253">
        <f>Source!Q52</f>
        <v>0</v>
      </c>
      <c r="X253">
        <f>Source!R52</f>
        <v>0</v>
      </c>
      <c r="Y253">
        <f>Source!U52</f>
        <v>2.6790400000000001</v>
      </c>
      <c r="Z253">
        <f>Source!V52</f>
        <v>0</v>
      </c>
      <c r="AA253">
        <f>Source!X52</f>
        <v>185.3</v>
      </c>
      <c r="AB253">
        <f>Source!Y52</f>
        <v>106.84</v>
      </c>
    </row>
    <row r="254" spans="1:28" ht="14.25" x14ac:dyDescent="0.2">
      <c r="C254" s="26" t="str">
        <f>"Объем: "&amp;Source!I52&amp;"=14/"&amp;"100"</f>
        <v>Объем: 0,14=14/100</v>
      </c>
      <c r="F254" s="12"/>
      <c r="G254" s="12"/>
      <c r="H254" s="12"/>
    </row>
    <row r="255" spans="1:28" x14ac:dyDescent="0.2">
      <c r="C255" s="26" t="s">
        <v>1831</v>
      </c>
      <c r="D255" s="26">
        <f>Source!BA52</f>
        <v>7.13</v>
      </c>
    </row>
    <row r="256" spans="1:28" x14ac:dyDescent="0.2">
      <c r="C256" s="26" t="s">
        <v>1832</v>
      </c>
      <c r="D256" s="26">
        <f>Source!BB52</f>
        <v>7.13</v>
      </c>
    </row>
    <row r="257" spans="1:28" x14ac:dyDescent="0.2">
      <c r="C257" s="26" t="s">
        <v>1833</v>
      </c>
      <c r="D257" s="26">
        <f>Source!BC52</f>
        <v>7.13</v>
      </c>
    </row>
    <row r="258" spans="1:28" x14ac:dyDescent="0.2">
      <c r="C258" s="26" t="s">
        <v>1834</v>
      </c>
      <c r="D258" s="26">
        <f>Source!BS52</f>
        <v>7.13</v>
      </c>
    </row>
    <row r="259" spans="1:28" x14ac:dyDescent="0.2">
      <c r="C259" s="26" t="s">
        <v>1841</v>
      </c>
      <c r="D259" s="116" t="s">
        <v>81</v>
      </c>
      <c r="E259" s="116"/>
      <c r="F259" s="116"/>
      <c r="G259" s="116"/>
      <c r="H259" s="116"/>
    </row>
    <row r="260" spans="1:28" x14ac:dyDescent="0.2">
      <c r="C260" s="26" t="s">
        <v>1842</v>
      </c>
      <c r="D260" s="116" t="s">
        <v>81</v>
      </c>
      <c r="E260" s="116"/>
      <c r="F260" s="116"/>
      <c r="G260" s="116"/>
      <c r="H260" s="116"/>
    </row>
    <row r="261" spans="1:28" x14ac:dyDescent="0.2">
      <c r="C261" s="26" t="s">
        <v>1843</v>
      </c>
      <c r="D261" s="116" t="s">
        <v>82</v>
      </c>
      <c r="E261" s="116"/>
      <c r="F261" s="116"/>
      <c r="G261" s="116"/>
      <c r="H261" s="116"/>
    </row>
    <row r="262" spans="1:28" x14ac:dyDescent="0.2">
      <c r="C262" s="26" t="s">
        <v>1844</v>
      </c>
      <c r="D262" s="116" t="s">
        <v>82</v>
      </c>
      <c r="E262" s="116"/>
      <c r="F262" s="116"/>
      <c r="G262" s="116"/>
      <c r="H262" s="116"/>
    </row>
    <row r="263" spans="1:28" x14ac:dyDescent="0.2">
      <c r="C263" s="26" t="s">
        <v>1845</v>
      </c>
      <c r="D263" s="116" t="s">
        <v>81</v>
      </c>
      <c r="E263" s="116"/>
      <c r="F263" s="116"/>
      <c r="G263" s="116"/>
      <c r="H263" s="116"/>
    </row>
    <row r="264" spans="1:28" x14ac:dyDescent="0.2">
      <c r="C264" s="9" t="s">
        <v>1835</v>
      </c>
      <c r="D264" s="38"/>
      <c r="E264" s="38"/>
      <c r="F264" s="38">
        <f>Source!BZ52</f>
        <v>123</v>
      </c>
      <c r="G264" s="61">
        <f>(Source!AF52+Source!AE52)*Source!FX52/100</f>
        <v>185.13468</v>
      </c>
      <c r="H264" s="61">
        <f>Source!X52</f>
        <v>185.3</v>
      </c>
    </row>
    <row r="265" spans="1:28" x14ac:dyDescent="0.2">
      <c r="C265" s="9" t="s">
        <v>1836</v>
      </c>
      <c r="D265" s="38"/>
      <c r="E265" s="38"/>
      <c r="F265" s="38"/>
      <c r="G265" s="38" t="str">
        <f>CONCATENATE(Source!DL52,Source!FT52, "=", Source!FX52, "%")</f>
        <v>*0,9=110,7%</v>
      </c>
      <c r="H265" s="38" t="str">
        <f>CONCATENATE(Source!AT52)</f>
        <v>111</v>
      </c>
    </row>
    <row r="266" spans="1:28" x14ac:dyDescent="0.2">
      <c r="C266" s="9" t="s">
        <v>1837</v>
      </c>
      <c r="D266" s="38"/>
      <c r="E266" s="38"/>
      <c r="F266" s="38">
        <f>Source!CA52</f>
        <v>75</v>
      </c>
      <c r="G266" s="61">
        <f>(Source!AF52+Source!AE52)*Source!FY52/100</f>
        <v>106.61550000000001</v>
      </c>
      <c r="H266" s="61">
        <f>Source!Y52</f>
        <v>106.84</v>
      </c>
    </row>
    <row r="267" spans="1:28" x14ac:dyDescent="0.2">
      <c r="C267" s="9" t="s">
        <v>1838</v>
      </c>
      <c r="D267" s="38"/>
      <c r="E267" s="38"/>
      <c r="F267" s="38"/>
      <c r="G267" s="38" t="str">
        <f>CONCATENATE(Source!DM52,Source!FU52, "=", Source!FY52, "%")</f>
        <v>*0,85=63,75%</v>
      </c>
      <c r="H267" s="38" t="str">
        <f>CONCATENATE(Source!AU52)</f>
        <v>64</v>
      </c>
    </row>
    <row r="268" spans="1:28" x14ac:dyDescent="0.2">
      <c r="C268" s="9" t="s">
        <v>1839</v>
      </c>
      <c r="D268" s="38"/>
      <c r="E268" s="38"/>
      <c r="F268" s="38"/>
      <c r="G268" s="61">
        <f>((Source!AF52+Source!AE52)*Source!FX52/100)+((Source!AF52+Source!AE52)*Source!FY52/100)+Source!AB52</f>
        <v>539.39017999999999</v>
      </c>
      <c r="H268" s="61">
        <f>Source!O52+Source!X52+Source!Y52</f>
        <v>539.34</v>
      </c>
    </row>
    <row r="269" spans="1:28" ht="42.75" x14ac:dyDescent="0.2">
      <c r="A269" s="50">
        <v>26</v>
      </c>
      <c r="B269" s="50" t="str">
        <f>Source!E53</f>
        <v>18,1</v>
      </c>
      <c r="C269" s="50" t="str">
        <f>Source!G53</f>
        <v>Профили стыкоперекрывающие из алюминиевых сплавов (порожки) с покрытием</v>
      </c>
      <c r="D269" s="50" t="str">
        <f>Source!F53</f>
        <v>09.2.03.02</v>
      </c>
      <c r="E269" s="35" t="str">
        <f>Source!H53</f>
        <v>м</v>
      </c>
      <c r="F269" s="12">
        <f>Source!I53</f>
        <v>14.7</v>
      </c>
      <c r="G269" s="25">
        <f>Source!AB53</f>
        <v>0</v>
      </c>
      <c r="H269" s="25">
        <f>Source!O53</f>
        <v>0</v>
      </c>
      <c r="T269">
        <f>Source!O53+Source!X53+Source!Y53</f>
        <v>0</v>
      </c>
      <c r="U269">
        <f>Source!P53</f>
        <v>0</v>
      </c>
      <c r="V269">
        <f>Source!S53</f>
        <v>0</v>
      </c>
      <c r="W269">
        <f>Source!Q53</f>
        <v>0</v>
      </c>
      <c r="X269">
        <f>Source!R53</f>
        <v>0</v>
      </c>
      <c r="Y269">
        <f>Source!U53</f>
        <v>0</v>
      </c>
      <c r="Z269">
        <f>Source!V53</f>
        <v>0</v>
      </c>
      <c r="AA269">
        <f>Source!X53</f>
        <v>0</v>
      </c>
      <c r="AB269">
        <f>Source!Y53</f>
        <v>0</v>
      </c>
    </row>
    <row r="270" spans="1:28" ht="14.25" x14ac:dyDescent="0.2">
      <c r="C270" s="26" t="s">
        <v>1833</v>
      </c>
      <c r="D270" s="26">
        <f>Source!BC53</f>
        <v>7.13</v>
      </c>
      <c r="F270" s="12"/>
      <c r="G270" s="12"/>
      <c r="H270" s="12"/>
    </row>
    <row r="271" spans="1:28" ht="42.75" x14ac:dyDescent="0.2">
      <c r="A271" s="50">
        <v>27</v>
      </c>
      <c r="B271" s="50" t="str">
        <f>Source!E54</f>
        <v>18,2</v>
      </c>
      <c r="C271" s="50" t="str">
        <f>Source!G54</f>
        <v>Профили стыкоперекрывающие из алюминиевых сплавов (порожки) с покрытием, шириной 60 мм</v>
      </c>
      <c r="D271" s="50" t="str">
        <f>Source!F54</f>
        <v>09.2.03.02-0022</v>
      </c>
      <c r="E271" s="35" t="str">
        <f>Source!H54</f>
        <v>м</v>
      </c>
      <c r="F271" s="12">
        <f>Source!I54</f>
        <v>14.7</v>
      </c>
      <c r="G271" s="25">
        <f>Source!AB54</f>
        <v>22.58</v>
      </c>
      <c r="H271" s="25">
        <f>Source!O54</f>
        <v>2366.63</v>
      </c>
      <c r="T271">
        <f>Source!O54+Source!X54+Source!Y54</f>
        <v>2366.63</v>
      </c>
      <c r="U271">
        <f>Source!P54</f>
        <v>2366.63</v>
      </c>
      <c r="V271">
        <f>Source!S54</f>
        <v>0</v>
      </c>
      <c r="W271">
        <f>Source!Q54</f>
        <v>0</v>
      </c>
      <c r="X271">
        <f>Source!R54</f>
        <v>0</v>
      </c>
      <c r="Y271">
        <f>Source!U54</f>
        <v>0</v>
      </c>
      <c r="Z271">
        <f>Source!V54</f>
        <v>0</v>
      </c>
      <c r="AA271">
        <f>Source!X54</f>
        <v>0</v>
      </c>
      <c r="AB271">
        <f>Source!Y54</f>
        <v>0</v>
      </c>
    </row>
    <row r="272" spans="1:28" ht="14.25" x14ac:dyDescent="0.2">
      <c r="C272" s="26" t="s">
        <v>1833</v>
      </c>
      <c r="D272" s="26">
        <f>Source!BC54</f>
        <v>7.13</v>
      </c>
      <c r="F272" s="12"/>
      <c r="G272" s="12"/>
      <c r="H272" s="12"/>
    </row>
    <row r="273" spans="1:28" ht="28.5" x14ac:dyDescent="0.2">
      <c r="A273" s="50">
        <v>28</v>
      </c>
      <c r="B273" s="50" t="str">
        <f>Source!E55</f>
        <v>19</v>
      </c>
      <c r="C273" s="50" t="str">
        <f>Source!G55</f>
        <v>Установка и крепление наличников</v>
      </c>
      <c r="D273" s="50" t="str">
        <f>Source!F55</f>
        <v>10-01-060-01</v>
      </c>
      <c r="E273" s="35" t="str">
        <f>Source!H55</f>
        <v>100 м</v>
      </c>
      <c r="F273" s="12">
        <f>Source!I55</f>
        <v>2.218</v>
      </c>
      <c r="G273" s="25">
        <f>Source!AB55</f>
        <v>85.26</v>
      </c>
      <c r="H273" s="25">
        <f>Source!O55</f>
        <v>1348.33</v>
      </c>
      <c r="T273">
        <f>Source!O55+Source!X55+Source!Y55</f>
        <v>3222.0099999999998</v>
      </c>
      <c r="U273">
        <f>Source!P55</f>
        <v>134.41999999999999</v>
      </c>
      <c r="V273">
        <f>Source!S55</f>
        <v>1161.8800000000001</v>
      </c>
      <c r="W273">
        <f>Source!Q55</f>
        <v>52.03</v>
      </c>
      <c r="X273">
        <f>Source!R55</f>
        <v>9.17</v>
      </c>
      <c r="Y273">
        <f>Source!U55</f>
        <v>19.946474000000002</v>
      </c>
      <c r="Z273">
        <f>Source!V55</f>
        <v>0.1109</v>
      </c>
      <c r="AA273">
        <f>Source!X55</f>
        <v>1241.31</v>
      </c>
      <c r="AB273">
        <f>Source!Y55</f>
        <v>632.37</v>
      </c>
    </row>
    <row r="274" spans="1:28" ht="14.25" x14ac:dyDescent="0.2">
      <c r="C274" s="26" t="str">
        <f>"Объем: "&amp;Source!I55&amp;"=221,8/"&amp;"100"</f>
        <v>Объем: 2,218=221,8/100</v>
      </c>
      <c r="F274" s="12"/>
      <c r="G274" s="12"/>
      <c r="H274" s="12"/>
    </row>
    <row r="275" spans="1:28" x14ac:dyDescent="0.2">
      <c r="C275" s="26" t="s">
        <v>1831</v>
      </c>
      <c r="D275" s="26">
        <f>Source!BA55</f>
        <v>7.13</v>
      </c>
    </row>
    <row r="276" spans="1:28" x14ac:dyDescent="0.2">
      <c r="C276" s="26" t="s">
        <v>1832</v>
      </c>
      <c r="D276" s="26">
        <f>Source!BB55</f>
        <v>7.13</v>
      </c>
    </row>
    <row r="277" spans="1:28" x14ac:dyDescent="0.2">
      <c r="C277" s="26" t="s">
        <v>1833</v>
      </c>
      <c r="D277" s="26">
        <f>Source!BC55</f>
        <v>7.13</v>
      </c>
    </row>
    <row r="278" spans="1:28" x14ac:dyDescent="0.2">
      <c r="C278" s="26" t="s">
        <v>1834</v>
      </c>
      <c r="D278" s="26">
        <f>Source!BS55</f>
        <v>7.13</v>
      </c>
    </row>
    <row r="279" spans="1:28" x14ac:dyDescent="0.2">
      <c r="C279" s="26" t="s">
        <v>1841</v>
      </c>
      <c r="D279" s="116" t="s">
        <v>81</v>
      </c>
      <c r="E279" s="116"/>
      <c r="F279" s="116"/>
      <c r="G279" s="116"/>
      <c r="H279" s="116"/>
    </row>
    <row r="280" spans="1:28" x14ac:dyDescent="0.2">
      <c r="C280" s="26" t="s">
        <v>1842</v>
      </c>
      <c r="D280" s="116" t="s">
        <v>81</v>
      </c>
      <c r="E280" s="116"/>
      <c r="F280" s="116"/>
      <c r="G280" s="116"/>
      <c r="H280" s="116"/>
    </row>
    <row r="281" spans="1:28" x14ac:dyDescent="0.2">
      <c r="C281" s="26" t="s">
        <v>1843</v>
      </c>
      <c r="D281" s="116" t="s">
        <v>82</v>
      </c>
      <c r="E281" s="116"/>
      <c r="F281" s="116"/>
      <c r="G281" s="116"/>
      <c r="H281" s="116"/>
    </row>
    <row r="282" spans="1:28" x14ac:dyDescent="0.2">
      <c r="C282" s="26" t="s">
        <v>1844</v>
      </c>
      <c r="D282" s="116" t="s">
        <v>82</v>
      </c>
      <c r="E282" s="116"/>
      <c r="F282" s="116"/>
      <c r="G282" s="116"/>
      <c r="H282" s="116"/>
    </row>
    <row r="283" spans="1:28" x14ac:dyDescent="0.2">
      <c r="C283" s="26" t="s">
        <v>1845</v>
      </c>
      <c r="D283" s="116" t="s">
        <v>81</v>
      </c>
      <c r="E283" s="116"/>
      <c r="F283" s="116"/>
      <c r="G283" s="116"/>
      <c r="H283" s="116"/>
    </row>
    <row r="284" spans="1:28" x14ac:dyDescent="0.2">
      <c r="C284" s="9" t="s">
        <v>1835</v>
      </c>
      <c r="D284" s="38"/>
      <c r="E284" s="38"/>
      <c r="F284" s="38">
        <f>Source!BZ55</f>
        <v>118</v>
      </c>
      <c r="G284" s="61">
        <f>(Source!AF55+Source!AE55)*Source!FX55/100</f>
        <v>78.641099999999994</v>
      </c>
      <c r="H284" s="61">
        <f>Source!X55</f>
        <v>1241.31</v>
      </c>
    </row>
    <row r="285" spans="1:28" x14ac:dyDescent="0.2">
      <c r="C285" s="9" t="s">
        <v>1836</v>
      </c>
      <c r="D285" s="38"/>
      <c r="E285" s="38"/>
      <c r="F285" s="38"/>
      <c r="G285" s="38" t="str">
        <f>CONCATENATE(Source!DL55,Source!FT55, "=", Source!FX55, "%")</f>
        <v>*0,9=106,2%</v>
      </c>
      <c r="H285" s="38" t="str">
        <f>CONCATENATE(Source!AT55)</f>
        <v>106</v>
      </c>
    </row>
    <row r="286" spans="1:28" x14ac:dyDescent="0.2">
      <c r="C286" s="9" t="s">
        <v>1837</v>
      </c>
      <c r="D286" s="38"/>
      <c r="E286" s="38"/>
      <c r="F286" s="38">
        <f>Source!CA55</f>
        <v>63</v>
      </c>
      <c r="G286" s="61">
        <f>(Source!AF55+Source!AE55)*Source!FY55/100</f>
        <v>39.653774999999996</v>
      </c>
      <c r="H286" s="61">
        <f>Source!Y55</f>
        <v>632.37</v>
      </c>
    </row>
    <row r="287" spans="1:28" x14ac:dyDescent="0.2">
      <c r="C287" s="9" t="s">
        <v>1838</v>
      </c>
      <c r="D287" s="38"/>
      <c r="E287" s="38"/>
      <c r="F287" s="38"/>
      <c r="G287" s="38" t="str">
        <f>CONCATENATE(Source!DM55,Source!FU55, "=", Source!FY55, "%")</f>
        <v>*0,85=53,55%</v>
      </c>
      <c r="H287" s="38" t="str">
        <f>CONCATENATE(Source!AU55)</f>
        <v>54</v>
      </c>
    </row>
    <row r="288" spans="1:28" x14ac:dyDescent="0.2">
      <c r="C288" s="9" t="s">
        <v>1839</v>
      </c>
      <c r="D288" s="38"/>
      <c r="E288" s="38"/>
      <c r="F288" s="38"/>
      <c r="G288" s="61">
        <f>((Source!AF55+Source!AE55)*Source!FX55/100)+((Source!AF55+Source!AE55)*Source!FY55/100)+Source!AB55</f>
        <v>203.55487499999998</v>
      </c>
      <c r="H288" s="61">
        <f>Source!O55+Source!X55+Source!Y55</f>
        <v>3222.0099999999998</v>
      </c>
    </row>
    <row r="289" spans="1:28" ht="14.25" x14ac:dyDescent="0.2">
      <c r="A289" s="50">
        <v>29</v>
      </c>
      <c r="B289" s="50" t="str">
        <f>Source!E56</f>
        <v>19,1</v>
      </c>
      <c r="C289" s="50" t="str">
        <f>Source!G56</f>
        <v>Наличники</v>
      </c>
      <c r="D289" s="50" t="str">
        <f>Source!F56</f>
        <v>11.1.01.10</v>
      </c>
      <c r="E289" s="35" t="str">
        <f>Source!H56</f>
        <v>м</v>
      </c>
      <c r="F289" s="12">
        <f>Source!I56</f>
        <v>248.416</v>
      </c>
      <c r="G289" s="25">
        <f>Source!AB56</f>
        <v>0</v>
      </c>
      <c r="H289" s="25">
        <f>Source!O56</f>
        <v>0</v>
      </c>
      <c r="T289">
        <f>Source!O56+Source!X56+Source!Y56</f>
        <v>0</v>
      </c>
      <c r="U289">
        <f>Source!P56</f>
        <v>0</v>
      </c>
      <c r="V289">
        <f>Source!S56</f>
        <v>0</v>
      </c>
      <c r="W289">
        <f>Source!Q56</f>
        <v>0</v>
      </c>
      <c r="X289">
        <f>Source!R56</f>
        <v>0</v>
      </c>
      <c r="Y289">
        <f>Source!U56</f>
        <v>0</v>
      </c>
      <c r="Z289">
        <f>Source!V56</f>
        <v>0</v>
      </c>
      <c r="AA289">
        <f>Source!X56</f>
        <v>0</v>
      </c>
      <c r="AB289">
        <f>Source!Y56</f>
        <v>0</v>
      </c>
    </row>
    <row r="290" spans="1:28" ht="14.25" x14ac:dyDescent="0.2">
      <c r="C290" s="26" t="s">
        <v>1833</v>
      </c>
      <c r="D290" s="26">
        <f>Source!BC56</f>
        <v>7.13</v>
      </c>
      <c r="F290" s="12"/>
      <c r="G290" s="12"/>
      <c r="H290" s="12"/>
    </row>
    <row r="291" spans="1:28" ht="28.5" x14ac:dyDescent="0.2">
      <c r="A291" s="50">
        <v>30</v>
      </c>
      <c r="B291" s="50" t="str">
        <f>Source!E57</f>
        <v>19,2</v>
      </c>
      <c r="C291" s="50" t="str">
        <f>Source!G57</f>
        <v>Наличники из древесины</v>
      </c>
      <c r="D291" s="50" t="str">
        <f>Source!F57</f>
        <v>11.1.01.10-0003</v>
      </c>
      <c r="E291" s="35" t="str">
        <f>Source!H57</f>
        <v>м</v>
      </c>
      <c r="F291" s="12">
        <f>Source!I57</f>
        <v>102</v>
      </c>
      <c r="G291" s="25">
        <f>Source!AB57</f>
        <v>3.93</v>
      </c>
      <c r="H291" s="25">
        <f>Source!O57</f>
        <v>2858.13</v>
      </c>
      <c r="T291">
        <f>Source!O57+Source!X57+Source!Y57</f>
        <v>2858.13</v>
      </c>
      <c r="U291">
        <f>Source!P57</f>
        <v>2858.13</v>
      </c>
      <c r="V291">
        <f>Source!S57</f>
        <v>0</v>
      </c>
      <c r="W291">
        <f>Source!Q57</f>
        <v>0</v>
      </c>
      <c r="X291">
        <f>Source!R57</f>
        <v>0</v>
      </c>
      <c r="Y291">
        <f>Source!U57</f>
        <v>0</v>
      </c>
      <c r="Z291">
        <f>Source!V57</f>
        <v>0</v>
      </c>
      <c r="AA291">
        <f>Source!X57</f>
        <v>0</v>
      </c>
      <c r="AB291">
        <f>Source!Y57</f>
        <v>0</v>
      </c>
    </row>
    <row r="292" spans="1:28" ht="14.25" x14ac:dyDescent="0.2">
      <c r="C292" s="26" t="s">
        <v>1833</v>
      </c>
      <c r="D292" s="26">
        <f>Source!BC57</f>
        <v>7.13</v>
      </c>
      <c r="F292" s="12"/>
      <c r="G292" s="12"/>
      <c r="H292" s="12"/>
    </row>
    <row r="293" spans="1:28" ht="28.5" x14ac:dyDescent="0.2">
      <c r="A293" s="50">
        <v>31</v>
      </c>
      <c r="B293" s="50" t="str">
        <f>Source!E58</f>
        <v>19,3</v>
      </c>
      <c r="C293" s="50" t="str">
        <f>Source!G58</f>
        <v>Наличники из ПВХ</v>
      </c>
      <c r="D293" s="50" t="str">
        <f>Source!F58</f>
        <v>11.3.03.02-0001</v>
      </c>
      <c r="E293" s="35" t="str">
        <f>Source!H58</f>
        <v>м</v>
      </c>
      <c r="F293" s="12">
        <f>Source!I58</f>
        <v>119.8</v>
      </c>
      <c r="G293" s="25">
        <f>Source!AB58</f>
        <v>19.37</v>
      </c>
      <c r="H293" s="25">
        <f>Source!O58</f>
        <v>16545.349999999999</v>
      </c>
      <c r="T293">
        <f>Source!O58+Source!X58+Source!Y58</f>
        <v>16545.349999999999</v>
      </c>
      <c r="U293">
        <f>Source!P58</f>
        <v>16545.349999999999</v>
      </c>
      <c r="V293">
        <f>Source!S58</f>
        <v>0</v>
      </c>
      <c r="W293">
        <f>Source!Q58</f>
        <v>0</v>
      </c>
      <c r="X293">
        <f>Source!R58</f>
        <v>0</v>
      </c>
      <c r="Y293">
        <f>Source!U58</f>
        <v>0</v>
      </c>
      <c r="Z293">
        <f>Source!V58</f>
        <v>0</v>
      </c>
      <c r="AA293">
        <f>Source!X58</f>
        <v>0</v>
      </c>
      <c r="AB293">
        <f>Source!Y58</f>
        <v>0</v>
      </c>
    </row>
    <row r="294" spans="1:28" ht="14.25" x14ac:dyDescent="0.2">
      <c r="C294" s="26" t="s">
        <v>1833</v>
      </c>
      <c r="D294" s="26">
        <f>Source!BC58</f>
        <v>7.13</v>
      </c>
      <c r="F294" s="12"/>
      <c r="G294" s="12"/>
      <c r="H294" s="12"/>
    </row>
    <row r="295" spans="1:28" ht="57" x14ac:dyDescent="0.2">
      <c r="A295" s="50">
        <v>32</v>
      </c>
      <c r="B295" s="50" t="str">
        <f>Source!E59</f>
        <v>20</v>
      </c>
      <c r="C295" s="50" t="str">
        <f>Source!G59</f>
        <v>Установка блоков в наружных и внутренних дверных проемах в каменных стенах, площадь проема до 3 м2</v>
      </c>
      <c r="D295" s="50" t="str">
        <f>Source!F59</f>
        <v>10-01-039-01</v>
      </c>
      <c r="E295" s="35" t="str">
        <f>Source!H59</f>
        <v>100 м2</v>
      </c>
      <c r="F295" s="12">
        <f>Source!I59</f>
        <v>0.34860000000000002</v>
      </c>
      <c r="G295" s="25">
        <f>Source!AB59</f>
        <v>3858.97</v>
      </c>
      <c r="H295" s="25">
        <f>Source!O59</f>
        <v>9591.5499999999993</v>
      </c>
      <c r="T295">
        <f>Source!O59+Source!X59+Source!Y59</f>
        <v>14115.39</v>
      </c>
      <c r="U295">
        <f>Source!P59</f>
        <v>4234.88</v>
      </c>
      <c r="V295">
        <f>Source!S59</f>
        <v>2349.2399999999998</v>
      </c>
      <c r="W295">
        <f>Source!Q59</f>
        <v>3007.43</v>
      </c>
      <c r="X295">
        <f>Source!R59</f>
        <v>478.16</v>
      </c>
      <c r="Y295">
        <f>Source!U59</f>
        <v>35.891681699999999</v>
      </c>
      <c r="Z295">
        <f>Source!V59</f>
        <v>5.0895600000000005</v>
      </c>
      <c r="AA295">
        <f>Source!X59</f>
        <v>2997.04</v>
      </c>
      <c r="AB295">
        <f>Source!Y59</f>
        <v>1526.8</v>
      </c>
    </row>
    <row r="296" spans="1:28" ht="14.25" x14ac:dyDescent="0.2">
      <c r="C296" s="26" t="str">
        <f>"Объем: "&amp;Source!I59&amp;"=34,86/"&amp;"100"</f>
        <v>Объем: 0,3486=34,86/100</v>
      </c>
      <c r="F296" s="12"/>
      <c r="G296" s="12"/>
      <c r="H296" s="12"/>
    </row>
    <row r="297" spans="1:28" x14ac:dyDescent="0.2">
      <c r="C297" s="26" t="s">
        <v>1831</v>
      </c>
      <c r="D297" s="26">
        <f>Source!BA59</f>
        <v>7.13</v>
      </c>
    </row>
    <row r="298" spans="1:28" x14ac:dyDescent="0.2">
      <c r="C298" s="26" t="s">
        <v>1832</v>
      </c>
      <c r="D298" s="26">
        <f>Source!BB59</f>
        <v>7.13</v>
      </c>
    </row>
    <row r="299" spans="1:28" x14ac:dyDescent="0.2">
      <c r="C299" s="26" t="s">
        <v>1833</v>
      </c>
      <c r="D299" s="26">
        <f>Source!BC59</f>
        <v>7.13</v>
      </c>
    </row>
    <row r="300" spans="1:28" x14ac:dyDescent="0.2">
      <c r="C300" s="26" t="s">
        <v>1834</v>
      </c>
      <c r="D300" s="26">
        <f>Source!BS59</f>
        <v>7.13</v>
      </c>
    </row>
    <row r="301" spans="1:28" x14ac:dyDescent="0.2">
      <c r="C301" s="26" t="s">
        <v>1841</v>
      </c>
      <c r="D301" s="116" t="s">
        <v>81</v>
      </c>
      <c r="E301" s="116"/>
      <c r="F301" s="116"/>
      <c r="G301" s="116"/>
      <c r="H301" s="116"/>
    </row>
    <row r="302" spans="1:28" x14ac:dyDescent="0.2">
      <c r="C302" s="26" t="s">
        <v>1842</v>
      </c>
      <c r="D302" s="116" t="s">
        <v>81</v>
      </c>
      <c r="E302" s="116"/>
      <c r="F302" s="116"/>
      <c r="G302" s="116"/>
      <c r="H302" s="116"/>
    </row>
    <row r="303" spans="1:28" x14ac:dyDescent="0.2">
      <c r="C303" s="26" t="s">
        <v>1843</v>
      </c>
      <c r="D303" s="116" t="s">
        <v>82</v>
      </c>
      <c r="E303" s="116"/>
      <c r="F303" s="116"/>
      <c r="G303" s="116"/>
      <c r="H303" s="116"/>
    </row>
    <row r="304" spans="1:28" x14ac:dyDescent="0.2">
      <c r="C304" s="26" t="s">
        <v>1844</v>
      </c>
      <c r="D304" s="116" t="s">
        <v>82</v>
      </c>
      <c r="E304" s="116"/>
      <c r="F304" s="116"/>
      <c r="G304" s="116"/>
      <c r="H304" s="116"/>
    </row>
    <row r="305" spans="1:28" x14ac:dyDescent="0.2">
      <c r="C305" s="26" t="s">
        <v>1845</v>
      </c>
      <c r="D305" s="116" t="s">
        <v>81</v>
      </c>
      <c r="E305" s="116"/>
      <c r="F305" s="116"/>
      <c r="G305" s="116"/>
      <c r="H305" s="116"/>
    </row>
    <row r="306" spans="1:28" x14ac:dyDescent="0.2">
      <c r="C306" s="9" t="s">
        <v>1835</v>
      </c>
      <c r="D306" s="38"/>
      <c r="E306" s="38"/>
      <c r="F306" s="38">
        <f>Source!BZ59</f>
        <v>118</v>
      </c>
      <c r="G306" s="61">
        <f>(Source!AF59+Source!AE59)*Source!FX59/100</f>
        <v>1208.0780999999999</v>
      </c>
      <c r="H306" s="61">
        <f>Source!X59</f>
        <v>2997.04</v>
      </c>
    </row>
    <row r="307" spans="1:28" x14ac:dyDescent="0.2">
      <c r="C307" s="9" t="s">
        <v>1836</v>
      </c>
      <c r="D307" s="38"/>
      <c r="E307" s="38"/>
      <c r="F307" s="38"/>
      <c r="G307" s="38" t="str">
        <f>CONCATENATE(Source!DL59,Source!FT59, "=", Source!FX59, "%")</f>
        <v>*0,9=106,2%</v>
      </c>
      <c r="H307" s="38" t="str">
        <f>CONCATENATE(Source!AT59)</f>
        <v>106</v>
      </c>
    </row>
    <row r="308" spans="1:28" x14ac:dyDescent="0.2">
      <c r="C308" s="9" t="s">
        <v>1837</v>
      </c>
      <c r="D308" s="38"/>
      <c r="E308" s="38"/>
      <c r="F308" s="38">
        <f>Source!CA59</f>
        <v>63</v>
      </c>
      <c r="G308" s="61">
        <f>(Source!AF59+Source!AE59)*Source!FY59/100</f>
        <v>609.15802499999995</v>
      </c>
      <c r="H308" s="61">
        <f>Source!Y59</f>
        <v>1526.8</v>
      </c>
    </row>
    <row r="309" spans="1:28" x14ac:dyDescent="0.2">
      <c r="C309" s="9" t="s">
        <v>1838</v>
      </c>
      <c r="D309" s="38"/>
      <c r="E309" s="38"/>
      <c r="F309" s="38"/>
      <c r="G309" s="38" t="str">
        <f>CONCATENATE(Source!DM59,Source!FU59, "=", Source!FY59, "%")</f>
        <v>*0,85=53,55%</v>
      </c>
      <c r="H309" s="38" t="str">
        <f>CONCATENATE(Source!AU59)</f>
        <v>54</v>
      </c>
    </row>
    <row r="310" spans="1:28" x14ac:dyDescent="0.2">
      <c r="C310" s="9" t="s">
        <v>1839</v>
      </c>
      <c r="D310" s="38"/>
      <c r="E310" s="38"/>
      <c r="F310" s="38"/>
      <c r="G310" s="61">
        <f>((Source!AF59+Source!AE59)*Source!FX59/100)+((Source!AF59+Source!AE59)*Source!FY59/100)+Source!AB59</f>
        <v>5676.2061249999997</v>
      </c>
      <c r="H310" s="61">
        <f>Source!O59+Source!X59+Source!Y59</f>
        <v>14115.39</v>
      </c>
    </row>
    <row r="311" spans="1:28" ht="28.5" x14ac:dyDescent="0.2">
      <c r="A311" s="50">
        <v>33</v>
      </c>
      <c r="B311" s="50" t="str">
        <f>Source!E60</f>
        <v>20,1</v>
      </c>
      <c r="C311" s="50" t="str">
        <f>Source!G60</f>
        <v>Скобяные изделия для блоков входных однопольных</v>
      </c>
      <c r="D311" s="50" t="str">
        <f>Source!F60</f>
        <v>01.7.04.07-0011</v>
      </c>
      <c r="E311" s="35" t="str">
        <f>Source!H60</f>
        <v>компл.</v>
      </c>
      <c r="F311" s="12">
        <f>Source!I60</f>
        <v>22</v>
      </c>
      <c r="G311" s="25">
        <f>Source!AB60</f>
        <v>94.68</v>
      </c>
      <c r="H311" s="25">
        <f>Source!O60</f>
        <v>14851.5</v>
      </c>
      <c r="T311">
        <f>Source!O60+Source!X60+Source!Y60</f>
        <v>14851.5</v>
      </c>
      <c r="U311">
        <f>Source!P60</f>
        <v>14851.5</v>
      </c>
      <c r="V311">
        <f>Source!S60</f>
        <v>0</v>
      </c>
      <c r="W311">
        <f>Source!Q60</f>
        <v>0</v>
      </c>
      <c r="X311">
        <f>Source!R60</f>
        <v>0</v>
      </c>
      <c r="Y311">
        <f>Source!U60</f>
        <v>0</v>
      </c>
      <c r="Z311">
        <f>Source!V60</f>
        <v>0</v>
      </c>
      <c r="AA311">
        <f>Source!X60</f>
        <v>0</v>
      </c>
      <c r="AB311">
        <f>Source!Y60</f>
        <v>0</v>
      </c>
    </row>
    <row r="312" spans="1:28" ht="14.25" x14ac:dyDescent="0.2">
      <c r="C312" s="26" t="s">
        <v>1833</v>
      </c>
      <c r="D312" s="26">
        <f>Source!BC60</f>
        <v>7.13</v>
      </c>
      <c r="F312" s="12"/>
      <c r="G312" s="12"/>
      <c r="H312" s="12"/>
    </row>
    <row r="313" spans="1:28" ht="71.25" x14ac:dyDescent="0.2">
      <c r="A313" s="50">
        <v>34</v>
      </c>
      <c r="B313" s="50" t="str">
        <f>Source!E61</f>
        <v>20,2</v>
      </c>
      <c r="C313" s="50" t="str">
        <f>Source!G61</f>
        <v>Двери композитные "КАПЕЛЬ" (полотно, коробка, 2 петли, магнитный механизм замка)  с вентиляционной решеткой (7 шт), с ограничителем открывания (10 шт)</v>
      </c>
      <c r="D313" s="50" t="str">
        <f>Source!F61</f>
        <v>11.3.01.05-0021</v>
      </c>
      <c r="E313" s="35" t="str">
        <f>Source!H61</f>
        <v>компл.</v>
      </c>
      <c r="F313" s="12">
        <f>Source!I61</f>
        <v>10</v>
      </c>
      <c r="G313" s="25">
        <f>Source!AB61</f>
        <v>764.1</v>
      </c>
      <c r="H313" s="25">
        <f>Source!O61</f>
        <v>54480.33</v>
      </c>
      <c r="T313">
        <f>Source!O61+Source!X61+Source!Y61</f>
        <v>54480.33</v>
      </c>
      <c r="U313">
        <f>Source!P61</f>
        <v>54480.33</v>
      </c>
      <c r="V313">
        <f>Source!S61</f>
        <v>0</v>
      </c>
      <c r="W313">
        <f>Source!Q61</f>
        <v>0</v>
      </c>
      <c r="X313">
        <f>Source!R61</f>
        <v>0</v>
      </c>
      <c r="Y313">
        <f>Source!U61</f>
        <v>0</v>
      </c>
      <c r="Z313">
        <f>Source!V61</f>
        <v>0</v>
      </c>
      <c r="AA313">
        <f>Source!X61</f>
        <v>0</v>
      </c>
      <c r="AB313">
        <f>Source!Y61</f>
        <v>0</v>
      </c>
    </row>
    <row r="314" spans="1:28" ht="14.25" x14ac:dyDescent="0.2">
      <c r="C314" s="26" t="s">
        <v>1833</v>
      </c>
      <c r="D314" s="26">
        <f>Source!BC61</f>
        <v>7.13</v>
      </c>
      <c r="F314" s="12"/>
      <c r="G314" s="12"/>
      <c r="H314" s="12"/>
    </row>
    <row r="315" spans="1:28" ht="57" x14ac:dyDescent="0.2">
      <c r="A315" s="50">
        <v>35</v>
      </c>
      <c r="B315" s="50" t="str">
        <f>Source!E62</f>
        <v>20,3</v>
      </c>
      <c r="C315" s="50" t="str">
        <f>Source!G62</f>
        <v>Блоки дверные однопольные с полотном глухим ДГ 21-9, площадь 1,80 м2; ДГ 21-10, площадь 2,01 м2 с ограничителем открывания (10 шт)</v>
      </c>
      <c r="D315" s="50" t="str">
        <f>Source!F62</f>
        <v>11.2.02.01-0072</v>
      </c>
      <c r="E315" s="35" t="str">
        <f>Source!H62</f>
        <v>м2</v>
      </c>
      <c r="F315" s="12">
        <f>Source!I62</f>
        <v>18.899999999999999</v>
      </c>
      <c r="G315" s="25">
        <f>Source!AB62</f>
        <v>214.7</v>
      </c>
      <c r="H315" s="25">
        <f>Source!O62</f>
        <v>28932.33</v>
      </c>
      <c r="T315">
        <f>Source!O62+Source!X62+Source!Y62</f>
        <v>28932.33</v>
      </c>
      <c r="U315">
        <f>Source!P62</f>
        <v>28932.33</v>
      </c>
      <c r="V315">
        <f>Source!S62</f>
        <v>0</v>
      </c>
      <c r="W315">
        <f>Source!Q62</f>
        <v>0</v>
      </c>
      <c r="X315">
        <f>Source!R62</f>
        <v>0</v>
      </c>
      <c r="Y315">
        <f>Source!U62</f>
        <v>0</v>
      </c>
      <c r="Z315">
        <f>Source!V62</f>
        <v>0</v>
      </c>
      <c r="AA315">
        <f>Source!X62</f>
        <v>0</v>
      </c>
      <c r="AB315">
        <f>Source!Y62</f>
        <v>0</v>
      </c>
    </row>
    <row r="316" spans="1:28" ht="14.25" x14ac:dyDescent="0.2">
      <c r="C316" s="26" t="s">
        <v>1833</v>
      </c>
      <c r="D316" s="26">
        <f>Source!BC62</f>
        <v>7.13</v>
      </c>
      <c r="F316" s="12"/>
      <c r="G316" s="12"/>
      <c r="H316" s="12"/>
    </row>
    <row r="317" spans="1:28" ht="28.5" x14ac:dyDescent="0.2">
      <c r="A317" s="50">
        <v>36</v>
      </c>
      <c r="B317" s="50" t="str">
        <f>Source!E63</f>
        <v>21</v>
      </c>
      <c r="C317" s="50" t="str">
        <f>Source!G63</f>
        <v>Установка металлических дверных блоков в готовые проемы</v>
      </c>
      <c r="D317" s="50" t="str">
        <f>Source!F63</f>
        <v>09-04-012-01</v>
      </c>
      <c r="E317" s="35" t="str">
        <f>Source!H63</f>
        <v>м2</v>
      </c>
      <c r="F317" s="12">
        <f>Source!I63</f>
        <v>3.78</v>
      </c>
      <c r="G317" s="25">
        <f>Source!AB63</f>
        <v>71.11</v>
      </c>
      <c r="H317" s="25">
        <f>Source!O63</f>
        <v>1916.51</v>
      </c>
      <c r="T317">
        <f>Source!O63+Source!X63+Source!Y63</f>
        <v>3146.99</v>
      </c>
      <c r="U317">
        <f>Source!P63</f>
        <v>693.19</v>
      </c>
      <c r="V317">
        <f>Source!S63</f>
        <v>737.93</v>
      </c>
      <c r="W317">
        <f>Source!Q63</f>
        <v>485.39</v>
      </c>
      <c r="X317">
        <f>Source!R63</f>
        <v>66.3</v>
      </c>
      <c r="Y317">
        <f>Source!U63</f>
        <v>10.432799999999999</v>
      </c>
      <c r="Z317">
        <f>Source!V63</f>
        <v>0.80325000000000002</v>
      </c>
      <c r="AA317">
        <f>Source!X63</f>
        <v>651.42999999999995</v>
      </c>
      <c r="AB317">
        <f>Source!Y63</f>
        <v>579.04999999999995</v>
      </c>
    </row>
    <row r="318" spans="1:28" ht="14.25" x14ac:dyDescent="0.2">
      <c r="C318" s="26" t="s">
        <v>1831</v>
      </c>
      <c r="D318" s="26">
        <f>Source!BA63</f>
        <v>7.13</v>
      </c>
      <c r="F318" s="12"/>
      <c r="G318" s="12"/>
      <c r="H318" s="12"/>
    </row>
    <row r="319" spans="1:28" x14ac:dyDescent="0.2">
      <c r="C319" s="26" t="s">
        <v>1832</v>
      </c>
      <c r="D319" s="26">
        <f>Source!BB63</f>
        <v>7.13</v>
      </c>
    </row>
    <row r="320" spans="1:28" x14ac:dyDescent="0.2">
      <c r="C320" s="26" t="s">
        <v>1833</v>
      </c>
      <c r="D320" s="26">
        <f>Source!BC63</f>
        <v>7.13</v>
      </c>
    </row>
    <row r="321" spans="1:28" x14ac:dyDescent="0.2">
      <c r="C321" s="26" t="s">
        <v>1834</v>
      </c>
      <c r="D321" s="26">
        <f>Source!BS63</f>
        <v>7.13</v>
      </c>
    </row>
    <row r="322" spans="1:28" x14ac:dyDescent="0.2">
      <c r="C322" s="26" t="s">
        <v>1841</v>
      </c>
      <c r="D322" s="116" t="s">
        <v>81</v>
      </c>
      <c r="E322" s="116"/>
      <c r="F322" s="116"/>
      <c r="G322" s="116"/>
      <c r="H322" s="116"/>
    </row>
    <row r="323" spans="1:28" x14ac:dyDescent="0.2">
      <c r="C323" s="26" t="s">
        <v>1842</v>
      </c>
      <c r="D323" s="116" t="s">
        <v>81</v>
      </c>
      <c r="E323" s="116"/>
      <c r="F323" s="116"/>
      <c r="G323" s="116"/>
      <c r="H323" s="116"/>
    </row>
    <row r="324" spans="1:28" x14ac:dyDescent="0.2">
      <c r="C324" s="26" t="s">
        <v>1843</v>
      </c>
      <c r="D324" s="116" t="s">
        <v>82</v>
      </c>
      <c r="E324" s="116"/>
      <c r="F324" s="116"/>
      <c r="G324" s="116"/>
      <c r="H324" s="116"/>
    </row>
    <row r="325" spans="1:28" x14ac:dyDescent="0.2">
      <c r="C325" s="26" t="s">
        <v>1844</v>
      </c>
      <c r="D325" s="116" t="s">
        <v>82</v>
      </c>
      <c r="E325" s="116"/>
      <c r="F325" s="116"/>
      <c r="G325" s="116"/>
      <c r="H325" s="116"/>
    </row>
    <row r="326" spans="1:28" x14ac:dyDescent="0.2">
      <c r="C326" s="26" t="s">
        <v>1845</v>
      </c>
      <c r="D326" s="116" t="s">
        <v>81</v>
      </c>
      <c r="E326" s="116"/>
      <c r="F326" s="116"/>
      <c r="G326" s="116"/>
      <c r="H326" s="116"/>
    </row>
    <row r="327" spans="1:28" x14ac:dyDescent="0.2">
      <c r="C327" s="9" t="s">
        <v>1835</v>
      </c>
      <c r="D327" s="38"/>
      <c r="E327" s="38"/>
      <c r="F327" s="38">
        <f>Source!BZ63</f>
        <v>90</v>
      </c>
      <c r="G327" s="61">
        <f>(Source!AF63+Source!AE63)*Source!FX63/100</f>
        <v>24.170400000000001</v>
      </c>
      <c r="H327" s="61">
        <f>Source!X63</f>
        <v>651.42999999999995</v>
      </c>
    </row>
    <row r="328" spans="1:28" x14ac:dyDescent="0.2">
      <c r="C328" s="9" t="s">
        <v>1836</v>
      </c>
      <c r="D328" s="38"/>
      <c r="E328" s="38"/>
      <c r="F328" s="38"/>
      <c r="G328" s="38" t="str">
        <f>CONCATENATE(Source!DL63,Source!FT63, "=", Source!FX63, "%")</f>
        <v>*0,9=81%</v>
      </c>
      <c r="H328" s="38" t="str">
        <f>CONCATENATE(Source!AT63)</f>
        <v>81</v>
      </c>
    </row>
    <row r="329" spans="1:28" x14ac:dyDescent="0.2">
      <c r="C329" s="9" t="s">
        <v>1837</v>
      </c>
      <c r="D329" s="38"/>
      <c r="E329" s="38"/>
      <c r="F329" s="38">
        <f>Source!CA63</f>
        <v>85</v>
      </c>
      <c r="G329" s="61">
        <f>(Source!AF63+Source!AE63)*Source!FY63/100</f>
        <v>21.5594</v>
      </c>
      <c r="H329" s="61">
        <f>Source!Y63</f>
        <v>579.04999999999995</v>
      </c>
    </row>
    <row r="330" spans="1:28" x14ac:dyDescent="0.2">
      <c r="C330" s="9" t="s">
        <v>1838</v>
      </c>
      <c r="D330" s="38"/>
      <c r="E330" s="38"/>
      <c r="F330" s="38"/>
      <c r="G330" s="38" t="str">
        <f>CONCATENATE(Source!DM63,Source!FU63, "=", Source!FY63, "%")</f>
        <v>*0,85=72,25%</v>
      </c>
      <c r="H330" s="38" t="str">
        <f>CONCATENATE(Source!AU63)</f>
        <v>72</v>
      </c>
    </row>
    <row r="331" spans="1:28" x14ac:dyDescent="0.2">
      <c r="C331" s="9" t="s">
        <v>1839</v>
      </c>
      <c r="D331" s="38"/>
      <c r="E331" s="38"/>
      <c r="F331" s="38"/>
      <c r="G331" s="61">
        <f>((Source!AF63+Source!AE63)*Source!FX63/100)+((Source!AF63+Source!AE63)*Source!FY63/100)+Source!AB63</f>
        <v>116.8398</v>
      </c>
      <c r="H331" s="61">
        <f>Source!O63+Source!X63+Source!Y63</f>
        <v>3146.99</v>
      </c>
    </row>
    <row r="332" spans="1:28" ht="42.75" x14ac:dyDescent="0.2">
      <c r="A332" s="50">
        <v>37</v>
      </c>
      <c r="B332" s="50" t="str">
        <f>Source!E64</f>
        <v>21,1</v>
      </c>
      <c r="C332" s="50" t="str">
        <f>Source!G64</f>
        <v>Блок дверной стальной внутренний однопольный ДСВ, площадь 2,1 м2 (ГОСТ 31173-2003)</v>
      </c>
      <c r="D332" s="50" t="str">
        <f>Source!F64</f>
        <v>07.1.01.03-0001</v>
      </c>
      <c r="E332" s="35" t="str">
        <f>Source!H64</f>
        <v>м2</v>
      </c>
      <c r="F332" s="12">
        <f>Source!I64</f>
        <v>3.78</v>
      </c>
      <c r="G332" s="25">
        <f>Source!AB64</f>
        <v>1799.14</v>
      </c>
      <c r="H332" s="25">
        <f>Source!O64</f>
        <v>48489.34</v>
      </c>
      <c r="T332">
        <f>Source!O64+Source!X64+Source!Y64</f>
        <v>48489.34</v>
      </c>
      <c r="U332">
        <f>Source!P64</f>
        <v>48489.34</v>
      </c>
      <c r="V332">
        <f>Source!S64</f>
        <v>0</v>
      </c>
      <c r="W332">
        <f>Source!Q64</f>
        <v>0</v>
      </c>
      <c r="X332">
        <f>Source!R64</f>
        <v>0</v>
      </c>
      <c r="Y332">
        <f>Source!U64</f>
        <v>0</v>
      </c>
      <c r="Z332">
        <f>Source!V64</f>
        <v>0</v>
      </c>
      <c r="AA332">
        <f>Source!X64</f>
        <v>0</v>
      </c>
      <c r="AB332">
        <f>Source!Y64</f>
        <v>0</v>
      </c>
    </row>
    <row r="333" spans="1:28" ht="14.25" x14ac:dyDescent="0.2">
      <c r="C333" s="26" t="s">
        <v>1833</v>
      </c>
      <c r="D333" s="26">
        <f>Source!BC64</f>
        <v>7.13</v>
      </c>
      <c r="F333" s="12"/>
      <c r="G333" s="12"/>
      <c r="H333" s="12"/>
    </row>
    <row r="334" spans="1:28" ht="28.5" x14ac:dyDescent="0.2">
      <c r="A334" s="50">
        <v>38</v>
      </c>
      <c r="B334" s="50" t="str">
        <f>Source!E65</f>
        <v>22</v>
      </c>
      <c r="C334" s="50" t="str">
        <f>Source!G65</f>
        <v>Заделка выбоин в полах цементных площадью до 1,0 м2</v>
      </c>
      <c r="D334" s="50" t="str">
        <f>Source!F65</f>
        <v>57-10-3</v>
      </c>
      <c r="E334" s="35" t="str">
        <f>Source!H65</f>
        <v>100 мест</v>
      </c>
      <c r="F334" s="12">
        <f>Source!I65</f>
        <v>0.06</v>
      </c>
      <c r="G334" s="25">
        <f>Source!AB65</f>
        <v>1106.8800000000001</v>
      </c>
      <c r="H334" s="25">
        <f>Source!O65</f>
        <v>473.52</v>
      </c>
      <c r="T334">
        <f>Source!O65+Source!X65+Source!Y65</f>
        <v>1144.44</v>
      </c>
      <c r="U334">
        <f>Source!P65</f>
        <v>0.1</v>
      </c>
      <c r="V334">
        <f>Source!S65</f>
        <v>453.33</v>
      </c>
      <c r="W334">
        <f>Source!Q65</f>
        <v>20.09</v>
      </c>
      <c r="X334">
        <f>Source!R65</f>
        <v>0</v>
      </c>
      <c r="Y334">
        <f>Source!U65</f>
        <v>7.4538000000000002</v>
      </c>
      <c r="Z334">
        <f>Source!V65</f>
        <v>0</v>
      </c>
      <c r="AA334">
        <f>Source!X65</f>
        <v>362.66</v>
      </c>
      <c r="AB334">
        <f>Source!Y65</f>
        <v>308.26</v>
      </c>
    </row>
    <row r="335" spans="1:28" ht="14.25" x14ac:dyDescent="0.2">
      <c r="C335" s="26" t="str">
        <f>"Объем: "&amp;Source!I65&amp;"=6/"&amp;"100"</f>
        <v>Объем: 0,06=6/100</v>
      </c>
      <c r="F335" s="12"/>
      <c r="G335" s="12"/>
      <c r="H335" s="12"/>
    </row>
    <row r="336" spans="1:28" x14ac:dyDescent="0.2">
      <c r="C336" s="26" t="s">
        <v>1831</v>
      </c>
      <c r="D336" s="26">
        <f>Source!BA65</f>
        <v>7.13</v>
      </c>
    </row>
    <row r="337" spans="1:28" x14ac:dyDescent="0.2">
      <c r="C337" s="26" t="s">
        <v>1832</v>
      </c>
      <c r="D337" s="26">
        <f>Source!BB65</f>
        <v>7.13</v>
      </c>
    </row>
    <row r="338" spans="1:28" x14ac:dyDescent="0.2">
      <c r="C338" s="26" t="s">
        <v>1833</v>
      </c>
      <c r="D338" s="26">
        <f>Source!BC65</f>
        <v>7.13</v>
      </c>
    </row>
    <row r="339" spans="1:28" x14ac:dyDescent="0.2">
      <c r="C339" s="26" t="s">
        <v>1834</v>
      </c>
      <c r="D339" s="26">
        <f>Source!BS65</f>
        <v>7.13</v>
      </c>
    </row>
    <row r="340" spans="1:28" x14ac:dyDescent="0.2">
      <c r="C340" s="9" t="s">
        <v>1835</v>
      </c>
      <c r="D340" s="38"/>
      <c r="E340" s="38"/>
      <c r="F340" s="38">
        <f>Source!BZ65</f>
        <v>80</v>
      </c>
      <c r="G340" s="61">
        <f>(Source!AF65+Source!AE65)*Source!FX65/100</f>
        <v>847.74400000000014</v>
      </c>
      <c r="H340" s="61">
        <f>Source!X65</f>
        <v>362.66</v>
      </c>
    </row>
    <row r="341" spans="1:28" x14ac:dyDescent="0.2">
      <c r="C341" s="9" t="s">
        <v>1837</v>
      </c>
      <c r="D341" s="38"/>
      <c r="E341" s="38"/>
      <c r="F341" s="38">
        <f>Source!CA65</f>
        <v>68</v>
      </c>
      <c r="G341" s="61">
        <f>(Source!AF65+Source!AE65)*Source!FY65/100</f>
        <v>720.58240000000001</v>
      </c>
      <c r="H341" s="61">
        <f>Source!Y65</f>
        <v>308.26</v>
      </c>
    </row>
    <row r="342" spans="1:28" x14ac:dyDescent="0.2">
      <c r="C342" s="9" t="s">
        <v>1839</v>
      </c>
      <c r="D342" s="38"/>
      <c r="E342" s="38"/>
      <c r="F342" s="38"/>
      <c r="G342" s="61">
        <f>((Source!AF65+Source!AE65)*Source!FX65/100)+((Source!AF65+Source!AE65)*Source!FY65/100)+Source!AB65</f>
        <v>2675.2064</v>
      </c>
      <c r="H342" s="61">
        <f>Source!O65+Source!X65+Source!Y65</f>
        <v>1144.44</v>
      </c>
    </row>
    <row r="343" spans="1:28" ht="28.5" x14ac:dyDescent="0.2">
      <c r="A343" s="50">
        <v>39</v>
      </c>
      <c r="B343" s="50" t="str">
        <f>Source!E66</f>
        <v>22,1</v>
      </c>
      <c r="C343" s="50" t="str">
        <f>Source!G66</f>
        <v>Раствор готовый кладочный тяжелый цементный</v>
      </c>
      <c r="D343" s="50" t="str">
        <f>Source!F66</f>
        <v>04.3.01.09-0001</v>
      </c>
      <c r="E343" s="35" t="str">
        <f>Source!H66</f>
        <v>м3</v>
      </c>
      <c r="F343" s="12">
        <f>Source!I66</f>
        <v>0.12839999999999999</v>
      </c>
      <c r="G343" s="25">
        <f>Source!AB66</f>
        <v>424.88</v>
      </c>
      <c r="H343" s="25">
        <f>Source!O66</f>
        <v>388.97</v>
      </c>
      <c r="T343">
        <f>Source!O66+Source!X66+Source!Y66</f>
        <v>388.97</v>
      </c>
      <c r="U343">
        <f>Source!P66</f>
        <v>388.97</v>
      </c>
      <c r="V343">
        <f>Source!S66</f>
        <v>0</v>
      </c>
      <c r="W343">
        <f>Source!Q66</f>
        <v>0</v>
      </c>
      <c r="X343">
        <f>Source!R66</f>
        <v>0</v>
      </c>
      <c r="Y343">
        <f>Source!U66</f>
        <v>0</v>
      </c>
      <c r="Z343">
        <f>Source!V66</f>
        <v>0</v>
      </c>
      <c r="AA343">
        <f>Source!X66</f>
        <v>0</v>
      </c>
      <c r="AB343">
        <f>Source!Y66</f>
        <v>0</v>
      </c>
    </row>
    <row r="344" spans="1:28" ht="14.25" x14ac:dyDescent="0.2">
      <c r="C344" s="26" t="s">
        <v>1833</v>
      </c>
      <c r="D344" s="26">
        <f>Source!BC66</f>
        <v>7.13</v>
      </c>
      <c r="F344" s="12"/>
      <c r="G344" s="12"/>
      <c r="H344" s="12"/>
    </row>
    <row r="345" spans="1:28" ht="57" x14ac:dyDescent="0.2">
      <c r="A345" s="50">
        <v>40</v>
      </c>
      <c r="B345" s="50" t="str">
        <f>Source!E67</f>
        <v>23</v>
      </c>
      <c r="C345" s="50" t="str">
        <f>Source!G67</f>
        <v>Грунтование водно-дисперсионной грунтовкой "Нортекс-Грунт" поверхностей пористых (камень, кирпич, бетон и т д)</v>
      </c>
      <c r="D345" s="50" t="str">
        <f>Source!F67</f>
        <v>15-07-003-02</v>
      </c>
      <c r="E345" s="35" t="str">
        <f>Source!H67</f>
        <v>100 м2</v>
      </c>
      <c r="F345" s="12">
        <f>Source!I67</f>
        <v>0.33800000000000002</v>
      </c>
      <c r="G345" s="25">
        <f>Source!AB67</f>
        <v>278.92</v>
      </c>
      <c r="H345" s="25">
        <f>Source!O67</f>
        <v>672.19</v>
      </c>
      <c r="T345">
        <f>Source!O67+Source!X67+Source!Y67</f>
        <v>807.99000000000012</v>
      </c>
      <c r="U345">
        <f>Source!P67</f>
        <v>511.61</v>
      </c>
      <c r="V345">
        <f>Source!S67</f>
        <v>93.87</v>
      </c>
      <c r="W345">
        <f>Source!Q67</f>
        <v>66.709999999999994</v>
      </c>
      <c r="X345">
        <f>Source!R67</f>
        <v>1.76</v>
      </c>
      <c r="Y345">
        <f>Source!U67</f>
        <v>1.4343030000000001</v>
      </c>
      <c r="Z345">
        <f>Source!V67</f>
        <v>2.1125000000000001E-2</v>
      </c>
      <c r="AA345">
        <f>Source!X67</f>
        <v>90.85</v>
      </c>
      <c r="AB345">
        <f>Source!Y67</f>
        <v>44.95</v>
      </c>
    </row>
    <row r="346" spans="1:28" ht="14.25" x14ac:dyDescent="0.2">
      <c r="C346" s="26" t="str">
        <f>"Объем: "&amp;Source!I67&amp;"=33,8/"&amp;"100"</f>
        <v>Объем: 0,338=33,8/100</v>
      </c>
      <c r="F346" s="12"/>
      <c r="G346" s="12"/>
      <c r="H346" s="12"/>
    </row>
    <row r="347" spans="1:28" x14ac:dyDescent="0.2">
      <c r="C347" s="26" t="s">
        <v>1831</v>
      </c>
      <c r="D347" s="26">
        <f>Source!BA67</f>
        <v>7.13</v>
      </c>
    </row>
    <row r="348" spans="1:28" x14ac:dyDescent="0.2">
      <c r="C348" s="26" t="s">
        <v>1832</v>
      </c>
      <c r="D348" s="26">
        <f>Source!BB67</f>
        <v>7.13</v>
      </c>
    </row>
    <row r="349" spans="1:28" x14ac:dyDescent="0.2">
      <c r="C349" s="26" t="s">
        <v>1833</v>
      </c>
      <c r="D349" s="26">
        <f>Source!BC67</f>
        <v>7.13</v>
      </c>
    </row>
    <row r="350" spans="1:28" x14ac:dyDescent="0.2">
      <c r="C350" s="26" t="s">
        <v>1834</v>
      </c>
      <c r="D350" s="26">
        <f>Source!BS67</f>
        <v>7.13</v>
      </c>
    </row>
    <row r="351" spans="1:28" x14ac:dyDescent="0.2">
      <c r="C351" s="26" t="s">
        <v>1841</v>
      </c>
      <c r="D351" s="116" t="s">
        <v>81</v>
      </c>
      <c r="E351" s="116"/>
      <c r="F351" s="116"/>
      <c r="G351" s="116"/>
      <c r="H351" s="116"/>
    </row>
    <row r="352" spans="1:28" x14ac:dyDescent="0.2">
      <c r="C352" s="26" t="s">
        <v>1842</v>
      </c>
      <c r="D352" s="116" t="s">
        <v>81</v>
      </c>
      <c r="E352" s="116"/>
      <c r="F352" s="116"/>
      <c r="G352" s="116"/>
      <c r="H352" s="116"/>
    </row>
    <row r="353" spans="1:28" x14ac:dyDescent="0.2">
      <c r="C353" s="26" t="s">
        <v>1843</v>
      </c>
      <c r="D353" s="116" t="s">
        <v>82</v>
      </c>
      <c r="E353" s="116"/>
      <c r="F353" s="116"/>
      <c r="G353" s="116"/>
      <c r="H353" s="116"/>
    </row>
    <row r="354" spans="1:28" x14ac:dyDescent="0.2">
      <c r="C354" s="26" t="s">
        <v>1844</v>
      </c>
      <c r="D354" s="116" t="s">
        <v>82</v>
      </c>
      <c r="E354" s="116"/>
      <c r="F354" s="116"/>
      <c r="G354" s="116"/>
      <c r="H354" s="116"/>
    </row>
    <row r="355" spans="1:28" x14ac:dyDescent="0.2">
      <c r="C355" s="26" t="s">
        <v>1845</v>
      </c>
      <c r="D355" s="116" t="s">
        <v>81</v>
      </c>
      <c r="E355" s="116"/>
      <c r="F355" s="116"/>
      <c r="G355" s="116"/>
      <c r="H355" s="116"/>
    </row>
    <row r="356" spans="1:28" x14ac:dyDescent="0.2">
      <c r="C356" s="9" t="s">
        <v>1835</v>
      </c>
      <c r="D356" s="38"/>
      <c r="E356" s="38"/>
      <c r="F356" s="38">
        <f>Source!BZ67</f>
        <v>105</v>
      </c>
      <c r="G356" s="61">
        <f>(Source!AF67+Source!AE67)*Source!FX67/100</f>
        <v>37.497599999999998</v>
      </c>
      <c r="H356" s="61">
        <f>Source!X67</f>
        <v>90.85</v>
      </c>
    </row>
    <row r="357" spans="1:28" x14ac:dyDescent="0.2">
      <c r="C357" s="9" t="s">
        <v>1836</v>
      </c>
      <c r="D357" s="38"/>
      <c r="E357" s="38"/>
      <c r="F357" s="38"/>
      <c r="G357" s="38" t="str">
        <f>CONCATENATE(Source!DL67,Source!FT67, "=", Source!FX67, "%")</f>
        <v>*0,9=94,5%</v>
      </c>
      <c r="H357" s="38" t="str">
        <f>CONCATENATE(Source!AT67)</f>
        <v>95</v>
      </c>
    </row>
    <row r="358" spans="1:28" x14ac:dyDescent="0.2">
      <c r="C358" s="9" t="s">
        <v>1837</v>
      </c>
      <c r="D358" s="38"/>
      <c r="E358" s="38"/>
      <c r="F358" s="38">
        <f>Source!CA67</f>
        <v>55</v>
      </c>
      <c r="G358" s="61">
        <f>(Source!AF67+Source!AE67)*Source!FY67/100</f>
        <v>18.5504</v>
      </c>
      <c r="H358" s="61">
        <f>Source!Y67</f>
        <v>44.95</v>
      </c>
    </row>
    <row r="359" spans="1:28" x14ac:dyDescent="0.2">
      <c r="C359" s="9" t="s">
        <v>1838</v>
      </c>
      <c r="D359" s="38"/>
      <c r="E359" s="38"/>
      <c r="F359" s="38"/>
      <c r="G359" s="38" t="str">
        <f>CONCATENATE(Source!DM67,Source!FU67, "=", Source!FY67, "%")</f>
        <v>*0,85=46,75%</v>
      </c>
      <c r="H359" s="38" t="str">
        <f>CONCATENATE(Source!AU67)</f>
        <v>47</v>
      </c>
    </row>
    <row r="360" spans="1:28" x14ac:dyDescent="0.2">
      <c r="C360" s="9" t="s">
        <v>1839</v>
      </c>
      <c r="D360" s="38"/>
      <c r="E360" s="38"/>
      <c r="F360" s="38"/>
      <c r="G360" s="61">
        <f>((Source!AF67+Source!AE67)*Source!FX67/100)+((Source!AF67+Source!AE67)*Source!FY67/100)+Source!AB67</f>
        <v>334.96800000000002</v>
      </c>
      <c r="H360" s="61">
        <f>Source!O67+Source!X67+Source!Y67</f>
        <v>807.99000000000012</v>
      </c>
    </row>
    <row r="361" spans="1:28" ht="28.5" x14ac:dyDescent="0.2">
      <c r="A361" s="50">
        <v>41</v>
      </c>
      <c r="B361" s="50" t="str">
        <f>Source!E68</f>
        <v>24</v>
      </c>
      <c r="C361" s="50" t="str">
        <f>Source!G68</f>
        <v>Устройство стяжек цементных толщиной 20 мм</v>
      </c>
      <c r="D361" s="50" t="str">
        <f>Source!F68</f>
        <v>11-01-011-01</v>
      </c>
      <c r="E361" s="35" t="str">
        <f>Source!H68</f>
        <v>100 м2</v>
      </c>
      <c r="F361" s="12">
        <f>Source!I68</f>
        <v>0.33800000000000002</v>
      </c>
      <c r="G361" s="25">
        <f>Source!AB68</f>
        <v>424.61</v>
      </c>
      <c r="H361" s="25">
        <f>Source!O68</f>
        <v>1023.28</v>
      </c>
      <c r="T361">
        <f>Source!O68+Source!X68+Source!Y68</f>
        <v>2635.2</v>
      </c>
      <c r="U361">
        <f>Source!P68</f>
        <v>20.58</v>
      </c>
      <c r="V361">
        <f>Source!S68</f>
        <v>869.43</v>
      </c>
      <c r="W361">
        <f>Source!Q68</f>
        <v>133.27000000000001</v>
      </c>
      <c r="X361">
        <f>Source!R68</f>
        <v>51.67</v>
      </c>
      <c r="Y361">
        <f>Source!U68</f>
        <v>15.357536999999999</v>
      </c>
      <c r="Z361">
        <f>Source!V68</f>
        <v>0.53657500000000002</v>
      </c>
      <c r="AA361">
        <f>Source!X68</f>
        <v>1022.42</v>
      </c>
      <c r="AB361">
        <f>Source!Y68</f>
        <v>589.5</v>
      </c>
    </row>
    <row r="362" spans="1:28" ht="14.25" x14ac:dyDescent="0.2">
      <c r="C362" s="26" t="str">
        <f>"Объем: "&amp;Source!I68&amp;"=33,8/"&amp;"100"</f>
        <v>Объем: 0,338=33,8/100</v>
      </c>
      <c r="F362" s="12"/>
      <c r="G362" s="12"/>
      <c r="H362" s="12"/>
    </row>
    <row r="363" spans="1:28" x14ac:dyDescent="0.2">
      <c r="C363" s="26" t="s">
        <v>1831</v>
      </c>
      <c r="D363" s="26">
        <f>Source!BA68</f>
        <v>7.13</v>
      </c>
    </row>
    <row r="364" spans="1:28" x14ac:dyDescent="0.2">
      <c r="C364" s="26" t="s">
        <v>1832</v>
      </c>
      <c r="D364" s="26">
        <f>Source!BB68</f>
        <v>7.13</v>
      </c>
    </row>
    <row r="365" spans="1:28" x14ac:dyDescent="0.2">
      <c r="C365" s="26" t="s">
        <v>1833</v>
      </c>
      <c r="D365" s="26">
        <f>Source!BC68</f>
        <v>7.13</v>
      </c>
    </row>
    <row r="366" spans="1:28" x14ac:dyDescent="0.2">
      <c r="C366" s="26" t="s">
        <v>1834</v>
      </c>
      <c r="D366" s="26">
        <f>Source!BS68</f>
        <v>7.13</v>
      </c>
    </row>
    <row r="367" spans="1:28" x14ac:dyDescent="0.2">
      <c r="C367" s="26" t="s">
        <v>1841</v>
      </c>
      <c r="D367" s="116" t="s">
        <v>81</v>
      </c>
      <c r="E367" s="116"/>
      <c r="F367" s="116"/>
      <c r="G367" s="116"/>
      <c r="H367" s="116"/>
    </row>
    <row r="368" spans="1:28" x14ac:dyDescent="0.2">
      <c r="C368" s="26" t="s">
        <v>1842</v>
      </c>
      <c r="D368" s="116" t="s">
        <v>81</v>
      </c>
      <c r="E368" s="116"/>
      <c r="F368" s="116"/>
      <c r="G368" s="116"/>
      <c r="H368" s="116"/>
    </row>
    <row r="369" spans="1:28" x14ac:dyDescent="0.2">
      <c r="C369" s="26" t="s">
        <v>1843</v>
      </c>
      <c r="D369" s="116" t="s">
        <v>82</v>
      </c>
      <c r="E369" s="116"/>
      <c r="F369" s="116"/>
      <c r="G369" s="116"/>
      <c r="H369" s="116"/>
    </row>
    <row r="370" spans="1:28" x14ac:dyDescent="0.2">
      <c r="C370" s="26" t="s">
        <v>1844</v>
      </c>
      <c r="D370" s="116" t="s">
        <v>82</v>
      </c>
      <c r="E370" s="116"/>
      <c r="F370" s="116"/>
      <c r="G370" s="116"/>
      <c r="H370" s="116"/>
    </row>
    <row r="371" spans="1:28" x14ac:dyDescent="0.2">
      <c r="C371" s="26" t="s">
        <v>1845</v>
      </c>
      <c r="D371" s="116" t="s">
        <v>81</v>
      </c>
      <c r="E371" s="116"/>
      <c r="F371" s="116"/>
      <c r="G371" s="116"/>
      <c r="H371" s="116"/>
    </row>
    <row r="372" spans="1:28" x14ac:dyDescent="0.2">
      <c r="C372" s="9" t="s">
        <v>1835</v>
      </c>
      <c r="D372" s="38"/>
      <c r="E372" s="38"/>
      <c r="F372" s="38">
        <f>Source!BZ68</f>
        <v>123</v>
      </c>
      <c r="G372" s="61">
        <f>(Source!AF68+Source!AE68)*Source!FX68/100</f>
        <v>423.10646999999994</v>
      </c>
      <c r="H372" s="61">
        <f>Source!X68</f>
        <v>1022.42</v>
      </c>
    </row>
    <row r="373" spans="1:28" x14ac:dyDescent="0.2">
      <c r="C373" s="9" t="s">
        <v>1836</v>
      </c>
      <c r="D373" s="38"/>
      <c r="E373" s="38"/>
      <c r="F373" s="38"/>
      <c r="G373" s="38" t="str">
        <f>CONCATENATE(Source!DL68,Source!FT68, "=", Source!FX68, "%")</f>
        <v>*0,9=110,7%</v>
      </c>
      <c r="H373" s="38" t="str">
        <f>CONCATENATE(Source!AT68)</f>
        <v>111</v>
      </c>
    </row>
    <row r="374" spans="1:28" x14ac:dyDescent="0.2">
      <c r="C374" s="9" t="s">
        <v>1837</v>
      </c>
      <c r="D374" s="38"/>
      <c r="E374" s="38"/>
      <c r="F374" s="38">
        <f>Source!CA68</f>
        <v>75</v>
      </c>
      <c r="G374" s="61">
        <f>(Source!AF68+Source!AE68)*Source!FY68/100</f>
        <v>243.65887499999997</v>
      </c>
      <c r="H374" s="61">
        <f>Source!Y68</f>
        <v>589.5</v>
      </c>
    </row>
    <row r="375" spans="1:28" x14ac:dyDescent="0.2">
      <c r="C375" s="9" t="s">
        <v>1838</v>
      </c>
      <c r="D375" s="38"/>
      <c r="E375" s="38"/>
      <c r="F375" s="38"/>
      <c r="G375" s="38" t="str">
        <f>CONCATENATE(Source!DM68,Source!FU68, "=", Source!FY68, "%")</f>
        <v>*0,85=63,75%</v>
      </c>
      <c r="H375" s="38" t="str">
        <f>CONCATENATE(Source!AU68)</f>
        <v>64</v>
      </c>
    </row>
    <row r="376" spans="1:28" x14ac:dyDescent="0.2">
      <c r="C376" s="9" t="s">
        <v>1839</v>
      </c>
      <c r="D376" s="38"/>
      <c r="E376" s="38"/>
      <c r="F376" s="38"/>
      <c r="G376" s="61">
        <f>((Source!AF68+Source!AE68)*Source!FX68/100)+((Source!AF68+Source!AE68)*Source!FY68/100)+Source!AB68</f>
        <v>1091.3753449999999</v>
      </c>
      <c r="H376" s="61">
        <f>Source!O68+Source!X68+Source!Y68</f>
        <v>2635.2</v>
      </c>
    </row>
    <row r="377" spans="1:28" ht="28.5" x14ac:dyDescent="0.2">
      <c r="A377" s="50">
        <v>42</v>
      </c>
      <c r="B377" s="50" t="str">
        <f>Source!E69</f>
        <v>24,1</v>
      </c>
      <c r="C377" s="50" t="str">
        <f>Source!G69</f>
        <v>Раствор готовый кладочный цементный марки 100</v>
      </c>
      <c r="D377" s="50" t="str">
        <f>Source!F69</f>
        <v>04.3.01.09-0014</v>
      </c>
      <c r="E377" s="35" t="str">
        <f>Source!H69</f>
        <v>м3</v>
      </c>
      <c r="F377" s="12">
        <f>Source!I69</f>
        <v>0.68952000000000002</v>
      </c>
      <c r="G377" s="25">
        <f>Source!AB69</f>
        <v>519.79999999999995</v>
      </c>
      <c r="H377" s="25">
        <f>Source!O69</f>
        <v>2555.48</v>
      </c>
      <c r="T377">
        <f>Source!O69+Source!X69+Source!Y69</f>
        <v>2555.48</v>
      </c>
      <c r="U377">
        <f>Source!P69</f>
        <v>2555.48</v>
      </c>
      <c r="V377">
        <f>Source!S69</f>
        <v>0</v>
      </c>
      <c r="W377">
        <f>Source!Q69</f>
        <v>0</v>
      </c>
      <c r="X377">
        <f>Source!R69</f>
        <v>0</v>
      </c>
      <c r="Y377">
        <f>Source!U69</f>
        <v>0</v>
      </c>
      <c r="Z377">
        <f>Source!V69</f>
        <v>0</v>
      </c>
      <c r="AA377">
        <f>Source!X69</f>
        <v>0</v>
      </c>
      <c r="AB377">
        <f>Source!Y69</f>
        <v>0</v>
      </c>
    </row>
    <row r="378" spans="1:28" ht="14.25" x14ac:dyDescent="0.2">
      <c r="C378" s="26" t="s">
        <v>1833</v>
      </c>
      <c r="D378" s="26">
        <f>Source!BC69</f>
        <v>7.13</v>
      </c>
      <c r="F378" s="12"/>
      <c r="G378" s="12"/>
      <c r="H378" s="12"/>
    </row>
    <row r="379" spans="1:28" ht="42.75" x14ac:dyDescent="0.2">
      <c r="A379" s="50">
        <v>43</v>
      </c>
      <c r="B379" s="50" t="str">
        <f>Source!E70</f>
        <v>25</v>
      </c>
      <c r="C379" s="50" t="str">
        <f>Source!G70</f>
        <v>Устройство стяжек на каждые 5 мм изменения толщины стяжки добавлять или исключать к расценке 11-01-011-01</v>
      </c>
      <c r="D379" s="50" t="str">
        <f>Source!F70</f>
        <v>11-01-011-02</v>
      </c>
      <c r="E379" s="35" t="str">
        <f>Source!H70</f>
        <v>100 м2</v>
      </c>
      <c r="F379" s="12">
        <f>Source!I70</f>
        <v>0.33800000000000002</v>
      </c>
      <c r="G379" s="25">
        <f>Source!AB70</f>
        <v>42.65</v>
      </c>
      <c r="H379" s="25">
        <f>Source!O70</f>
        <v>102.79</v>
      </c>
      <c r="T379">
        <f>Source!O70+Source!X70+Source!Y70</f>
        <v>205.5</v>
      </c>
      <c r="U379">
        <f>Source!P70</f>
        <v>0</v>
      </c>
      <c r="V379">
        <f>Source!S70</f>
        <v>33.020000000000003</v>
      </c>
      <c r="W379">
        <f>Source!Q70</f>
        <v>69.77</v>
      </c>
      <c r="X379">
        <f>Source!R70</f>
        <v>25.67</v>
      </c>
      <c r="Y379">
        <f>Source!U70</f>
        <v>0.58304999999999996</v>
      </c>
      <c r="Z379">
        <f>Source!V70</f>
        <v>0.26617499999999999</v>
      </c>
      <c r="AA379">
        <f>Source!X70</f>
        <v>65.150000000000006</v>
      </c>
      <c r="AB379">
        <f>Source!Y70</f>
        <v>37.56</v>
      </c>
    </row>
    <row r="380" spans="1:28" ht="14.25" x14ac:dyDescent="0.2">
      <c r="C380" s="26" t="str">
        <f>"Объем: "&amp;Source!I70&amp;"=33,8/"&amp;"100"</f>
        <v>Объем: 0,338=33,8/100</v>
      </c>
      <c r="F380" s="12"/>
      <c r="G380" s="12"/>
      <c r="H380" s="12"/>
    </row>
    <row r="381" spans="1:28" x14ac:dyDescent="0.2">
      <c r="C381" s="26" t="s">
        <v>1831</v>
      </c>
      <c r="D381" s="26">
        <f>Source!BA70</f>
        <v>7.13</v>
      </c>
    </row>
    <row r="382" spans="1:28" x14ac:dyDescent="0.2">
      <c r="C382" s="26" t="s">
        <v>1832</v>
      </c>
      <c r="D382" s="26">
        <f>Source!BB70</f>
        <v>7.13</v>
      </c>
    </row>
    <row r="383" spans="1:28" x14ac:dyDescent="0.2">
      <c r="C383" s="26" t="s">
        <v>1833</v>
      </c>
      <c r="D383" s="26">
        <f>Source!BC70</f>
        <v>7.13</v>
      </c>
    </row>
    <row r="384" spans="1:28" x14ac:dyDescent="0.2">
      <c r="C384" s="26" t="s">
        <v>1834</v>
      </c>
      <c r="D384" s="26">
        <f>Source!BS70</f>
        <v>7.13</v>
      </c>
    </row>
    <row r="385" spans="1:28" x14ac:dyDescent="0.2">
      <c r="C385" s="26" t="s">
        <v>1840</v>
      </c>
      <c r="D385" s="116" t="s">
        <v>221</v>
      </c>
      <c r="E385" s="116"/>
      <c r="F385" s="116"/>
      <c r="G385" s="116"/>
      <c r="H385" s="116"/>
    </row>
    <row r="386" spans="1:28" x14ac:dyDescent="0.2">
      <c r="C386" s="26" t="s">
        <v>1841</v>
      </c>
      <c r="D386" s="116" t="s">
        <v>222</v>
      </c>
      <c r="E386" s="116"/>
      <c r="F386" s="116"/>
      <c r="G386" s="116"/>
      <c r="H386" s="116"/>
    </row>
    <row r="387" spans="1:28" x14ac:dyDescent="0.2">
      <c r="C387" s="26" t="s">
        <v>1842</v>
      </c>
      <c r="D387" s="116" t="s">
        <v>222</v>
      </c>
      <c r="E387" s="116"/>
      <c r="F387" s="116"/>
      <c r="G387" s="116"/>
      <c r="H387" s="116"/>
    </row>
    <row r="388" spans="1:28" x14ac:dyDescent="0.2">
      <c r="C388" s="26" t="s">
        <v>1843</v>
      </c>
      <c r="D388" s="116" t="s">
        <v>223</v>
      </c>
      <c r="E388" s="116"/>
      <c r="F388" s="116"/>
      <c r="G388" s="116"/>
      <c r="H388" s="116"/>
    </row>
    <row r="389" spans="1:28" x14ac:dyDescent="0.2">
      <c r="C389" s="26" t="s">
        <v>1844</v>
      </c>
      <c r="D389" s="116" t="s">
        <v>223</v>
      </c>
      <c r="E389" s="116"/>
      <c r="F389" s="116"/>
      <c r="G389" s="116"/>
      <c r="H389" s="116"/>
    </row>
    <row r="390" spans="1:28" x14ac:dyDescent="0.2">
      <c r="C390" s="26" t="s">
        <v>1845</v>
      </c>
      <c r="D390" s="116" t="s">
        <v>222</v>
      </c>
      <c r="E390" s="116"/>
      <c r="F390" s="116"/>
      <c r="G390" s="116"/>
      <c r="H390" s="116"/>
    </row>
    <row r="391" spans="1:28" x14ac:dyDescent="0.2">
      <c r="C391" s="9" t="s">
        <v>1835</v>
      </c>
      <c r="D391" s="38"/>
      <c r="E391" s="38"/>
      <c r="F391" s="38">
        <f>Source!BZ70</f>
        <v>123</v>
      </c>
      <c r="G391" s="61">
        <f>(Source!AF70+Source!AE70)*Source!FX70/100</f>
        <v>26.955449999999999</v>
      </c>
      <c r="H391" s="61">
        <f>Source!X70</f>
        <v>65.150000000000006</v>
      </c>
    </row>
    <row r="392" spans="1:28" x14ac:dyDescent="0.2">
      <c r="C392" s="9" t="s">
        <v>1836</v>
      </c>
      <c r="D392" s="38"/>
      <c r="E392" s="38"/>
      <c r="F392" s="38"/>
      <c r="G392" s="38" t="str">
        <f>CONCATENATE(Source!DL70,Source!FT70, "=", Source!FX70, "%")</f>
        <v>*0,9=110,7%</v>
      </c>
      <c r="H392" s="38" t="str">
        <f>CONCATENATE(Source!AT70)</f>
        <v>111</v>
      </c>
    </row>
    <row r="393" spans="1:28" x14ac:dyDescent="0.2">
      <c r="C393" s="9" t="s">
        <v>1837</v>
      </c>
      <c r="D393" s="38"/>
      <c r="E393" s="38"/>
      <c r="F393" s="38">
        <f>Source!CA70</f>
        <v>75</v>
      </c>
      <c r="G393" s="61">
        <f>(Source!AF70+Source!AE70)*Source!FY70/100</f>
        <v>15.523125</v>
      </c>
      <c r="H393" s="61">
        <f>Source!Y70</f>
        <v>37.56</v>
      </c>
    </row>
    <row r="394" spans="1:28" x14ac:dyDescent="0.2">
      <c r="C394" s="9" t="s">
        <v>1838</v>
      </c>
      <c r="D394" s="38"/>
      <c r="E394" s="38"/>
      <c r="F394" s="38"/>
      <c r="G394" s="38" t="str">
        <f>CONCATENATE(Source!DM70,Source!FU70, "=", Source!FY70, "%")</f>
        <v>*0,85=63,75%</v>
      </c>
      <c r="H394" s="38" t="str">
        <f>CONCATENATE(Source!AU70)</f>
        <v>64</v>
      </c>
    </row>
    <row r="395" spans="1:28" x14ac:dyDescent="0.2">
      <c r="C395" s="9" t="s">
        <v>1839</v>
      </c>
      <c r="D395" s="38"/>
      <c r="E395" s="38"/>
      <c r="F395" s="38"/>
      <c r="G395" s="61">
        <f>((Source!AF70+Source!AE70)*Source!FX70/100)+((Source!AF70+Source!AE70)*Source!FY70/100)+Source!AB70</f>
        <v>85.128574999999998</v>
      </c>
      <c r="H395" s="61">
        <f>Source!O70+Source!X70+Source!Y70</f>
        <v>205.5</v>
      </c>
    </row>
    <row r="396" spans="1:28" ht="28.5" x14ac:dyDescent="0.2">
      <c r="A396" s="50">
        <v>44</v>
      </c>
      <c r="B396" s="50" t="str">
        <f>Source!E71</f>
        <v>25,1</v>
      </c>
      <c r="C396" s="50" t="str">
        <f>Source!G71</f>
        <v>Раствор готовый кладочный тяжелый цементный</v>
      </c>
      <c r="D396" s="50" t="str">
        <f>Source!F71</f>
        <v>04.3.01.09-0001</v>
      </c>
      <c r="E396" s="35" t="str">
        <f>Source!H71</f>
        <v>м3</v>
      </c>
      <c r="F396" s="12">
        <f>Source!I71</f>
        <v>0.51714000000000004</v>
      </c>
      <c r="G396" s="25">
        <f>Source!AB71</f>
        <v>424.88</v>
      </c>
      <c r="H396" s="25">
        <f>Source!O71</f>
        <v>1566.62</v>
      </c>
      <c r="T396">
        <f>Source!O71+Source!X71+Source!Y71</f>
        <v>1566.62</v>
      </c>
      <c r="U396">
        <f>Source!P71</f>
        <v>1566.62</v>
      </c>
      <c r="V396">
        <f>Source!S71</f>
        <v>0</v>
      </c>
      <c r="W396">
        <f>Source!Q71</f>
        <v>0</v>
      </c>
      <c r="X396">
        <f>Source!R71</f>
        <v>0</v>
      </c>
      <c r="Y396">
        <f>Source!U71</f>
        <v>0</v>
      </c>
      <c r="Z396">
        <f>Source!V71</f>
        <v>0</v>
      </c>
      <c r="AA396">
        <f>Source!X71</f>
        <v>0</v>
      </c>
      <c r="AB396">
        <f>Source!Y71</f>
        <v>0</v>
      </c>
    </row>
    <row r="397" spans="1:28" ht="14.25" x14ac:dyDescent="0.2">
      <c r="C397" s="26" t="s">
        <v>1833</v>
      </c>
      <c r="D397" s="26">
        <f>Source!BC71</f>
        <v>7.13</v>
      </c>
      <c r="F397" s="12"/>
      <c r="G397" s="12"/>
      <c r="H397" s="12"/>
    </row>
    <row r="398" spans="1:28" ht="42.75" x14ac:dyDescent="0.2">
      <c r="A398" s="50">
        <v>45</v>
      </c>
      <c r="B398" s="50" t="str">
        <f>Source!E72</f>
        <v>26</v>
      </c>
      <c r="C398" s="50" t="str">
        <f>Source!G72</f>
        <v>Устройство стяжек из выравнивающей смеси типа "Ветонит" 5000, толщиной 5 мм с огрунтовкой "Нортекс-Грунт"</v>
      </c>
      <c r="D398" s="50" t="str">
        <f>Source!F72</f>
        <v>11-01-011-08</v>
      </c>
      <c r="E398" s="35" t="str">
        <f>Source!H72</f>
        <v>100 м2</v>
      </c>
      <c r="F398" s="12">
        <f>Source!I72</f>
        <v>2.298</v>
      </c>
      <c r="G398" s="25">
        <f>Source!AB72</f>
        <v>11078.65</v>
      </c>
      <c r="H398" s="25">
        <f>Source!O72</f>
        <v>181520.8</v>
      </c>
      <c r="T398">
        <f>Source!O72+Source!X72+Source!Y72</f>
        <v>192186.97999999998</v>
      </c>
      <c r="U398">
        <f>Source!P72</f>
        <v>175338.51</v>
      </c>
      <c r="V398">
        <f>Source!S72</f>
        <v>6054.65</v>
      </c>
      <c r="W398">
        <f>Source!Q72</f>
        <v>127.64</v>
      </c>
      <c r="X398">
        <f>Source!R72</f>
        <v>40.31</v>
      </c>
      <c r="Y398">
        <f>Source!U72</f>
        <v>99.550508999999991</v>
      </c>
      <c r="Z398">
        <f>Source!V72</f>
        <v>0.48832500000000006</v>
      </c>
      <c r="AA398">
        <f>Source!X72</f>
        <v>6765.41</v>
      </c>
      <c r="AB398">
        <f>Source!Y72</f>
        <v>3900.77</v>
      </c>
    </row>
    <row r="399" spans="1:28" ht="14.25" x14ac:dyDescent="0.2">
      <c r="C399" s="26" t="str">
        <f>"Объем: "&amp;Source!I72&amp;"=229,8/"&amp;"100"</f>
        <v>Объем: 2,298=229,8/100</v>
      </c>
      <c r="F399" s="12"/>
      <c r="G399" s="12"/>
      <c r="H399" s="12"/>
    </row>
    <row r="400" spans="1:28" x14ac:dyDescent="0.2">
      <c r="C400" s="26" t="s">
        <v>1831</v>
      </c>
      <c r="D400" s="26">
        <f>Source!BA72</f>
        <v>7.13</v>
      </c>
    </row>
    <row r="401" spans="1:28" x14ac:dyDescent="0.2">
      <c r="C401" s="26" t="s">
        <v>1832</v>
      </c>
      <c r="D401" s="26">
        <f>Source!BB72</f>
        <v>7.13</v>
      </c>
    </row>
    <row r="402" spans="1:28" x14ac:dyDescent="0.2">
      <c r="C402" s="26" t="s">
        <v>1833</v>
      </c>
      <c r="D402" s="26">
        <f>Source!BC72</f>
        <v>7.13</v>
      </c>
    </row>
    <row r="403" spans="1:28" x14ac:dyDescent="0.2">
      <c r="C403" s="26" t="s">
        <v>1834</v>
      </c>
      <c r="D403" s="26">
        <f>Source!BS72</f>
        <v>7.13</v>
      </c>
    </row>
    <row r="404" spans="1:28" x14ac:dyDescent="0.2">
      <c r="C404" s="26" t="s">
        <v>1841</v>
      </c>
      <c r="D404" s="116" t="s">
        <v>81</v>
      </c>
      <c r="E404" s="116"/>
      <c r="F404" s="116"/>
      <c r="G404" s="116"/>
      <c r="H404" s="116"/>
    </row>
    <row r="405" spans="1:28" x14ac:dyDescent="0.2">
      <c r="C405" s="26" t="s">
        <v>1842</v>
      </c>
      <c r="D405" s="116" t="s">
        <v>81</v>
      </c>
      <c r="E405" s="116"/>
      <c r="F405" s="116"/>
      <c r="G405" s="116"/>
      <c r="H405" s="116"/>
    </row>
    <row r="406" spans="1:28" x14ac:dyDescent="0.2">
      <c r="C406" s="26" t="s">
        <v>1843</v>
      </c>
      <c r="D406" s="116" t="s">
        <v>82</v>
      </c>
      <c r="E406" s="116"/>
      <c r="F406" s="116"/>
      <c r="G406" s="116"/>
      <c r="H406" s="116"/>
    </row>
    <row r="407" spans="1:28" x14ac:dyDescent="0.2">
      <c r="C407" s="26" t="s">
        <v>1844</v>
      </c>
      <c r="D407" s="116" t="s">
        <v>82</v>
      </c>
      <c r="E407" s="116"/>
      <c r="F407" s="116"/>
      <c r="G407" s="116"/>
      <c r="H407" s="116"/>
    </row>
    <row r="408" spans="1:28" x14ac:dyDescent="0.2">
      <c r="C408" s="26" t="s">
        <v>1845</v>
      </c>
      <c r="D408" s="116" t="s">
        <v>81</v>
      </c>
      <c r="E408" s="116"/>
      <c r="F408" s="116"/>
      <c r="G408" s="116"/>
      <c r="H408" s="116"/>
    </row>
    <row r="409" spans="1:28" x14ac:dyDescent="0.2">
      <c r="C409" s="9" t="s">
        <v>1835</v>
      </c>
      <c r="D409" s="38"/>
      <c r="E409" s="38"/>
      <c r="F409" s="38">
        <f>Source!BZ72</f>
        <v>123</v>
      </c>
      <c r="G409" s="61">
        <f>(Source!AF72+Source!AE72)*Source!FX72/100</f>
        <v>411.79292999999996</v>
      </c>
      <c r="H409" s="61">
        <f>Source!X72</f>
        <v>6765.41</v>
      </c>
    </row>
    <row r="410" spans="1:28" x14ac:dyDescent="0.2">
      <c r="C410" s="9" t="s">
        <v>1836</v>
      </c>
      <c r="D410" s="38"/>
      <c r="E410" s="38"/>
      <c r="F410" s="38"/>
      <c r="G410" s="38" t="str">
        <f>CONCATENATE(Source!DL72,Source!FT72, "=", Source!FX72, "%")</f>
        <v>*0,9=110,7%</v>
      </c>
      <c r="H410" s="38" t="str">
        <f>CONCATENATE(Source!AT72)</f>
        <v>111</v>
      </c>
    </row>
    <row r="411" spans="1:28" x14ac:dyDescent="0.2">
      <c r="C411" s="9" t="s">
        <v>1837</v>
      </c>
      <c r="D411" s="38"/>
      <c r="E411" s="38"/>
      <c r="F411" s="38">
        <f>Source!CA72</f>
        <v>75</v>
      </c>
      <c r="G411" s="61">
        <f>(Source!AF72+Source!AE72)*Source!FY72/100</f>
        <v>237.14362499999996</v>
      </c>
      <c r="H411" s="61">
        <f>Source!Y72</f>
        <v>3900.77</v>
      </c>
    </row>
    <row r="412" spans="1:28" x14ac:dyDescent="0.2">
      <c r="C412" s="9" t="s">
        <v>1838</v>
      </c>
      <c r="D412" s="38"/>
      <c r="E412" s="38"/>
      <c r="F412" s="38"/>
      <c r="G412" s="38" t="str">
        <f>CONCATENATE(Source!DM72,Source!FU72, "=", Source!FY72, "%")</f>
        <v>*0,85=63,75%</v>
      </c>
      <c r="H412" s="38" t="str">
        <f>CONCATENATE(Source!AU72)</f>
        <v>64</v>
      </c>
    </row>
    <row r="413" spans="1:28" x14ac:dyDescent="0.2">
      <c r="C413" s="9" t="s">
        <v>1839</v>
      </c>
      <c r="D413" s="38"/>
      <c r="E413" s="38"/>
      <c r="F413" s="38"/>
      <c r="G413" s="61">
        <f>((Source!AF72+Source!AE72)*Source!FX72/100)+((Source!AF72+Source!AE72)*Source!FY72/100)+Source!AB72</f>
        <v>11727.586555</v>
      </c>
      <c r="H413" s="61">
        <f>Source!O72+Source!X72+Source!Y72</f>
        <v>192186.97999999998</v>
      </c>
    </row>
    <row r="414" spans="1:28" ht="42.75" x14ac:dyDescent="0.2">
      <c r="A414" s="50">
        <v>46</v>
      </c>
      <c r="B414" s="50" t="str">
        <f>Source!E73</f>
        <v>27</v>
      </c>
      <c r="C414" s="50" t="str">
        <f>Source!G73</f>
        <v>Устройство плинтусов поливинилхлоридных на винтах самонарезающих</v>
      </c>
      <c r="D414" s="50" t="str">
        <f>Source!F73</f>
        <v>11-01-040-03</v>
      </c>
      <c r="E414" s="35" t="str">
        <f>Source!H73</f>
        <v>100 м</v>
      </c>
      <c r="F414" s="12">
        <f>Source!I73</f>
        <v>2.0291999999999999</v>
      </c>
      <c r="G414" s="25">
        <f>Source!AB73</f>
        <v>146.83000000000001</v>
      </c>
      <c r="H414" s="25">
        <f>Source!O73</f>
        <v>2124.37</v>
      </c>
      <c r="T414">
        <f>Source!O73+Source!X73+Source!Y73</f>
        <v>3923.32</v>
      </c>
      <c r="U414">
        <f>Source!P73</f>
        <v>1065.44</v>
      </c>
      <c r="V414">
        <f>Source!S73</f>
        <v>1020.3</v>
      </c>
      <c r="W414">
        <f>Source!Q73</f>
        <v>38.630000000000003</v>
      </c>
      <c r="X414">
        <f>Source!R73</f>
        <v>7.67</v>
      </c>
      <c r="Y414">
        <f>Source!U73</f>
        <v>15.588314399999998</v>
      </c>
      <c r="Z414">
        <f>Source!V73</f>
        <v>0.10145999999999999</v>
      </c>
      <c r="AA414">
        <f>Source!X73</f>
        <v>1141.05</v>
      </c>
      <c r="AB414">
        <f>Source!Y73</f>
        <v>657.9</v>
      </c>
    </row>
    <row r="415" spans="1:28" ht="14.25" x14ac:dyDescent="0.2">
      <c r="C415" s="26" t="str">
        <f>"Объем: "&amp;Source!I73&amp;"=202,92/"&amp;"100"</f>
        <v>Объем: 2,0292=202,92/100</v>
      </c>
      <c r="F415" s="12"/>
      <c r="G415" s="12"/>
      <c r="H415" s="12"/>
    </row>
    <row r="416" spans="1:28" x14ac:dyDescent="0.2">
      <c r="C416" s="26" t="s">
        <v>1831</v>
      </c>
      <c r="D416" s="26">
        <f>Source!BA73</f>
        <v>7.13</v>
      </c>
    </row>
    <row r="417" spans="1:28" x14ac:dyDescent="0.2">
      <c r="C417" s="26" t="s">
        <v>1832</v>
      </c>
      <c r="D417" s="26">
        <f>Source!BB73</f>
        <v>7.13</v>
      </c>
    </row>
    <row r="418" spans="1:28" x14ac:dyDescent="0.2">
      <c r="C418" s="26" t="s">
        <v>1833</v>
      </c>
      <c r="D418" s="26">
        <f>Source!BC73</f>
        <v>7.13</v>
      </c>
    </row>
    <row r="419" spans="1:28" x14ac:dyDescent="0.2">
      <c r="C419" s="26" t="s">
        <v>1834</v>
      </c>
      <c r="D419" s="26">
        <f>Source!BS73</f>
        <v>7.13</v>
      </c>
    </row>
    <row r="420" spans="1:28" x14ac:dyDescent="0.2">
      <c r="C420" s="26" t="s">
        <v>1841</v>
      </c>
      <c r="D420" s="116" t="s">
        <v>81</v>
      </c>
      <c r="E420" s="116"/>
      <c r="F420" s="116"/>
      <c r="G420" s="116"/>
      <c r="H420" s="116"/>
    </row>
    <row r="421" spans="1:28" x14ac:dyDescent="0.2">
      <c r="C421" s="26" t="s">
        <v>1842</v>
      </c>
      <c r="D421" s="116" t="s">
        <v>81</v>
      </c>
      <c r="E421" s="116"/>
      <c r="F421" s="116"/>
      <c r="G421" s="116"/>
      <c r="H421" s="116"/>
    </row>
    <row r="422" spans="1:28" x14ac:dyDescent="0.2">
      <c r="C422" s="26" t="s">
        <v>1843</v>
      </c>
      <c r="D422" s="116" t="s">
        <v>82</v>
      </c>
      <c r="E422" s="116"/>
      <c r="F422" s="116"/>
      <c r="G422" s="116"/>
      <c r="H422" s="116"/>
    </row>
    <row r="423" spans="1:28" x14ac:dyDescent="0.2">
      <c r="C423" s="26" t="s">
        <v>1844</v>
      </c>
      <c r="D423" s="116" t="s">
        <v>82</v>
      </c>
      <c r="E423" s="116"/>
      <c r="F423" s="116"/>
      <c r="G423" s="116"/>
      <c r="H423" s="116"/>
    </row>
    <row r="424" spans="1:28" x14ac:dyDescent="0.2">
      <c r="C424" s="26" t="s">
        <v>1845</v>
      </c>
      <c r="D424" s="116" t="s">
        <v>81</v>
      </c>
      <c r="E424" s="116"/>
      <c r="F424" s="116"/>
      <c r="G424" s="116"/>
      <c r="H424" s="116"/>
    </row>
    <row r="425" spans="1:28" x14ac:dyDescent="0.2">
      <c r="C425" s="9" t="s">
        <v>1835</v>
      </c>
      <c r="D425" s="38"/>
      <c r="E425" s="38"/>
      <c r="F425" s="38">
        <f>Source!BZ73</f>
        <v>123</v>
      </c>
      <c r="G425" s="61">
        <f>(Source!AF73+Source!AE73)*Source!FX73/100</f>
        <v>78.652349999999998</v>
      </c>
      <c r="H425" s="61">
        <f>Source!X73</f>
        <v>1141.05</v>
      </c>
    </row>
    <row r="426" spans="1:28" x14ac:dyDescent="0.2">
      <c r="C426" s="9" t="s">
        <v>1836</v>
      </c>
      <c r="D426" s="38"/>
      <c r="E426" s="38"/>
      <c r="F426" s="38"/>
      <c r="G426" s="38" t="str">
        <f>CONCATENATE(Source!DL73,Source!FT73, "=", Source!FX73, "%")</f>
        <v>*0,9=110,7%</v>
      </c>
      <c r="H426" s="38" t="str">
        <f>CONCATENATE(Source!AT73)</f>
        <v>111</v>
      </c>
    </row>
    <row r="427" spans="1:28" x14ac:dyDescent="0.2">
      <c r="C427" s="9" t="s">
        <v>1837</v>
      </c>
      <c r="D427" s="38"/>
      <c r="E427" s="38"/>
      <c r="F427" s="38">
        <f>Source!CA73</f>
        <v>75</v>
      </c>
      <c r="G427" s="61">
        <f>(Source!AF73+Source!AE73)*Source!FY73/100</f>
        <v>45.294375000000002</v>
      </c>
      <c r="H427" s="61">
        <f>Source!Y73</f>
        <v>657.9</v>
      </c>
    </row>
    <row r="428" spans="1:28" x14ac:dyDescent="0.2">
      <c r="C428" s="9" t="s">
        <v>1838</v>
      </c>
      <c r="D428" s="38"/>
      <c r="E428" s="38"/>
      <c r="F428" s="38"/>
      <c r="G428" s="38" t="str">
        <f>CONCATENATE(Source!DM73,Source!FU73, "=", Source!FY73, "%")</f>
        <v>*0,85=63,75%</v>
      </c>
      <c r="H428" s="38" t="str">
        <f>CONCATENATE(Source!AU73)</f>
        <v>64</v>
      </c>
    </row>
    <row r="429" spans="1:28" x14ac:dyDescent="0.2">
      <c r="C429" s="9" t="s">
        <v>1839</v>
      </c>
      <c r="D429" s="38"/>
      <c r="E429" s="38"/>
      <c r="F429" s="38"/>
      <c r="G429" s="61">
        <f>((Source!AF73+Source!AE73)*Source!FX73/100)+((Source!AF73+Source!AE73)*Source!FY73/100)+Source!AB73</f>
        <v>270.776725</v>
      </c>
      <c r="H429" s="61">
        <f>Source!O73+Source!X73+Source!Y73</f>
        <v>3923.32</v>
      </c>
    </row>
    <row r="430" spans="1:28" ht="14.25" x14ac:dyDescent="0.2">
      <c r="A430" s="50">
        <v>47</v>
      </c>
      <c r="B430" s="50" t="str">
        <f>Source!E74</f>
        <v>27,1</v>
      </c>
      <c r="C430" s="50" t="str">
        <f>Source!G74</f>
        <v>Плинтуса для полов пластиковые</v>
      </c>
      <c r="D430" s="50" t="str">
        <f>Source!F74</f>
        <v>11.3.03.06</v>
      </c>
      <c r="E430" s="35" t="str">
        <f>Source!H74</f>
        <v>м</v>
      </c>
      <c r="F430" s="12">
        <f>Source!I74</f>
        <v>204.94919999999999</v>
      </c>
      <c r="G430" s="25">
        <f>Source!AB74</f>
        <v>0</v>
      </c>
      <c r="H430" s="25">
        <f>Source!O74</f>
        <v>0</v>
      </c>
      <c r="T430">
        <f>Source!O74+Source!X74+Source!Y74</f>
        <v>0</v>
      </c>
      <c r="U430">
        <f>Source!P74</f>
        <v>0</v>
      </c>
      <c r="V430">
        <f>Source!S74</f>
        <v>0</v>
      </c>
      <c r="W430">
        <f>Source!Q74</f>
        <v>0</v>
      </c>
      <c r="X430">
        <f>Source!R74</f>
        <v>0</v>
      </c>
      <c r="Y430">
        <f>Source!U74</f>
        <v>0</v>
      </c>
      <c r="Z430">
        <f>Source!V74</f>
        <v>0</v>
      </c>
      <c r="AA430">
        <f>Source!X74</f>
        <v>0</v>
      </c>
      <c r="AB430">
        <f>Source!Y74</f>
        <v>0</v>
      </c>
    </row>
    <row r="431" spans="1:28" ht="14.25" x14ac:dyDescent="0.2">
      <c r="C431" s="26" t="s">
        <v>1833</v>
      </c>
      <c r="D431" s="26">
        <f>Source!BC74</f>
        <v>7.13</v>
      </c>
      <c r="F431" s="12"/>
      <c r="G431" s="12"/>
      <c r="H431" s="12"/>
    </row>
    <row r="432" spans="1:28" ht="28.5" x14ac:dyDescent="0.2">
      <c r="A432" s="50">
        <v>48</v>
      </c>
      <c r="B432" s="50" t="str">
        <f>Source!E75</f>
        <v>27,2</v>
      </c>
      <c r="C432" s="50" t="str">
        <f>Source!G75</f>
        <v>Плинтуса для полов пластиковые, 19х48 мм</v>
      </c>
      <c r="D432" s="50" t="str">
        <f>Source!F75</f>
        <v>11.3.03.06-0001</v>
      </c>
      <c r="E432" s="35" t="str">
        <f>Source!H75</f>
        <v>м</v>
      </c>
      <c r="F432" s="12">
        <f>Source!I75</f>
        <v>204.94919999999999</v>
      </c>
      <c r="G432" s="25">
        <f>Source!AB75</f>
        <v>12.3</v>
      </c>
      <c r="H432" s="25">
        <f>Source!O75</f>
        <v>17973.84</v>
      </c>
      <c r="T432">
        <f>Source!O75+Source!X75+Source!Y75</f>
        <v>17973.84</v>
      </c>
      <c r="U432">
        <f>Source!P75</f>
        <v>17973.84</v>
      </c>
      <c r="V432">
        <f>Source!S75</f>
        <v>0</v>
      </c>
      <c r="W432">
        <f>Source!Q75</f>
        <v>0</v>
      </c>
      <c r="X432">
        <f>Source!R75</f>
        <v>0</v>
      </c>
      <c r="Y432">
        <f>Source!U75</f>
        <v>0</v>
      </c>
      <c r="Z432">
        <f>Source!V75</f>
        <v>0</v>
      </c>
      <c r="AA432">
        <f>Source!X75</f>
        <v>0</v>
      </c>
      <c r="AB432">
        <f>Source!Y75</f>
        <v>0</v>
      </c>
    </row>
    <row r="433" spans="1:28" ht="14.25" x14ac:dyDescent="0.2">
      <c r="C433" s="26" t="s">
        <v>1833</v>
      </c>
      <c r="D433" s="26">
        <f>Source!BC75</f>
        <v>7.13</v>
      </c>
      <c r="F433" s="12"/>
      <c r="G433" s="12"/>
      <c r="H433" s="12"/>
    </row>
    <row r="434" spans="1:28" ht="28.5" x14ac:dyDescent="0.2">
      <c r="A434" s="50">
        <v>49</v>
      </c>
      <c r="B434" s="50" t="str">
        <f>Source!E76</f>
        <v>27,3</v>
      </c>
      <c r="C434" s="50" t="str">
        <f>Source!G76</f>
        <v>Заглушка торцевая для пластикового плинтуса левая, высота 49 мм</v>
      </c>
      <c r="D434" s="50" t="str">
        <f>Source!F76</f>
        <v>11.3.03.14-0002</v>
      </c>
      <c r="E434" s="35" t="str">
        <f>Source!H76</f>
        <v>100 шт.</v>
      </c>
      <c r="F434" s="12">
        <f>Source!I76</f>
        <v>0.16</v>
      </c>
      <c r="G434" s="25">
        <f>Source!AB76</f>
        <v>101</v>
      </c>
      <c r="H434" s="25">
        <f>Source!O76</f>
        <v>115.22</v>
      </c>
      <c r="T434">
        <f>Source!O76+Source!X76+Source!Y76</f>
        <v>115.22</v>
      </c>
      <c r="U434">
        <f>Source!P76</f>
        <v>115.22</v>
      </c>
      <c r="V434">
        <f>Source!S76</f>
        <v>0</v>
      </c>
      <c r="W434">
        <f>Source!Q76</f>
        <v>0</v>
      </c>
      <c r="X434">
        <f>Source!R76</f>
        <v>0</v>
      </c>
      <c r="Y434">
        <f>Source!U76</f>
        <v>0</v>
      </c>
      <c r="Z434">
        <f>Source!V76</f>
        <v>0</v>
      </c>
      <c r="AA434">
        <f>Source!X76</f>
        <v>0</v>
      </c>
      <c r="AB434">
        <f>Source!Y76</f>
        <v>0</v>
      </c>
    </row>
    <row r="435" spans="1:28" ht="14.25" x14ac:dyDescent="0.2">
      <c r="C435" s="26" t="s">
        <v>1833</v>
      </c>
      <c r="D435" s="26">
        <f>Source!BC76</f>
        <v>7.13</v>
      </c>
      <c r="F435" s="12"/>
      <c r="G435" s="12"/>
      <c r="H435" s="12"/>
    </row>
    <row r="436" spans="1:28" ht="28.5" x14ac:dyDescent="0.2">
      <c r="A436" s="50">
        <v>50</v>
      </c>
      <c r="B436" s="50" t="str">
        <f>Source!E77</f>
        <v>27,4</v>
      </c>
      <c r="C436" s="50" t="str">
        <f>Source!G77</f>
        <v>Заглушки торцевая для пластикового плинтуса правая, высота 49 мм</v>
      </c>
      <c r="D436" s="50" t="str">
        <f>Source!F77</f>
        <v>11.3.03.14-0012</v>
      </c>
      <c r="E436" s="35" t="str">
        <f>Source!H77</f>
        <v>100 шт.</v>
      </c>
      <c r="F436" s="12">
        <f>Source!I77</f>
        <v>0.16</v>
      </c>
      <c r="G436" s="25">
        <f>Source!AB77</f>
        <v>101</v>
      </c>
      <c r="H436" s="25">
        <f>Source!O77</f>
        <v>115.22</v>
      </c>
      <c r="T436">
        <f>Source!O77+Source!X77+Source!Y77</f>
        <v>115.22</v>
      </c>
      <c r="U436">
        <f>Source!P77</f>
        <v>115.22</v>
      </c>
      <c r="V436">
        <f>Source!S77</f>
        <v>0</v>
      </c>
      <c r="W436">
        <f>Source!Q77</f>
        <v>0</v>
      </c>
      <c r="X436">
        <f>Source!R77</f>
        <v>0</v>
      </c>
      <c r="Y436">
        <f>Source!U77</f>
        <v>0</v>
      </c>
      <c r="Z436">
        <f>Source!V77</f>
        <v>0</v>
      </c>
      <c r="AA436">
        <f>Source!X77</f>
        <v>0</v>
      </c>
      <c r="AB436">
        <f>Source!Y77</f>
        <v>0</v>
      </c>
    </row>
    <row r="437" spans="1:28" ht="14.25" x14ac:dyDescent="0.2">
      <c r="C437" s="26" t="s">
        <v>1833</v>
      </c>
      <c r="D437" s="26">
        <f>Source!BC77</f>
        <v>7.13</v>
      </c>
      <c r="F437" s="12"/>
      <c r="G437" s="12"/>
      <c r="H437" s="12"/>
    </row>
    <row r="438" spans="1:28" ht="28.5" x14ac:dyDescent="0.2">
      <c r="A438" s="50">
        <v>51</v>
      </c>
      <c r="B438" s="50" t="str">
        <f>Source!E78</f>
        <v>27,5</v>
      </c>
      <c r="C438" s="50" t="str">
        <f>Source!G78</f>
        <v>Соединитель для пластикового плинтуса, высота 49 мм</v>
      </c>
      <c r="D438" s="50" t="str">
        <f>Source!F78</f>
        <v>11.3.03.14-0022</v>
      </c>
      <c r="E438" s="35" t="str">
        <f>Source!H78</f>
        <v>100 шт.</v>
      </c>
      <c r="F438" s="12">
        <f>Source!I78</f>
        <v>0.81</v>
      </c>
      <c r="G438" s="25">
        <f>Source!AB78</f>
        <v>128</v>
      </c>
      <c r="H438" s="25">
        <f>Source!O78</f>
        <v>739.24</v>
      </c>
      <c r="T438">
        <f>Source!O78+Source!X78+Source!Y78</f>
        <v>739.24</v>
      </c>
      <c r="U438">
        <f>Source!P78</f>
        <v>739.24</v>
      </c>
      <c r="V438">
        <f>Source!S78</f>
        <v>0</v>
      </c>
      <c r="W438">
        <f>Source!Q78</f>
        <v>0</v>
      </c>
      <c r="X438">
        <f>Source!R78</f>
        <v>0</v>
      </c>
      <c r="Y438">
        <f>Source!U78</f>
        <v>0</v>
      </c>
      <c r="Z438">
        <f>Source!V78</f>
        <v>0</v>
      </c>
      <c r="AA438">
        <f>Source!X78</f>
        <v>0</v>
      </c>
      <c r="AB438">
        <f>Source!Y78</f>
        <v>0</v>
      </c>
    </row>
    <row r="439" spans="1:28" ht="14.25" x14ac:dyDescent="0.2">
      <c r="C439" s="26" t="s">
        <v>1833</v>
      </c>
      <c r="D439" s="26">
        <f>Source!BC78</f>
        <v>7.13</v>
      </c>
      <c r="F439" s="12"/>
      <c r="G439" s="12"/>
      <c r="H439" s="12"/>
    </row>
    <row r="440" spans="1:28" ht="28.5" x14ac:dyDescent="0.2">
      <c r="A440" s="50">
        <v>52</v>
      </c>
      <c r="B440" s="50" t="str">
        <f>Source!E79</f>
        <v>27,6</v>
      </c>
      <c r="C440" s="50" t="str">
        <f>Source!G79</f>
        <v>Уголок внутренний для пластикового плинтуса, высота 49 мм</v>
      </c>
      <c r="D440" s="50" t="str">
        <f>Source!F79</f>
        <v>11.3.03.14-0032</v>
      </c>
      <c r="E440" s="35" t="str">
        <f>Source!H79</f>
        <v>100 шт.</v>
      </c>
      <c r="F440" s="12">
        <f>Source!I79</f>
        <v>0.14000000000000001</v>
      </c>
      <c r="G440" s="25">
        <f>Source!AB79</f>
        <v>128</v>
      </c>
      <c r="H440" s="25">
        <f>Source!O79</f>
        <v>127.77</v>
      </c>
      <c r="T440">
        <f>Source!O79+Source!X79+Source!Y79</f>
        <v>127.77</v>
      </c>
      <c r="U440">
        <f>Source!P79</f>
        <v>127.77</v>
      </c>
      <c r="V440">
        <f>Source!S79</f>
        <v>0</v>
      </c>
      <c r="W440">
        <f>Source!Q79</f>
        <v>0</v>
      </c>
      <c r="X440">
        <f>Source!R79</f>
        <v>0</v>
      </c>
      <c r="Y440">
        <f>Source!U79</f>
        <v>0</v>
      </c>
      <c r="Z440">
        <f>Source!V79</f>
        <v>0</v>
      </c>
      <c r="AA440">
        <f>Source!X79</f>
        <v>0</v>
      </c>
      <c r="AB440">
        <f>Source!Y79</f>
        <v>0</v>
      </c>
    </row>
    <row r="441" spans="1:28" ht="14.25" x14ac:dyDescent="0.2">
      <c r="C441" s="26" t="s">
        <v>1833</v>
      </c>
      <c r="D441" s="26">
        <f>Source!BC79</f>
        <v>7.13</v>
      </c>
      <c r="F441" s="12"/>
      <c r="G441" s="12"/>
      <c r="H441" s="12"/>
    </row>
    <row r="442" spans="1:28" ht="28.5" x14ac:dyDescent="0.2">
      <c r="A442" s="50">
        <v>53</v>
      </c>
      <c r="B442" s="50" t="str">
        <f>Source!E80</f>
        <v>27,7</v>
      </c>
      <c r="C442" s="50" t="str">
        <f>Source!G80</f>
        <v>Уголок наружный для пластикового плинтуса, высота 49 мм</v>
      </c>
      <c r="D442" s="50" t="str">
        <f>Source!F80</f>
        <v>11.3.03.14-0034</v>
      </c>
      <c r="E442" s="35" t="str">
        <f>Source!H80</f>
        <v>100 шт.</v>
      </c>
      <c r="F442" s="12">
        <f>Source!I80</f>
        <v>0.14000000000000001</v>
      </c>
      <c r="G442" s="25">
        <f>Source!AB80</f>
        <v>128</v>
      </c>
      <c r="H442" s="25">
        <f>Source!O80</f>
        <v>127.77</v>
      </c>
      <c r="T442">
        <f>Source!O80+Source!X80+Source!Y80</f>
        <v>127.77</v>
      </c>
      <c r="U442">
        <f>Source!P80</f>
        <v>127.77</v>
      </c>
      <c r="V442">
        <f>Source!S80</f>
        <v>0</v>
      </c>
      <c r="W442">
        <f>Source!Q80</f>
        <v>0</v>
      </c>
      <c r="X442">
        <f>Source!R80</f>
        <v>0</v>
      </c>
      <c r="Y442">
        <f>Source!U80</f>
        <v>0</v>
      </c>
      <c r="Z442">
        <f>Source!V80</f>
        <v>0</v>
      </c>
      <c r="AA442">
        <f>Source!X80</f>
        <v>0</v>
      </c>
      <c r="AB442">
        <f>Source!Y80</f>
        <v>0</v>
      </c>
    </row>
    <row r="443" spans="1:28" ht="14.25" x14ac:dyDescent="0.2">
      <c r="C443" s="26" t="s">
        <v>1833</v>
      </c>
      <c r="D443" s="26">
        <f>Source!BC80</f>
        <v>7.13</v>
      </c>
      <c r="F443" s="12"/>
      <c r="G443" s="12"/>
      <c r="H443" s="12"/>
    </row>
    <row r="444" spans="1:28" ht="42.75" x14ac:dyDescent="0.2">
      <c r="A444" s="50">
        <v>54</v>
      </c>
      <c r="B444" s="50" t="str">
        <f>Source!E81</f>
        <v>28</v>
      </c>
      <c r="C444" s="50" t="str">
        <f>Source!G81</f>
        <v>Устройство гидроизоляции обмазочной в один слой толщиной 2 мм</v>
      </c>
      <c r="D444" s="50" t="str">
        <f>Source!F81</f>
        <v>11-01-004-05</v>
      </c>
      <c r="E444" s="35" t="str">
        <f>Source!H81</f>
        <v>100 м2</v>
      </c>
      <c r="F444" s="12">
        <f>Source!I81</f>
        <v>0.38940000000000002</v>
      </c>
      <c r="G444" s="25">
        <f>Source!AB81</f>
        <v>1228.44</v>
      </c>
      <c r="H444" s="25">
        <f>Source!O81</f>
        <v>3410.67</v>
      </c>
      <c r="T444">
        <f>Source!O81+Source!X81+Source!Y81</f>
        <v>5091.6500000000005</v>
      </c>
      <c r="U444">
        <f>Source!P81</f>
        <v>1923.01</v>
      </c>
      <c r="V444">
        <f>Source!S81</f>
        <v>942.07</v>
      </c>
      <c r="W444">
        <f>Source!Q81</f>
        <v>545.59</v>
      </c>
      <c r="X444">
        <f>Source!R81</f>
        <v>18.489999999999998</v>
      </c>
      <c r="Y444">
        <f>Source!U81</f>
        <v>12.077435699999999</v>
      </c>
      <c r="Z444">
        <f>Source!V81</f>
        <v>0.2093025</v>
      </c>
      <c r="AA444">
        <f>Source!X81</f>
        <v>1066.22</v>
      </c>
      <c r="AB444">
        <f>Source!Y81</f>
        <v>614.76</v>
      </c>
    </row>
    <row r="445" spans="1:28" ht="14.25" x14ac:dyDescent="0.2">
      <c r="C445" s="26" t="str">
        <f>"Объем: "&amp;Source!I81&amp;"=38,94/"&amp;"100"</f>
        <v>Объем: 0,3894=38,94/100</v>
      </c>
      <c r="F445" s="12"/>
      <c r="G445" s="12"/>
      <c r="H445" s="12"/>
    </row>
    <row r="446" spans="1:28" x14ac:dyDescent="0.2">
      <c r="C446" s="26" t="s">
        <v>1831</v>
      </c>
      <c r="D446" s="26">
        <f>Source!BA81</f>
        <v>7.13</v>
      </c>
    </row>
    <row r="447" spans="1:28" x14ac:dyDescent="0.2">
      <c r="C447" s="26" t="s">
        <v>1832</v>
      </c>
      <c r="D447" s="26">
        <f>Source!BB81</f>
        <v>7.13</v>
      </c>
    </row>
    <row r="448" spans="1:28" x14ac:dyDescent="0.2">
      <c r="C448" s="26" t="s">
        <v>1833</v>
      </c>
      <c r="D448" s="26">
        <f>Source!BC81</f>
        <v>7.13</v>
      </c>
    </row>
    <row r="449" spans="1:28" x14ac:dyDescent="0.2">
      <c r="C449" s="26" t="s">
        <v>1834</v>
      </c>
      <c r="D449" s="26">
        <f>Source!BS81</f>
        <v>7.13</v>
      </c>
    </row>
    <row r="450" spans="1:28" x14ac:dyDescent="0.2">
      <c r="C450" s="26" t="s">
        <v>1841</v>
      </c>
      <c r="D450" s="116" t="s">
        <v>81</v>
      </c>
      <c r="E450" s="116"/>
      <c r="F450" s="116"/>
      <c r="G450" s="116"/>
      <c r="H450" s="116"/>
    </row>
    <row r="451" spans="1:28" x14ac:dyDescent="0.2">
      <c r="C451" s="26" t="s">
        <v>1842</v>
      </c>
      <c r="D451" s="116" t="s">
        <v>81</v>
      </c>
      <c r="E451" s="116"/>
      <c r="F451" s="116"/>
      <c r="G451" s="116"/>
      <c r="H451" s="116"/>
    </row>
    <row r="452" spans="1:28" x14ac:dyDescent="0.2">
      <c r="C452" s="26" t="s">
        <v>1843</v>
      </c>
      <c r="D452" s="116" t="s">
        <v>82</v>
      </c>
      <c r="E452" s="116"/>
      <c r="F452" s="116"/>
      <c r="G452" s="116"/>
      <c r="H452" s="116"/>
    </row>
    <row r="453" spans="1:28" x14ac:dyDescent="0.2">
      <c r="C453" s="26" t="s">
        <v>1844</v>
      </c>
      <c r="D453" s="116" t="s">
        <v>82</v>
      </c>
      <c r="E453" s="116"/>
      <c r="F453" s="116"/>
      <c r="G453" s="116"/>
      <c r="H453" s="116"/>
    </row>
    <row r="454" spans="1:28" x14ac:dyDescent="0.2">
      <c r="C454" s="26" t="s">
        <v>1845</v>
      </c>
      <c r="D454" s="116" t="s">
        <v>81</v>
      </c>
      <c r="E454" s="116"/>
      <c r="F454" s="116"/>
      <c r="G454" s="116"/>
      <c r="H454" s="116"/>
    </row>
    <row r="455" spans="1:28" x14ac:dyDescent="0.2">
      <c r="C455" s="9" t="s">
        <v>1835</v>
      </c>
      <c r="D455" s="38"/>
      <c r="E455" s="38"/>
      <c r="F455" s="38">
        <f>Source!BZ81</f>
        <v>123</v>
      </c>
      <c r="G455" s="61">
        <f>(Source!AF81+Source!AE81)*Source!FX81/100</f>
        <v>382.98878999999999</v>
      </c>
      <c r="H455" s="61">
        <f>Source!X81</f>
        <v>1066.22</v>
      </c>
    </row>
    <row r="456" spans="1:28" x14ac:dyDescent="0.2">
      <c r="C456" s="9" t="s">
        <v>1836</v>
      </c>
      <c r="D456" s="38"/>
      <c r="E456" s="38"/>
      <c r="F456" s="38"/>
      <c r="G456" s="38" t="str">
        <f>CONCATENATE(Source!DL81,Source!FT81, "=", Source!FX81, "%")</f>
        <v>*0,9=110,7%</v>
      </c>
      <c r="H456" s="38" t="str">
        <f>CONCATENATE(Source!AT81)</f>
        <v>111</v>
      </c>
    </row>
    <row r="457" spans="1:28" x14ac:dyDescent="0.2">
      <c r="C457" s="9" t="s">
        <v>1837</v>
      </c>
      <c r="D457" s="38"/>
      <c r="E457" s="38"/>
      <c r="F457" s="38">
        <f>Source!CA81</f>
        <v>75</v>
      </c>
      <c r="G457" s="61">
        <f>(Source!AF81+Source!AE81)*Source!FY81/100</f>
        <v>220.55587500000001</v>
      </c>
      <c r="H457" s="61">
        <f>Source!Y81</f>
        <v>614.76</v>
      </c>
    </row>
    <row r="458" spans="1:28" x14ac:dyDescent="0.2">
      <c r="C458" s="9" t="s">
        <v>1838</v>
      </c>
      <c r="D458" s="38"/>
      <c r="E458" s="38"/>
      <c r="F458" s="38"/>
      <c r="G458" s="38" t="str">
        <f>CONCATENATE(Source!DM81,Source!FU81, "=", Source!FY81, "%")</f>
        <v>*0,85=63,75%</v>
      </c>
      <c r="H458" s="38" t="str">
        <f>CONCATENATE(Source!AU81)</f>
        <v>64</v>
      </c>
    </row>
    <row r="459" spans="1:28" x14ac:dyDescent="0.2">
      <c r="C459" s="9" t="s">
        <v>1839</v>
      </c>
      <c r="D459" s="38"/>
      <c r="E459" s="38"/>
      <c r="F459" s="38"/>
      <c r="G459" s="61">
        <f>((Source!AF81+Source!AE81)*Source!FX81/100)+((Source!AF81+Source!AE81)*Source!FY81/100)+Source!AB81</f>
        <v>1831.9846649999999</v>
      </c>
      <c r="H459" s="61">
        <f>Source!O81+Source!X81+Source!Y81</f>
        <v>5091.6500000000005</v>
      </c>
    </row>
    <row r="460" spans="1:28" ht="57" x14ac:dyDescent="0.2">
      <c r="A460" s="50">
        <v>55</v>
      </c>
      <c r="B460" s="50" t="str">
        <f>Source!E82</f>
        <v>29</v>
      </c>
      <c r="C460" s="50" t="str">
        <f>Source!G82</f>
        <v>Гидроизоляция боковая обмазочная битумная в 2 слоя по выровненной поверхности бутовой кладки, кирпичу, бетону</v>
      </c>
      <c r="D460" s="50" t="str">
        <f>Source!F82</f>
        <v>08-01-003-07</v>
      </c>
      <c r="E460" s="35" t="str">
        <f>Source!H82</f>
        <v>100 м2</v>
      </c>
      <c r="F460" s="12">
        <f>Source!I82</f>
        <v>0.21060000000000001</v>
      </c>
      <c r="G460" s="25">
        <f>Source!AB82</f>
        <v>1219.8800000000001</v>
      </c>
      <c r="H460" s="25">
        <f>Source!O82</f>
        <v>1831.75</v>
      </c>
      <c r="T460">
        <f>Source!O82+Source!X82+Source!Y82</f>
        <v>2459.1799999999998</v>
      </c>
      <c r="U460">
        <f>Source!P82</f>
        <v>1349.14</v>
      </c>
      <c r="V460">
        <f>Source!S82</f>
        <v>348.14</v>
      </c>
      <c r="W460">
        <f>Source!Q82</f>
        <v>134.47</v>
      </c>
      <c r="X460">
        <f>Source!R82</f>
        <v>4.3499999999999996</v>
      </c>
      <c r="Y460">
        <f>Source!U82</f>
        <v>5.1344279999999998</v>
      </c>
      <c r="Z460">
        <f>Source!V82</f>
        <v>5.2650000000000002E-2</v>
      </c>
      <c r="AA460">
        <f>Source!X82</f>
        <v>387.74</v>
      </c>
      <c r="AB460">
        <f>Source!Y82</f>
        <v>239.69</v>
      </c>
    </row>
    <row r="461" spans="1:28" ht="14.25" x14ac:dyDescent="0.2">
      <c r="C461" s="26" t="str">
        <f>"Объем: "&amp;Source!I82&amp;"=21,06/"&amp;"100"</f>
        <v>Объем: 0,2106=21,06/100</v>
      </c>
      <c r="F461" s="12"/>
      <c r="G461" s="12"/>
      <c r="H461" s="12"/>
    </row>
    <row r="462" spans="1:28" x14ac:dyDescent="0.2">
      <c r="C462" s="26" t="s">
        <v>1831</v>
      </c>
      <c r="D462" s="26">
        <f>Source!BA82</f>
        <v>7.13</v>
      </c>
    </row>
    <row r="463" spans="1:28" x14ac:dyDescent="0.2">
      <c r="C463" s="26" t="s">
        <v>1832</v>
      </c>
      <c r="D463" s="26">
        <f>Source!BB82</f>
        <v>7.13</v>
      </c>
    </row>
    <row r="464" spans="1:28" x14ac:dyDescent="0.2">
      <c r="C464" s="26" t="s">
        <v>1833</v>
      </c>
      <c r="D464" s="26">
        <f>Source!BC82</f>
        <v>7.13</v>
      </c>
    </row>
    <row r="465" spans="1:28" x14ac:dyDescent="0.2">
      <c r="C465" s="26" t="s">
        <v>1834</v>
      </c>
      <c r="D465" s="26">
        <f>Source!BS82</f>
        <v>7.13</v>
      </c>
    </row>
    <row r="466" spans="1:28" x14ac:dyDescent="0.2">
      <c r="C466" s="26" t="s">
        <v>1841</v>
      </c>
      <c r="D466" s="116" t="s">
        <v>81</v>
      </c>
      <c r="E466" s="116"/>
      <c r="F466" s="116"/>
      <c r="G466" s="116"/>
      <c r="H466" s="116"/>
    </row>
    <row r="467" spans="1:28" x14ac:dyDescent="0.2">
      <c r="C467" s="26" t="s">
        <v>1842</v>
      </c>
      <c r="D467" s="116" t="s">
        <v>81</v>
      </c>
      <c r="E467" s="116"/>
      <c r="F467" s="116"/>
      <c r="G467" s="116"/>
      <c r="H467" s="116"/>
    </row>
    <row r="468" spans="1:28" x14ac:dyDescent="0.2">
      <c r="C468" s="26" t="s">
        <v>1843</v>
      </c>
      <c r="D468" s="116" t="s">
        <v>82</v>
      </c>
      <c r="E468" s="116"/>
      <c r="F468" s="116"/>
      <c r="G468" s="116"/>
      <c r="H468" s="116"/>
    </row>
    <row r="469" spans="1:28" x14ac:dyDescent="0.2">
      <c r="C469" s="26" t="s">
        <v>1844</v>
      </c>
      <c r="D469" s="116" t="s">
        <v>82</v>
      </c>
      <c r="E469" s="116"/>
      <c r="F469" s="116"/>
      <c r="G469" s="116"/>
      <c r="H469" s="116"/>
    </row>
    <row r="470" spans="1:28" x14ac:dyDescent="0.2">
      <c r="C470" s="26" t="s">
        <v>1845</v>
      </c>
      <c r="D470" s="116" t="s">
        <v>81</v>
      </c>
      <c r="E470" s="116"/>
      <c r="F470" s="116"/>
      <c r="G470" s="116"/>
      <c r="H470" s="116"/>
    </row>
    <row r="471" spans="1:28" x14ac:dyDescent="0.2">
      <c r="C471" s="9" t="s">
        <v>1835</v>
      </c>
      <c r="D471" s="38"/>
      <c r="E471" s="38"/>
      <c r="F471" s="38">
        <f>Source!BZ82</f>
        <v>122</v>
      </c>
      <c r="G471" s="61">
        <f>(Source!AF82+Source!AE82)*Source!FX82/100</f>
        <v>257.75549999999998</v>
      </c>
      <c r="H471" s="61">
        <f>Source!X82</f>
        <v>387.74</v>
      </c>
    </row>
    <row r="472" spans="1:28" x14ac:dyDescent="0.2">
      <c r="C472" s="9" t="s">
        <v>1836</v>
      </c>
      <c r="D472" s="38"/>
      <c r="E472" s="38"/>
      <c r="F472" s="38"/>
      <c r="G472" s="38" t="str">
        <f>CONCATENATE(Source!DL82,Source!FT82, "=", Source!FX82, "%")</f>
        <v>*0,9=109,8%</v>
      </c>
      <c r="H472" s="38" t="str">
        <f>CONCATENATE(Source!AT82)</f>
        <v>110</v>
      </c>
    </row>
    <row r="473" spans="1:28" x14ac:dyDescent="0.2">
      <c r="C473" s="9" t="s">
        <v>1837</v>
      </c>
      <c r="D473" s="38"/>
      <c r="E473" s="38"/>
      <c r="F473" s="38">
        <f>Source!CA82</f>
        <v>80</v>
      </c>
      <c r="G473" s="61">
        <f>(Source!AF82+Source!AE82)*Source!FY82/100</f>
        <v>159.63</v>
      </c>
      <c r="H473" s="61">
        <f>Source!Y82</f>
        <v>239.69</v>
      </c>
    </row>
    <row r="474" spans="1:28" x14ac:dyDescent="0.2">
      <c r="C474" s="9" t="s">
        <v>1838</v>
      </c>
      <c r="D474" s="38"/>
      <c r="E474" s="38"/>
      <c r="F474" s="38"/>
      <c r="G474" s="38" t="str">
        <f>CONCATENATE(Source!DM82,Source!FU82, "=", Source!FY82, "%")</f>
        <v>*0,85=68%</v>
      </c>
      <c r="H474" s="38" t="str">
        <f>CONCATENATE(Source!AU82)</f>
        <v>68</v>
      </c>
    </row>
    <row r="475" spans="1:28" x14ac:dyDescent="0.2">
      <c r="C475" s="9" t="s">
        <v>1839</v>
      </c>
      <c r="D475" s="38"/>
      <c r="E475" s="38"/>
      <c r="F475" s="38"/>
      <c r="G475" s="61">
        <f>((Source!AF82+Source!AE82)*Source!FX82/100)+((Source!AF82+Source!AE82)*Source!FY82/100)+Source!AB82</f>
        <v>1637.2655</v>
      </c>
      <c r="H475" s="61">
        <f>Source!O82+Source!X82+Source!Y82</f>
        <v>2459.1799999999998</v>
      </c>
    </row>
    <row r="476" spans="1:28" ht="42.75" x14ac:dyDescent="0.2">
      <c r="A476" s="50">
        <v>56</v>
      </c>
      <c r="B476" s="50" t="str">
        <f>Source!E83</f>
        <v>30</v>
      </c>
      <c r="C476" s="50" t="str">
        <f>Source!G83</f>
        <v>Кладка отдельных участков стен и заделка проемов в кирпичных стенах кирпичей силикатными</v>
      </c>
      <c r="D476" s="50" t="str">
        <f>Source!F83</f>
        <v>08-02-001-08</v>
      </c>
      <c r="E476" s="35" t="str">
        <f>Source!H83</f>
        <v>м3</v>
      </c>
      <c r="F476" s="12">
        <f>Source!I83</f>
        <v>0.67</v>
      </c>
      <c r="G476" s="25">
        <f>Source!AB83</f>
        <v>209.3</v>
      </c>
      <c r="H476" s="25">
        <f>Source!O83</f>
        <v>999.84</v>
      </c>
      <c r="T476">
        <f>Source!O83+Source!X83+Source!Y83</f>
        <v>1460.54</v>
      </c>
      <c r="U476">
        <f>Source!P83</f>
        <v>588.67999999999995</v>
      </c>
      <c r="V476">
        <f>Source!S83</f>
        <v>230.59</v>
      </c>
      <c r="W476">
        <f>Source!Q83</f>
        <v>180.57</v>
      </c>
      <c r="X476">
        <f>Source!R83</f>
        <v>28.23</v>
      </c>
      <c r="Y476">
        <f>Source!U83</f>
        <v>3.8910249999999995</v>
      </c>
      <c r="Z476">
        <f>Source!V83</f>
        <v>0.29312500000000002</v>
      </c>
      <c r="AA476">
        <f>Source!X83</f>
        <v>284.7</v>
      </c>
      <c r="AB476">
        <f>Source!Y83</f>
        <v>176</v>
      </c>
    </row>
    <row r="477" spans="1:28" ht="14.25" x14ac:dyDescent="0.2">
      <c r="C477" s="26" t="s">
        <v>1831</v>
      </c>
      <c r="D477" s="26">
        <f>Source!BA83</f>
        <v>7.13</v>
      </c>
      <c r="F477" s="12"/>
      <c r="G477" s="12"/>
      <c r="H477" s="12"/>
    </row>
    <row r="478" spans="1:28" x14ac:dyDescent="0.2">
      <c r="C478" s="26" t="s">
        <v>1832</v>
      </c>
      <c r="D478" s="26">
        <f>Source!BB83</f>
        <v>7.13</v>
      </c>
    </row>
    <row r="479" spans="1:28" x14ac:dyDescent="0.2">
      <c r="C479" s="26" t="s">
        <v>1833</v>
      </c>
      <c r="D479" s="26">
        <f>Source!BC83</f>
        <v>7.13</v>
      </c>
    </row>
    <row r="480" spans="1:28" x14ac:dyDescent="0.2">
      <c r="C480" s="26" t="s">
        <v>1834</v>
      </c>
      <c r="D480" s="26">
        <f>Source!BS83</f>
        <v>7.13</v>
      </c>
    </row>
    <row r="481" spans="1:28" x14ac:dyDescent="0.2">
      <c r="C481" s="26" t="s">
        <v>1841</v>
      </c>
      <c r="D481" s="116" t="s">
        <v>81</v>
      </c>
      <c r="E481" s="116"/>
      <c r="F481" s="116"/>
      <c r="G481" s="116"/>
      <c r="H481" s="116"/>
    </row>
    <row r="482" spans="1:28" x14ac:dyDescent="0.2">
      <c r="C482" s="26" t="s">
        <v>1842</v>
      </c>
      <c r="D482" s="116" t="s">
        <v>81</v>
      </c>
      <c r="E482" s="116"/>
      <c r="F482" s="116"/>
      <c r="G482" s="116"/>
      <c r="H482" s="116"/>
    </row>
    <row r="483" spans="1:28" x14ac:dyDescent="0.2">
      <c r="C483" s="26" t="s">
        <v>1843</v>
      </c>
      <c r="D483" s="116" t="s">
        <v>82</v>
      </c>
      <c r="E483" s="116"/>
      <c r="F483" s="116"/>
      <c r="G483" s="116"/>
      <c r="H483" s="116"/>
    </row>
    <row r="484" spans="1:28" x14ac:dyDescent="0.2">
      <c r="C484" s="26" t="s">
        <v>1844</v>
      </c>
      <c r="D484" s="116" t="s">
        <v>82</v>
      </c>
      <c r="E484" s="116"/>
      <c r="F484" s="116"/>
      <c r="G484" s="116"/>
      <c r="H484" s="116"/>
    </row>
    <row r="485" spans="1:28" x14ac:dyDescent="0.2">
      <c r="C485" s="26" t="s">
        <v>1845</v>
      </c>
      <c r="D485" s="116" t="s">
        <v>81</v>
      </c>
      <c r="E485" s="116"/>
      <c r="F485" s="116"/>
      <c r="G485" s="116"/>
      <c r="H485" s="116"/>
    </row>
    <row r="486" spans="1:28" x14ac:dyDescent="0.2">
      <c r="C486" s="9" t="s">
        <v>1835</v>
      </c>
      <c r="D486" s="38"/>
      <c r="E486" s="38"/>
      <c r="F486" s="38">
        <f>Source!BZ83</f>
        <v>122</v>
      </c>
      <c r="G486" s="61">
        <f>(Source!AF83+Source!AE83)*Source!FX83/100</f>
        <v>59.489640000000009</v>
      </c>
      <c r="H486" s="61">
        <f>Source!X83</f>
        <v>284.7</v>
      </c>
    </row>
    <row r="487" spans="1:28" x14ac:dyDescent="0.2">
      <c r="C487" s="9" t="s">
        <v>1836</v>
      </c>
      <c r="D487" s="38"/>
      <c r="E487" s="38"/>
      <c r="F487" s="38"/>
      <c r="G487" s="38" t="str">
        <f>CONCATENATE(Source!DL83,Source!FT83, "=", Source!FX83, "%")</f>
        <v>*0,9=109,8%</v>
      </c>
      <c r="H487" s="38" t="str">
        <f>CONCATENATE(Source!AT83)</f>
        <v>110</v>
      </c>
    </row>
    <row r="488" spans="1:28" x14ac:dyDescent="0.2">
      <c r="C488" s="9" t="s">
        <v>1837</v>
      </c>
      <c r="D488" s="38"/>
      <c r="E488" s="38"/>
      <c r="F488" s="38">
        <f>Source!CA83</f>
        <v>80</v>
      </c>
      <c r="G488" s="61">
        <f>(Source!AF83+Source!AE83)*Source!FY83/100</f>
        <v>36.842400000000005</v>
      </c>
      <c r="H488" s="61">
        <f>Source!Y83</f>
        <v>176</v>
      </c>
    </row>
    <row r="489" spans="1:28" x14ac:dyDescent="0.2">
      <c r="C489" s="9" t="s">
        <v>1838</v>
      </c>
      <c r="D489" s="38"/>
      <c r="E489" s="38"/>
      <c r="F489" s="38"/>
      <c r="G489" s="38" t="str">
        <f>CONCATENATE(Source!DM83,Source!FU83, "=", Source!FY83, "%")</f>
        <v>*0,85=68%</v>
      </c>
      <c r="H489" s="38" t="str">
        <f>CONCATENATE(Source!AU83)</f>
        <v>68</v>
      </c>
    </row>
    <row r="490" spans="1:28" x14ac:dyDescent="0.2">
      <c r="C490" s="9" t="s">
        <v>1839</v>
      </c>
      <c r="D490" s="38"/>
      <c r="E490" s="38"/>
      <c r="F490" s="38"/>
      <c r="G490" s="61">
        <f>((Source!AF83+Source!AE83)*Source!FX83/100)+((Source!AF83+Source!AE83)*Source!FY83/100)+Source!AB83</f>
        <v>305.63204000000002</v>
      </c>
      <c r="H490" s="61">
        <f>Source!O83+Source!X83+Source!Y83</f>
        <v>1460.54</v>
      </c>
    </row>
    <row r="491" spans="1:28" ht="42.75" x14ac:dyDescent="0.2">
      <c r="A491" s="50">
        <v>57</v>
      </c>
      <c r="B491" s="50" t="str">
        <f>Source!E84</f>
        <v>30,1</v>
      </c>
      <c r="C491" s="50" t="str">
        <f>Source!G84</f>
        <v>Кирпич керамический утолщенный пустотелый лицевой, размером 250х120х88 мм, марка 125</v>
      </c>
      <c r="D491" s="50" t="str">
        <f>Source!F84</f>
        <v>06.1.01.05-0141</v>
      </c>
      <c r="E491" s="35" t="str">
        <f>Source!H84</f>
        <v>1000 шт.</v>
      </c>
      <c r="F491" s="12">
        <f>Source!I84</f>
        <v>0.26465</v>
      </c>
      <c r="G491" s="25">
        <f>Source!AB84</f>
        <v>1882.58</v>
      </c>
      <c r="H491" s="25">
        <f>Source!O84</f>
        <v>3552.34</v>
      </c>
      <c r="T491">
        <f>Source!O84+Source!X84+Source!Y84</f>
        <v>3552.34</v>
      </c>
      <c r="U491">
        <f>Source!P84</f>
        <v>3552.34</v>
      </c>
      <c r="V491">
        <f>Source!S84</f>
        <v>0</v>
      </c>
      <c r="W491">
        <f>Source!Q84</f>
        <v>0</v>
      </c>
      <c r="X491">
        <f>Source!R84</f>
        <v>0</v>
      </c>
      <c r="Y491">
        <f>Source!U84</f>
        <v>0</v>
      </c>
      <c r="Z491">
        <f>Source!V84</f>
        <v>0</v>
      </c>
      <c r="AA491">
        <f>Source!X84</f>
        <v>0</v>
      </c>
      <c r="AB491">
        <f>Source!Y84</f>
        <v>0</v>
      </c>
    </row>
    <row r="492" spans="1:28" ht="14.25" x14ac:dyDescent="0.2">
      <c r="C492" s="26" t="s">
        <v>1833</v>
      </c>
      <c r="D492" s="26">
        <f>Source!BC84</f>
        <v>7.13</v>
      </c>
      <c r="F492" s="12"/>
      <c r="G492" s="12"/>
      <c r="H492" s="12"/>
    </row>
    <row r="493" spans="1:28" ht="42.75" x14ac:dyDescent="0.2">
      <c r="A493" s="50">
        <v>58</v>
      </c>
      <c r="B493" s="50" t="str">
        <f>Source!E85</f>
        <v>31</v>
      </c>
      <c r="C493" s="50" t="str">
        <f>Source!G85</f>
        <v>Устройство покрытий из линолеума насухо со свариванием полотнищ в стыках</v>
      </c>
      <c r="D493" s="50" t="str">
        <f>Source!F85</f>
        <v>11-01-036-04</v>
      </c>
      <c r="E493" s="35" t="str">
        <f>Source!H85</f>
        <v>100 м2</v>
      </c>
      <c r="F493" s="12">
        <f>Source!I85</f>
        <v>1.927</v>
      </c>
      <c r="G493" s="25">
        <f>Source!AB85</f>
        <v>375.41</v>
      </c>
      <c r="H493" s="25">
        <f>Source!O85</f>
        <v>5157.95</v>
      </c>
      <c r="T493">
        <f>Source!O85+Source!X85+Source!Y85</f>
        <v>12680.64</v>
      </c>
      <c r="U493">
        <f>Source!P85</f>
        <v>0</v>
      </c>
      <c r="V493">
        <f>Source!S85</f>
        <v>4124.1899999999996</v>
      </c>
      <c r="W493">
        <f>Source!Q85</f>
        <v>1033.76</v>
      </c>
      <c r="X493">
        <f>Source!R85</f>
        <v>174.49</v>
      </c>
      <c r="Y493">
        <f>Source!U85</f>
        <v>69.606130499999992</v>
      </c>
      <c r="Z493">
        <f>Source!V85</f>
        <v>1.9751749999999999</v>
      </c>
      <c r="AA493">
        <f>Source!X85</f>
        <v>4771.53</v>
      </c>
      <c r="AB493">
        <f>Source!Y85</f>
        <v>2751.16</v>
      </c>
    </row>
    <row r="494" spans="1:28" ht="14.25" x14ac:dyDescent="0.2">
      <c r="C494" s="26" t="str">
        <f>"Объем: "&amp;Source!I85&amp;"=192,7/"&amp;"100"</f>
        <v>Объем: 1,927=192,7/100</v>
      </c>
      <c r="F494" s="12"/>
      <c r="G494" s="12"/>
      <c r="H494" s="12"/>
    </row>
    <row r="495" spans="1:28" x14ac:dyDescent="0.2">
      <c r="C495" s="26" t="s">
        <v>1831</v>
      </c>
      <c r="D495" s="26">
        <f>Source!BA85</f>
        <v>7.13</v>
      </c>
    </row>
    <row r="496" spans="1:28" x14ac:dyDescent="0.2">
      <c r="C496" s="26" t="s">
        <v>1832</v>
      </c>
      <c r="D496" s="26">
        <f>Source!BB85</f>
        <v>7.13</v>
      </c>
    </row>
    <row r="497" spans="1:28" x14ac:dyDescent="0.2">
      <c r="C497" s="26" t="s">
        <v>1833</v>
      </c>
      <c r="D497" s="26">
        <f>Source!BC85</f>
        <v>7.13</v>
      </c>
    </row>
    <row r="498" spans="1:28" x14ac:dyDescent="0.2">
      <c r="C498" s="26" t="s">
        <v>1834</v>
      </c>
      <c r="D498" s="26">
        <f>Source!BS85</f>
        <v>7.13</v>
      </c>
    </row>
    <row r="499" spans="1:28" x14ac:dyDescent="0.2">
      <c r="C499" s="26" t="s">
        <v>1841</v>
      </c>
      <c r="D499" s="116" t="s">
        <v>81</v>
      </c>
      <c r="E499" s="116"/>
      <c r="F499" s="116"/>
      <c r="G499" s="116"/>
      <c r="H499" s="116"/>
    </row>
    <row r="500" spans="1:28" x14ac:dyDescent="0.2">
      <c r="C500" s="26" t="s">
        <v>1842</v>
      </c>
      <c r="D500" s="116" t="s">
        <v>81</v>
      </c>
      <c r="E500" s="116"/>
      <c r="F500" s="116"/>
      <c r="G500" s="116"/>
      <c r="H500" s="116"/>
    </row>
    <row r="501" spans="1:28" x14ac:dyDescent="0.2">
      <c r="C501" s="26" t="s">
        <v>1843</v>
      </c>
      <c r="D501" s="116" t="s">
        <v>82</v>
      </c>
      <c r="E501" s="116"/>
      <c r="F501" s="116"/>
      <c r="G501" s="116"/>
      <c r="H501" s="116"/>
    </row>
    <row r="502" spans="1:28" x14ac:dyDescent="0.2">
      <c r="C502" s="26" t="s">
        <v>1844</v>
      </c>
      <c r="D502" s="116" t="s">
        <v>82</v>
      </c>
      <c r="E502" s="116"/>
      <c r="F502" s="116"/>
      <c r="G502" s="116"/>
      <c r="H502" s="116"/>
    </row>
    <row r="503" spans="1:28" x14ac:dyDescent="0.2">
      <c r="C503" s="26" t="s">
        <v>1845</v>
      </c>
      <c r="D503" s="116" t="s">
        <v>81</v>
      </c>
      <c r="E503" s="116"/>
      <c r="F503" s="116"/>
      <c r="G503" s="116"/>
      <c r="H503" s="116"/>
    </row>
    <row r="504" spans="1:28" x14ac:dyDescent="0.2">
      <c r="C504" s="9" t="s">
        <v>1835</v>
      </c>
      <c r="D504" s="38"/>
      <c r="E504" s="38"/>
      <c r="F504" s="38">
        <f>Source!BZ85</f>
        <v>123</v>
      </c>
      <c r="G504" s="61">
        <f>(Source!AF85+Source!AE85)*Source!FX85/100</f>
        <v>346.34709000000004</v>
      </c>
      <c r="H504" s="61">
        <f>Source!X85</f>
        <v>4771.53</v>
      </c>
    </row>
    <row r="505" spans="1:28" x14ac:dyDescent="0.2">
      <c r="C505" s="9" t="s">
        <v>1836</v>
      </c>
      <c r="D505" s="38"/>
      <c r="E505" s="38"/>
      <c r="F505" s="38"/>
      <c r="G505" s="38" t="str">
        <f>CONCATENATE(Source!DL85,Source!FT85, "=", Source!FX85, "%")</f>
        <v>*0,9=110,7%</v>
      </c>
      <c r="H505" s="38" t="str">
        <f>CONCATENATE(Source!AT85)</f>
        <v>111</v>
      </c>
    </row>
    <row r="506" spans="1:28" x14ac:dyDescent="0.2">
      <c r="C506" s="9" t="s">
        <v>1837</v>
      </c>
      <c r="D506" s="38"/>
      <c r="E506" s="38"/>
      <c r="F506" s="38">
        <f>Source!CA85</f>
        <v>75</v>
      </c>
      <c r="G506" s="61">
        <f>(Source!AF85+Source!AE85)*Source!FY85/100</f>
        <v>199.45462500000002</v>
      </c>
      <c r="H506" s="61">
        <f>Source!Y85</f>
        <v>2751.16</v>
      </c>
    </row>
    <row r="507" spans="1:28" x14ac:dyDescent="0.2">
      <c r="C507" s="9" t="s">
        <v>1838</v>
      </c>
      <c r="D507" s="38"/>
      <c r="E507" s="38"/>
      <c r="F507" s="38"/>
      <c r="G507" s="38" t="str">
        <f>CONCATENATE(Source!DM85,Source!FU85, "=", Source!FY85, "%")</f>
        <v>*0,85=63,75%</v>
      </c>
      <c r="H507" s="38" t="str">
        <f>CONCATENATE(Source!AU85)</f>
        <v>64</v>
      </c>
    </row>
    <row r="508" spans="1:28" x14ac:dyDescent="0.2">
      <c r="C508" s="9" t="s">
        <v>1839</v>
      </c>
      <c r="D508" s="38"/>
      <c r="E508" s="38"/>
      <c r="F508" s="38"/>
      <c r="G508" s="61">
        <f>((Source!AF85+Source!AE85)*Source!FX85/100)+((Source!AF85+Source!AE85)*Source!FY85/100)+Source!AB85</f>
        <v>921.21171500000014</v>
      </c>
      <c r="H508" s="61">
        <f>Source!O85+Source!X85+Source!Y85</f>
        <v>12680.64</v>
      </c>
    </row>
    <row r="509" spans="1:28" ht="28.5" x14ac:dyDescent="0.2">
      <c r="A509" s="50">
        <v>59</v>
      </c>
      <c r="B509" s="50" t="str">
        <f>Source!E86</f>
        <v>31,1</v>
      </c>
      <c r="C509" s="50" t="str">
        <f>Source!G86</f>
        <v>Лента полимерная (фторопластовая) для сварки линолеума</v>
      </c>
      <c r="D509" s="50" t="str">
        <f>Source!F86</f>
        <v>01.7.06.14-0034</v>
      </c>
      <c r="E509" s="35" t="str">
        <f>Source!H86</f>
        <v>100 м</v>
      </c>
      <c r="F509" s="12">
        <f>Source!I86</f>
        <v>1.31036</v>
      </c>
      <c r="G509" s="25">
        <f>Source!AB86</f>
        <v>99.4</v>
      </c>
      <c r="H509" s="25">
        <f>Source!O86</f>
        <v>928.68</v>
      </c>
      <c r="T509">
        <f>Source!O86+Source!X86+Source!Y86</f>
        <v>928.68</v>
      </c>
      <c r="U509">
        <f>Source!P86</f>
        <v>928.68</v>
      </c>
      <c r="V509">
        <f>Source!S86</f>
        <v>0</v>
      </c>
      <c r="W509">
        <f>Source!Q86</f>
        <v>0</v>
      </c>
      <c r="X509">
        <f>Source!R86</f>
        <v>0</v>
      </c>
      <c r="Y509">
        <f>Source!U86</f>
        <v>0</v>
      </c>
      <c r="Z509">
        <f>Source!V86</f>
        <v>0</v>
      </c>
      <c r="AA509">
        <f>Source!X86</f>
        <v>0</v>
      </c>
      <c r="AB509">
        <f>Source!Y86</f>
        <v>0</v>
      </c>
    </row>
    <row r="510" spans="1:28" ht="14.25" x14ac:dyDescent="0.2">
      <c r="C510" s="26" t="s">
        <v>1833</v>
      </c>
      <c r="D510" s="26">
        <f>Source!BC86</f>
        <v>7.13</v>
      </c>
      <c r="F510" s="12"/>
      <c r="G510" s="12"/>
      <c r="H510" s="12"/>
    </row>
    <row r="511" spans="1:28" ht="71.25" x14ac:dyDescent="0.2">
      <c r="A511" s="50">
        <v>60</v>
      </c>
      <c r="B511" s="50" t="str">
        <f>Source!E87</f>
        <v>31,2</v>
      </c>
      <c r="C511" s="50" t="str">
        <f>Source!G87</f>
        <v>Линолеум коммерческий гомогенный "ТАРКЕТТ iQ GRANIT SAFE.T", антискользящий (толщина 2 мм, класс 34/43, пож. безопасность Г4, В3, РП1, Д2, Т2)</v>
      </c>
      <c r="D511" s="50" t="str">
        <f>Source!F87</f>
        <v>01.6.03.04-0116</v>
      </c>
      <c r="E511" s="35" t="str">
        <f>Source!H87</f>
        <v>м2</v>
      </c>
      <c r="F511" s="12">
        <f>Source!I87</f>
        <v>196.554</v>
      </c>
      <c r="G511" s="25">
        <f>Source!AB87</f>
        <v>181.33</v>
      </c>
      <c r="H511" s="25">
        <f>Source!O87</f>
        <v>254121.31</v>
      </c>
      <c r="T511">
        <f>Source!O87+Source!X87+Source!Y87</f>
        <v>254121.31</v>
      </c>
      <c r="U511">
        <f>Source!P87</f>
        <v>254121.31</v>
      </c>
      <c r="V511">
        <f>Source!S87</f>
        <v>0</v>
      </c>
      <c r="W511">
        <f>Source!Q87</f>
        <v>0</v>
      </c>
      <c r="X511">
        <f>Source!R87</f>
        <v>0</v>
      </c>
      <c r="Y511">
        <f>Source!U87</f>
        <v>0</v>
      </c>
      <c r="Z511">
        <f>Source!V87</f>
        <v>0</v>
      </c>
      <c r="AA511">
        <f>Source!X87</f>
        <v>0</v>
      </c>
      <c r="AB511">
        <f>Source!Y87</f>
        <v>0</v>
      </c>
    </row>
    <row r="512" spans="1:28" ht="14.25" x14ac:dyDescent="0.2">
      <c r="C512" s="26" t="s">
        <v>1833</v>
      </c>
      <c r="D512" s="26">
        <f>Source!BC87</f>
        <v>7.13</v>
      </c>
      <c r="F512" s="12"/>
      <c r="G512" s="12"/>
      <c r="H512" s="12"/>
    </row>
    <row r="513" spans="1:28" ht="42.75" x14ac:dyDescent="0.2">
      <c r="A513" s="50">
        <v>61</v>
      </c>
      <c r="B513" s="50" t="str">
        <f>Source!E88</f>
        <v>32</v>
      </c>
      <c r="C513" s="50" t="str">
        <f>Source!G88</f>
        <v>Устройство покрытий на цементном растворе из плиток керамических для полов одноцветных с красителем</v>
      </c>
      <c r="D513" s="50" t="str">
        <f>Source!F88</f>
        <v>11-01-027-03</v>
      </c>
      <c r="E513" s="35" t="str">
        <f>Source!H88</f>
        <v>100 м2</v>
      </c>
      <c r="F513" s="12">
        <f>Source!I88</f>
        <v>0.33800000000000002</v>
      </c>
      <c r="G513" s="25">
        <f>Source!AB88</f>
        <v>8389.14</v>
      </c>
      <c r="H513" s="25">
        <f>Source!O88</f>
        <v>20217.330000000002</v>
      </c>
      <c r="T513">
        <f>Source!O88+Source!X88+Source!Y88</f>
        <v>25494.590000000004</v>
      </c>
      <c r="U513">
        <f>Source!P88</f>
        <v>16946.34</v>
      </c>
      <c r="V513">
        <f>Source!S88</f>
        <v>2901.35</v>
      </c>
      <c r="W513">
        <f>Source!Q88</f>
        <v>369.64</v>
      </c>
      <c r="X513">
        <f>Source!R88</f>
        <v>114.23</v>
      </c>
      <c r="Y513">
        <f>Source!U88</f>
        <v>46.558485999999995</v>
      </c>
      <c r="Z513">
        <f>Source!V88</f>
        <v>1.2421500000000001</v>
      </c>
      <c r="AA513">
        <f>Source!X88</f>
        <v>3347.29</v>
      </c>
      <c r="AB513">
        <f>Source!Y88</f>
        <v>1929.97</v>
      </c>
    </row>
    <row r="514" spans="1:28" ht="14.25" x14ac:dyDescent="0.2">
      <c r="C514" s="26" t="str">
        <f>"Объем: "&amp;Source!I88&amp;"=33,8/"&amp;"100"</f>
        <v>Объем: 0,338=33,8/100</v>
      </c>
      <c r="F514" s="12"/>
      <c r="G514" s="12"/>
      <c r="H514" s="12"/>
    </row>
    <row r="515" spans="1:28" x14ac:dyDescent="0.2">
      <c r="C515" s="26" t="s">
        <v>1831</v>
      </c>
      <c r="D515" s="26">
        <f>Source!BA88</f>
        <v>7.13</v>
      </c>
    </row>
    <row r="516" spans="1:28" x14ac:dyDescent="0.2">
      <c r="C516" s="26" t="s">
        <v>1832</v>
      </c>
      <c r="D516" s="26">
        <f>Source!BB88</f>
        <v>7.13</v>
      </c>
    </row>
    <row r="517" spans="1:28" x14ac:dyDescent="0.2">
      <c r="C517" s="26" t="s">
        <v>1833</v>
      </c>
      <c r="D517" s="26">
        <f>Source!BC88</f>
        <v>7.13</v>
      </c>
    </row>
    <row r="518" spans="1:28" x14ac:dyDescent="0.2">
      <c r="C518" s="26" t="s">
        <v>1834</v>
      </c>
      <c r="D518" s="26">
        <f>Source!BS88</f>
        <v>7.13</v>
      </c>
    </row>
    <row r="519" spans="1:28" x14ac:dyDescent="0.2">
      <c r="C519" s="26" t="s">
        <v>1841</v>
      </c>
      <c r="D519" s="116" t="s">
        <v>81</v>
      </c>
      <c r="E519" s="116"/>
      <c r="F519" s="116"/>
      <c r="G519" s="116"/>
      <c r="H519" s="116"/>
    </row>
    <row r="520" spans="1:28" x14ac:dyDescent="0.2">
      <c r="C520" s="26" t="s">
        <v>1842</v>
      </c>
      <c r="D520" s="116" t="s">
        <v>81</v>
      </c>
      <c r="E520" s="116"/>
      <c r="F520" s="116"/>
      <c r="G520" s="116"/>
      <c r="H520" s="116"/>
    </row>
    <row r="521" spans="1:28" x14ac:dyDescent="0.2">
      <c r="C521" s="26" t="s">
        <v>1843</v>
      </c>
      <c r="D521" s="116" t="s">
        <v>82</v>
      </c>
      <c r="E521" s="116"/>
      <c r="F521" s="116"/>
      <c r="G521" s="116"/>
      <c r="H521" s="116"/>
    </row>
    <row r="522" spans="1:28" x14ac:dyDescent="0.2">
      <c r="C522" s="26" t="s">
        <v>1844</v>
      </c>
      <c r="D522" s="116" t="s">
        <v>82</v>
      </c>
      <c r="E522" s="116"/>
      <c r="F522" s="116"/>
      <c r="G522" s="116"/>
      <c r="H522" s="116"/>
    </row>
    <row r="523" spans="1:28" x14ac:dyDescent="0.2">
      <c r="C523" s="26" t="s">
        <v>1845</v>
      </c>
      <c r="D523" s="116" t="s">
        <v>81</v>
      </c>
      <c r="E523" s="116"/>
      <c r="F523" s="116"/>
      <c r="G523" s="116"/>
      <c r="H523" s="116"/>
    </row>
    <row r="524" spans="1:28" x14ac:dyDescent="0.2">
      <c r="C524" s="9" t="s">
        <v>1835</v>
      </c>
      <c r="D524" s="38"/>
      <c r="E524" s="38"/>
      <c r="F524" s="38">
        <f>Source!BZ88</f>
        <v>123</v>
      </c>
      <c r="G524" s="61">
        <f>(Source!AF88+Source!AE88)*Source!FX88/100</f>
        <v>1385.2001700000003</v>
      </c>
      <c r="H524" s="61">
        <f>Source!X88</f>
        <v>3347.29</v>
      </c>
    </row>
    <row r="525" spans="1:28" x14ac:dyDescent="0.2">
      <c r="C525" s="9" t="s">
        <v>1836</v>
      </c>
      <c r="D525" s="38"/>
      <c r="E525" s="38"/>
      <c r="F525" s="38"/>
      <c r="G525" s="38" t="str">
        <f>CONCATENATE(Source!DL88,Source!FT88, "=", Source!FX88, "%")</f>
        <v>*0,9=110,7%</v>
      </c>
      <c r="H525" s="38" t="str">
        <f>CONCATENATE(Source!AT88)</f>
        <v>111</v>
      </c>
    </row>
    <row r="526" spans="1:28" x14ac:dyDescent="0.2">
      <c r="C526" s="9" t="s">
        <v>1837</v>
      </c>
      <c r="D526" s="38"/>
      <c r="E526" s="38"/>
      <c r="F526" s="38">
        <f>Source!CA88</f>
        <v>75</v>
      </c>
      <c r="G526" s="61">
        <f>(Source!AF88+Source!AE88)*Source!FY88/100</f>
        <v>797.71012500000006</v>
      </c>
      <c r="H526" s="61">
        <f>Source!Y88</f>
        <v>1929.97</v>
      </c>
    </row>
    <row r="527" spans="1:28" x14ac:dyDescent="0.2">
      <c r="C527" s="9" t="s">
        <v>1838</v>
      </c>
      <c r="D527" s="38"/>
      <c r="E527" s="38"/>
      <c r="F527" s="38"/>
      <c r="G527" s="38" t="str">
        <f>CONCATENATE(Source!DM88,Source!FU88, "=", Source!FY88, "%")</f>
        <v>*0,85=63,75%</v>
      </c>
      <c r="H527" s="38" t="str">
        <f>CONCATENATE(Source!AU88)</f>
        <v>64</v>
      </c>
    </row>
    <row r="528" spans="1:28" x14ac:dyDescent="0.2">
      <c r="C528" s="9" t="s">
        <v>1839</v>
      </c>
      <c r="D528" s="38"/>
      <c r="E528" s="38"/>
      <c r="F528" s="38"/>
      <c r="G528" s="61">
        <f>((Source!AF88+Source!AE88)*Source!FX88/100)+((Source!AF88+Source!AE88)*Source!FY88/100)+Source!AB88</f>
        <v>10572.050295000001</v>
      </c>
      <c r="H528" s="61">
        <f>Source!O88+Source!X88+Source!Y88</f>
        <v>25494.590000000004</v>
      </c>
    </row>
    <row r="529" spans="1:28" ht="28.5" x14ac:dyDescent="0.2">
      <c r="A529" s="50">
        <v>62</v>
      </c>
      <c r="B529" s="50" t="str">
        <f>Source!E89</f>
        <v>32,1</v>
      </c>
      <c r="C529" s="50" t="str">
        <f>Source!G89</f>
        <v>Клей плиточный «Юнис Гранит»</v>
      </c>
      <c r="D529" s="50" t="str">
        <f>Source!F89</f>
        <v>14.1.06.02-0044</v>
      </c>
      <c r="E529" s="35" t="str">
        <f>Source!H89</f>
        <v>кг</v>
      </c>
      <c r="F529" s="12">
        <f>Source!I89</f>
        <v>121.68</v>
      </c>
      <c r="G529" s="25">
        <f>Source!AB89</f>
        <v>3.69</v>
      </c>
      <c r="H529" s="25">
        <f>Source!O89</f>
        <v>3201.36</v>
      </c>
      <c r="T529">
        <f>Source!O89+Source!X89+Source!Y89</f>
        <v>3201.36</v>
      </c>
      <c r="U529">
        <f>Source!P89</f>
        <v>3201.36</v>
      </c>
      <c r="V529">
        <f>Source!S89</f>
        <v>0</v>
      </c>
      <c r="W529">
        <f>Source!Q89</f>
        <v>0</v>
      </c>
      <c r="X529">
        <f>Source!R89</f>
        <v>0</v>
      </c>
      <c r="Y529">
        <f>Source!U89</f>
        <v>0</v>
      </c>
      <c r="Z529">
        <f>Source!V89</f>
        <v>0</v>
      </c>
      <c r="AA529">
        <f>Source!X89</f>
        <v>0</v>
      </c>
      <c r="AB529">
        <f>Source!Y89</f>
        <v>0</v>
      </c>
    </row>
    <row r="530" spans="1:28" ht="14.25" x14ac:dyDescent="0.2">
      <c r="C530" s="26" t="s">
        <v>1833</v>
      </c>
      <c r="D530" s="26">
        <f>Source!BC89</f>
        <v>7.13</v>
      </c>
      <c r="F530" s="12"/>
      <c r="G530" s="12"/>
      <c r="H530" s="12"/>
    </row>
    <row r="531" spans="1:28" ht="28.5" x14ac:dyDescent="0.2">
      <c r="A531" s="50">
        <v>63</v>
      </c>
      <c r="B531" s="50" t="str">
        <f>Source!E90</f>
        <v>33</v>
      </c>
      <c r="C531" s="50" t="str">
        <f>Source!G90</f>
        <v>Устройство покрытий из плит керамогранитных размером 40х40 см</v>
      </c>
      <c r="D531" s="50" t="str">
        <f>Source!F90</f>
        <v>11-01-047-01</v>
      </c>
      <c r="E531" s="35" t="str">
        <f>Source!H90</f>
        <v>100 м2</v>
      </c>
      <c r="F531" s="12">
        <f>Source!I90</f>
        <v>0.371</v>
      </c>
      <c r="G531" s="25">
        <f>Source!AB90</f>
        <v>21989.86</v>
      </c>
      <c r="H531" s="25">
        <f>Source!O90</f>
        <v>58168.24</v>
      </c>
      <c r="T531">
        <f>Source!O90+Source!X90+Source!Y90</f>
        <v>72712.66</v>
      </c>
      <c r="U531">
        <f>Source!P90</f>
        <v>49835.18</v>
      </c>
      <c r="V531">
        <f>Source!S90</f>
        <v>8253.2000000000007</v>
      </c>
      <c r="W531">
        <f>Source!Q90</f>
        <v>79.86</v>
      </c>
      <c r="X531">
        <f>Source!R90</f>
        <v>57.9</v>
      </c>
      <c r="Y531">
        <f>Source!U90</f>
        <v>132.44069300000001</v>
      </c>
      <c r="Z531">
        <f>Source!V90</f>
        <v>0.80228750000000004</v>
      </c>
      <c r="AA531">
        <f>Source!X90</f>
        <v>9225.32</v>
      </c>
      <c r="AB531">
        <f>Source!Y90</f>
        <v>5319.1</v>
      </c>
    </row>
    <row r="532" spans="1:28" ht="14.25" x14ac:dyDescent="0.2">
      <c r="C532" s="26" t="str">
        <f>"Объем: "&amp;Source!I90&amp;"=37,1/"&amp;"100"</f>
        <v>Объем: 0,371=37,1/100</v>
      </c>
      <c r="F532" s="12"/>
      <c r="G532" s="12"/>
      <c r="H532" s="12"/>
    </row>
    <row r="533" spans="1:28" x14ac:dyDescent="0.2">
      <c r="C533" s="26" t="s">
        <v>1831</v>
      </c>
      <c r="D533" s="26">
        <f>Source!BA90</f>
        <v>7.13</v>
      </c>
    </row>
    <row r="534" spans="1:28" x14ac:dyDescent="0.2">
      <c r="C534" s="26" t="s">
        <v>1832</v>
      </c>
      <c r="D534" s="26">
        <f>Source!BB90</f>
        <v>7.13</v>
      </c>
    </row>
    <row r="535" spans="1:28" x14ac:dyDescent="0.2">
      <c r="C535" s="26" t="s">
        <v>1833</v>
      </c>
      <c r="D535" s="26">
        <f>Source!BC90</f>
        <v>7.13</v>
      </c>
    </row>
    <row r="536" spans="1:28" x14ac:dyDescent="0.2">
      <c r="C536" s="26" t="s">
        <v>1834</v>
      </c>
      <c r="D536" s="26">
        <f>Source!BS90</f>
        <v>7.13</v>
      </c>
    </row>
    <row r="537" spans="1:28" x14ac:dyDescent="0.2">
      <c r="C537" s="26" t="s">
        <v>1841</v>
      </c>
      <c r="D537" s="116" t="s">
        <v>81</v>
      </c>
      <c r="E537" s="116"/>
      <c r="F537" s="116"/>
      <c r="G537" s="116"/>
      <c r="H537" s="116"/>
    </row>
    <row r="538" spans="1:28" x14ac:dyDescent="0.2">
      <c r="C538" s="26" t="s">
        <v>1842</v>
      </c>
      <c r="D538" s="116" t="s">
        <v>81</v>
      </c>
      <c r="E538" s="116"/>
      <c r="F538" s="116"/>
      <c r="G538" s="116"/>
      <c r="H538" s="116"/>
    </row>
    <row r="539" spans="1:28" x14ac:dyDescent="0.2">
      <c r="C539" s="26" t="s">
        <v>1843</v>
      </c>
      <c r="D539" s="116" t="s">
        <v>82</v>
      </c>
      <c r="E539" s="116"/>
      <c r="F539" s="116"/>
      <c r="G539" s="116"/>
      <c r="H539" s="116"/>
    </row>
    <row r="540" spans="1:28" x14ac:dyDescent="0.2">
      <c r="C540" s="26" t="s">
        <v>1844</v>
      </c>
      <c r="D540" s="116" t="s">
        <v>82</v>
      </c>
      <c r="E540" s="116"/>
      <c r="F540" s="116"/>
      <c r="G540" s="116"/>
      <c r="H540" s="116"/>
    </row>
    <row r="541" spans="1:28" x14ac:dyDescent="0.2">
      <c r="C541" s="26" t="s">
        <v>1845</v>
      </c>
      <c r="D541" s="116" t="s">
        <v>81</v>
      </c>
      <c r="E541" s="116"/>
      <c r="F541" s="116"/>
      <c r="G541" s="116"/>
      <c r="H541" s="116"/>
    </row>
    <row r="542" spans="1:28" x14ac:dyDescent="0.2">
      <c r="C542" s="9" t="s">
        <v>1835</v>
      </c>
      <c r="D542" s="38"/>
      <c r="E542" s="38"/>
      <c r="F542" s="38">
        <f>Source!BZ90</f>
        <v>123</v>
      </c>
      <c r="G542" s="61">
        <f>(Source!AF90+Source!AE90)*Source!FX90/100</f>
        <v>3478.1054399999998</v>
      </c>
      <c r="H542" s="61">
        <f>Source!X90</f>
        <v>9225.32</v>
      </c>
    </row>
    <row r="543" spans="1:28" x14ac:dyDescent="0.2">
      <c r="C543" s="9" t="s">
        <v>1836</v>
      </c>
      <c r="D543" s="38"/>
      <c r="E543" s="38"/>
      <c r="F543" s="38"/>
      <c r="G543" s="38" t="str">
        <f>CONCATENATE(Source!DL90,Source!FT90, "=", Source!FX90, "%")</f>
        <v>*0,9=110,7%</v>
      </c>
      <c r="H543" s="38" t="str">
        <f>CONCATENATE(Source!AT90)</f>
        <v>111</v>
      </c>
    </row>
    <row r="544" spans="1:28" x14ac:dyDescent="0.2">
      <c r="C544" s="9" t="s">
        <v>1837</v>
      </c>
      <c r="D544" s="38"/>
      <c r="E544" s="38"/>
      <c r="F544" s="38">
        <f>Source!CA90</f>
        <v>75</v>
      </c>
      <c r="G544" s="61">
        <f>(Source!AF90+Source!AE90)*Source!FY90/100</f>
        <v>2002.9739999999999</v>
      </c>
      <c r="H544" s="61">
        <f>Source!Y90</f>
        <v>5319.1</v>
      </c>
    </row>
    <row r="545" spans="1:28" x14ac:dyDescent="0.2">
      <c r="C545" s="9" t="s">
        <v>1838</v>
      </c>
      <c r="D545" s="38"/>
      <c r="E545" s="38"/>
      <c r="F545" s="38"/>
      <c r="G545" s="38" t="str">
        <f>CONCATENATE(Source!DM90,Source!FU90, "=", Source!FY90, "%")</f>
        <v>*0,85=63,75%</v>
      </c>
      <c r="H545" s="38" t="str">
        <f>CONCATENATE(Source!AU90)</f>
        <v>64</v>
      </c>
    </row>
    <row r="546" spans="1:28" x14ac:dyDescent="0.2">
      <c r="C546" s="9" t="s">
        <v>1839</v>
      </c>
      <c r="D546" s="38"/>
      <c r="E546" s="38"/>
      <c r="F546" s="38"/>
      <c r="G546" s="61">
        <f>((Source!AF90+Source!AE90)*Source!FX90/100)+((Source!AF90+Source!AE90)*Source!FY90/100)+Source!AB90</f>
        <v>27470.939440000002</v>
      </c>
      <c r="H546" s="61">
        <f>Source!O90+Source!X90+Source!Y90</f>
        <v>72712.66</v>
      </c>
    </row>
    <row r="547" spans="1:28" ht="57" x14ac:dyDescent="0.2">
      <c r="A547" s="50">
        <v>64</v>
      </c>
      <c r="B547" s="50" t="str">
        <f>Source!E91</f>
        <v>34</v>
      </c>
      <c r="C547" s="50" t="str">
        <f>Source!G91</f>
        <v>Сплошное выравнивание внутренних поверхностей (однослойное оштукатуривание) из сухих растворных смесей толщиной до 10 мм стен</v>
      </c>
      <c r="D547" s="50" t="str">
        <f>Source!F91</f>
        <v>15-02-019-03</v>
      </c>
      <c r="E547" s="35" t="str">
        <f>Source!H91</f>
        <v>100 м2</v>
      </c>
      <c r="F547" s="12">
        <f>Source!I91</f>
        <v>4.6943999999999999</v>
      </c>
      <c r="G547" s="25">
        <f>Source!AB91</f>
        <v>341.24</v>
      </c>
      <c r="H547" s="25">
        <f>Source!O91</f>
        <v>11421.67</v>
      </c>
      <c r="T547">
        <f>Source!O91+Source!X91+Source!Y91</f>
        <v>27168.49</v>
      </c>
      <c r="U547">
        <f>Source!P91</f>
        <v>41.5</v>
      </c>
      <c r="V547">
        <f>Source!S91</f>
        <v>10667.57</v>
      </c>
      <c r="W547">
        <f>Source!Q91</f>
        <v>712.6</v>
      </c>
      <c r="X547">
        <f>Source!R91</f>
        <v>421.74</v>
      </c>
      <c r="Y547">
        <f>Source!U91</f>
        <v>175.39921440000001</v>
      </c>
      <c r="Z547">
        <f>Source!V91</f>
        <v>5.4572400000000005</v>
      </c>
      <c r="AA547">
        <f>Source!X91</f>
        <v>10534.84</v>
      </c>
      <c r="AB547">
        <f>Source!Y91</f>
        <v>5211.9799999999996</v>
      </c>
    </row>
    <row r="548" spans="1:28" ht="14.25" x14ac:dyDescent="0.2">
      <c r="C548" s="26" t="str">
        <f>"Объем: "&amp;Source!I91&amp;"=469,44/"&amp;"100"</f>
        <v>Объем: 4,6944=469,44/100</v>
      </c>
      <c r="F548" s="12"/>
      <c r="G548" s="12"/>
      <c r="H548" s="12"/>
    </row>
    <row r="549" spans="1:28" x14ac:dyDescent="0.2">
      <c r="C549" s="26" t="s">
        <v>1831</v>
      </c>
      <c r="D549" s="26">
        <f>Source!BA91</f>
        <v>7.13</v>
      </c>
    </row>
    <row r="550" spans="1:28" x14ac:dyDescent="0.2">
      <c r="C550" s="26" t="s">
        <v>1832</v>
      </c>
      <c r="D550" s="26">
        <f>Source!BB91</f>
        <v>7.13</v>
      </c>
    </row>
    <row r="551" spans="1:28" x14ac:dyDescent="0.2">
      <c r="C551" s="26" t="s">
        <v>1833</v>
      </c>
      <c r="D551" s="26">
        <f>Source!BC91</f>
        <v>7.13</v>
      </c>
    </row>
    <row r="552" spans="1:28" x14ac:dyDescent="0.2">
      <c r="C552" s="26" t="s">
        <v>1834</v>
      </c>
      <c r="D552" s="26">
        <f>Source!BS91</f>
        <v>7.13</v>
      </c>
    </row>
    <row r="553" spans="1:28" x14ac:dyDescent="0.2">
      <c r="C553" s="26" t="s">
        <v>1841</v>
      </c>
      <c r="D553" s="116" t="s">
        <v>81</v>
      </c>
      <c r="E553" s="116"/>
      <c r="F553" s="116"/>
      <c r="G553" s="116"/>
      <c r="H553" s="116"/>
    </row>
    <row r="554" spans="1:28" x14ac:dyDescent="0.2">
      <c r="C554" s="26" t="s">
        <v>1842</v>
      </c>
      <c r="D554" s="116" t="s">
        <v>81</v>
      </c>
      <c r="E554" s="116"/>
      <c r="F554" s="116"/>
      <c r="G554" s="116"/>
      <c r="H554" s="116"/>
    </row>
    <row r="555" spans="1:28" x14ac:dyDescent="0.2">
      <c r="C555" s="26" t="s">
        <v>1843</v>
      </c>
      <c r="D555" s="116" t="s">
        <v>82</v>
      </c>
      <c r="E555" s="116"/>
      <c r="F555" s="116"/>
      <c r="G555" s="116"/>
      <c r="H555" s="116"/>
    </row>
    <row r="556" spans="1:28" x14ac:dyDescent="0.2">
      <c r="C556" s="26" t="s">
        <v>1844</v>
      </c>
      <c r="D556" s="116" t="s">
        <v>82</v>
      </c>
      <c r="E556" s="116"/>
      <c r="F556" s="116"/>
      <c r="G556" s="116"/>
      <c r="H556" s="116"/>
    </row>
    <row r="557" spans="1:28" x14ac:dyDescent="0.2">
      <c r="C557" s="26" t="s">
        <v>1845</v>
      </c>
      <c r="D557" s="116" t="s">
        <v>81</v>
      </c>
      <c r="E557" s="116"/>
      <c r="F557" s="116"/>
      <c r="G557" s="116"/>
      <c r="H557" s="116"/>
    </row>
    <row r="558" spans="1:28" x14ac:dyDescent="0.2">
      <c r="C558" s="9" t="s">
        <v>1835</v>
      </c>
      <c r="D558" s="38"/>
      <c r="E558" s="38"/>
      <c r="F558" s="38">
        <f>Source!BZ91</f>
        <v>105</v>
      </c>
      <c r="G558" s="61">
        <f>(Source!AF91+Source!AE91)*Source!FX91/100</f>
        <v>313.08795000000003</v>
      </c>
      <c r="H558" s="61">
        <f>Source!X91</f>
        <v>10534.84</v>
      </c>
    </row>
    <row r="559" spans="1:28" x14ac:dyDescent="0.2">
      <c r="C559" s="9" t="s">
        <v>1836</v>
      </c>
      <c r="D559" s="38"/>
      <c r="E559" s="38"/>
      <c r="F559" s="38"/>
      <c r="G559" s="38" t="str">
        <f>CONCATENATE(Source!DL91,Source!FT91, "=", Source!FX91, "%")</f>
        <v>*0,9=94,5%</v>
      </c>
      <c r="H559" s="38" t="str">
        <f>CONCATENATE(Source!AT91)</f>
        <v>95</v>
      </c>
    </row>
    <row r="560" spans="1:28" x14ac:dyDescent="0.2">
      <c r="C560" s="9" t="s">
        <v>1837</v>
      </c>
      <c r="D560" s="38"/>
      <c r="E560" s="38"/>
      <c r="F560" s="38">
        <f>Source!CA91</f>
        <v>55</v>
      </c>
      <c r="G560" s="61">
        <f>(Source!AF91+Source!AE91)*Source!FY91/100</f>
        <v>154.88742500000001</v>
      </c>
      <c r="H560" s="61">
        <f>Source!Y91</f>
        <v>5211.9799999999996</v>
      </c>
    </row>
    <row r="561" spans="1:28" x14ac:dyDescent="0.2">
      <c r="C561" s="9" t="s">
        <v>1838</v>
      </c>
      <c r="D561" s="38"/>
      <c r="E561" s="38"/>
      <c r="F561" s="38"/>
      <c r="G561" s="38" t="str">
        <f>CONCATENATE(Source!DM91,Source!FU91, "=", Source!FY91, "%")</f>
        <v>*0,85=46,75%</v>
      </c>
      <c r="H561" s="38" t="str">
        <f>CONCATENATE(Source!AU91)</f>
        <v>47</v>
      </c>
    </row>
    <row r="562" spans="1:28" x14ac:dyDescent="0.2">
      <c r="C562" s="9" t="s">
        <v>1839</v>
      </c>
      <c r="D562" s="38"/>
      <c r="E562" s="38"/>
      <c r="F562" s="38"/>
      <c r="G562" s="61">
        <f>((Source!AF91+Source!AE91)*Source!FX91/100)+((Source!AF91+Source!AE91)*Source!FY91/100)+Source!AB91</f>
        <v>809.21537499999999</v>
      </c>
      <c r="H562" s="61">
        <f>Source!O91+Source!X91+Source!Y91</f>
        <v>27168.49</v>
      </c>
    </row>
    <row r="563" spans="1:28" ht="42.75" x14ac:dyDescent="0.2">
      <c r="A563" s="50">
        <v>65</v>
      </c>
      <c r="B563" s="50" t="str">
        <f>Source!E92</f>
        <v>34,1</v>
      </c>
      <c r="C563" s="50" t="str">
        <f>Source!G92</f>
        <v>Смесь сухая штукатурная цементно-известково-песчаная "БИРСС 22" (марка М100)</v>
      </c>
      <c r="D563" s="50" t="str">
        <f>Source!F92</f>
        <v>04.3.02.12-0002</v>
      </c>
      <c r="E563" s="35" t="str">
        <f>Source!H92</f>
        <v>т</v>
      </c>
      <c r="F563" s="12">
        <f>Source!I92</f>
        <v>3.99024</v>
      </c>
      <c r="G563" s="25">
        <f>Source!AB92</f>
        <v>931.37</v>
      </c>
      <c r="H563" s="25">
        <f>Source!O92</f>
        <v>26497.86</v>
      </c>
      <c r="T563">
        <f>Source!O92+Source!X92+Source!Y92</f>
        <v>26497.86</v>
      </c>
      <c r="U563">
        <f>Source!P92</f>
        <v>26497.86</v>
      </c>
      <c r="V563">
        <f>Source!S92</f>
        <v>0</v>
      </c>
      <c r="W563">
        <f>Source!Q92</f>
        <v>0</v>
      </c>
      <c r="X563">
        <f>Source!R92</f>
        <v>0</v>
      </c>
      <c r="Y563">
        <f>Source!U92</f>
        <v>0</v>
      </c>
      <c r="Z563">
        <f>Source!V92</f>
        <v>0</v>
      </c>
      <c r="AA563">
        <f>Source!X92</f>
        <v>0</v>
      </c>
      <c r="AB563">
        <f>Source!Y92</f>
        <v>0</v>
      </c>
    </row>
    <row r="564" spans="1:28" ht="14.25" x14ac:dyDescent="0.2">
      <c r="C564" s="26" t="s">
        <v>1833</v>
      </c>
      <c r="D564" s="26">
        <f>Source!BC92</f>
        <v>7.13</v>
      </c>
      <c r="F564" s="12"/>
      <c r="G564" s="12"/>
      <c r="H564" s="12"/>
    </row>
    <row r="565" spans="1:28" ht="28.5" x14ac:dyDescent="0.2">
      <c r="A565" s="50">
        <v>66</v>
      </c>
      <c r="B565" s="50" t="str">
        <f>Source!E93</f>
        <v>35</v>
      </c>
      <c r="C565" s="50" t="str">
        <f>Source!G93</f>
        <v>Покрытие поверхностей грунтовкой глубокого проникновения за 1 раз стен</v>
      </c>
      <c r="D565" s="50" t="str">
        <f>Source!F93</f>
        <v>15-04-006-03</v>
      </c>
      <c r="E565" s="35" t="str">
        <f>Source!H93</f>
        <v>100 м2</v>
      </c>
      <c r="F565" s="12">
        <f>Source!I93</f>
        <v>6.0782999999999996</v>
      </c>
      <c r="G565" s="25">
        <f>Source!AB93</f>
        <v>73.86</v>
      </c>
      <c r="H565" s="25">
        <f>Source!O93</f>
        <v>3200.96</v>
      </c>
      <c r="T565">
        <f>Source!O93+Source!X93+Source!Y93</f>
        <v>7680.48</v>
      </c>
      <c r="U565">
        <f>Source!P93</f>
        <v>7.8</v>
      </c>
      <c r="V565">
        <f>Source!S93</f>
        <v>3140.29</v>
      </c>
      <c r="W565">
        <f>Source!Q93</f>
        <v>52.87</v>
      </c>
      <c r="X565">
        <f>Source!R93</f>
        <v>14.3</v>
      </c>
      <c r="Y565">
        <f>Source!U93</f>
        <v>45.784794749999989</v>
      </c>
      <c r="Z565">
        <f>Source!V93</f>
        <v>0.1519575</v>
      </c>
      <c r="AA565">
        <f>Source!X93</f>
        <v>2996.86</v>
      </c>
      <c r="AB565">
        <f>Source!Y93</f>
        <v>1482.66</v>
      </c>
    </row>
    <row r="566" spans="1:28" ht="14.25" x14ac:dyDescent="0.2">
      <c r="C566" s="26" t="str">
        <f>"Объем: "&amp;Source!I93&amp;"=607,83/"&amp;"100"</f>
        <v>Объем: 6,0783=607,83/100</v>
      </c>
      <c r="F566" s="12"/>
      <c r="G566" s="12"/>
      <c r="H566" s="12"/>
    </row>
    <row r="567" spans="1:28" x14ac:dyDescent="0.2">
      <c r="C567" s="26" t="s">
        <v>1831</v>
      </c>
      <c r="D567" s="26">
        <f>Source!BA93</f>
        <v>7.13</v>
      </c>
    </row>
    <row r="568" spans="1:28" x14ac:dyDescent="0.2">
      <c r="C568" s="26" t="s">
        <v>1832</v>
      </c>
      <c r="D568" s="26">
        <f>Source!BB93</f>
        <v>7.13</v>
      </c>
    </row>
    <row r="569" spans="1:28" x14ac:dyDescent="0.2">
      <c r="C569" s="26" t="s">
        <v>1833</v>
      </c>
      <c r="D569" s="26">
        <f>Source!BC93</f>
        <v>7.13</v>
      </c>
    </row>
    <row r="570" spans="1:28" x14ac:dyDescent="0.2">
      <c r="C570" s="26" t="s">
        <v>1834</v>
      </c>
      <c r="D570" s="26">
        <f>Source!BS93</f>
        <v>7.13</v>
      </c>
    </row>
    <row r="571" spans="1:28" x14ac:dyDescent="0.2">
      <c r="C571" s="26" t="s">
        <v>1841</v>
      </c>
      <c r="D571" s="116" t="s">
        <v>81</v>
      </c>
      <c r="E571" s="116"/>
      <c r="F571" s="116"/>
      <c r="G571" s="116"/>
      <c r="H571" s="116"/>
    </row>
    <row r="572" spans="1:28" x14ac:dyDescent="0.2">
      <c r="C572" s="26" t="s">
        <v>1842</v>
      </c>
      <c r="D572" s="116" t="s">
        <v>81</v>
      </c>
      <c r="E572" s="116"/>
      <c r="F572" s="116"/>
      <c r="G572" s="116"/>
      <c r="H572" s="116"/>
    </row>
    <row r="573" spans="1:28" x14ac:dyDescent="0.2">
      <c r="C573" s="26" t="s">
        <v>1843</v>
      </c>
      <c r="D573" s="116" t="s">
        <v>82</v>
      </c>
      <c r="E573" s="116"/>
      <c r="F573" s="116"/>
      <c r="G573" s="116"/>
      <c r="H573" s="116"/>
    </row>
    <row r="574" spans="1:28" x14ac:dyDescent="0.2">
      <c r="C574" s="26" t="s">
        <v>1844</v>
      </c>
      <c r="D574" s="116" t="s">
        <v>82</v>
      </c>
      <c r="E574" s="116"/>
      <c r="F574" s="116"/>
      <c r="G574" s="116"/>
      <c r="H574" s="116"/>
    </row>
    <row r="575" spans="1:28" x14ac:dyDescent="0.2">
      <c r="C575" s="26" t="s">
        <v>1845</v>
      </c>
      <c r="D575" s="116" t="s">
        <v>81</v>
      </c>
      <c r="E575" s="116"/>
      <c r="F575" s="116"/>
      <c r="G575" s="116"/>
      <c r="H575" s="116"/>
    </row>
    <row r="576" spans="1:28" x14ac:dyDescent="0.2">
      <c r="C576" s="9" t="s">
        <v>1835</v>
      </c>
      <c r="D576" s="38"/>
      <c r="E576" s="38"/>
      <c r="F576" s="38">
        <f>Source!BZ93</f>
        <v>105</v>
      </c>
      <c r="G576" s="61">
        <f>(Source!AF93+Source!AE93)*Source!FX93/100</f>
        <v>68.786549999999991</v>
      </c>
      <c r="H576" s="61">
        <f>Source!X93</f>
        <v>2996.86</v>
      </c>
    </row>
    <row r="577" spans="1:28" x14ac:dyDescent="0.2">
      <c r="C577" s="9" t="s">
        <v>1836</v>
      </c>
      <c r="D577" s="38"/>
      <c r="E577" s="38"/>
      <c r="F577" s="38"/>
      <c r="G577" s="38" t="str">
        <f>CONCATENATE(Source!DL93,Source!FT93, "=", Source!FX93, "%")</f>
        <v>*0,9=94,5%</v>
      </c>
      <c r="H577" s="38" t="str">
        <f>CONCATENATE(Source!AT93)</f>
        <v>95</v>
      </c>
    </row>
    <row r="578" spans="1:28" x14ac:dyDescent="0.2">
      <c r="C578" s="9" t="s">
        <v>1837</v>
      </c>
      <c r="D578" s="38"/>
      <c r="E578" s="38"/>
      <c r="F578" s="38">
        <f>Source!CA93</f>
        <v>55</v>
      </c>
      <c r="G578" s="61">
        <f>(Source!AF93+Source!AE93)*Source!FY93/100</f>
        <v>34.029324999999993</v>
      </c>
      <c r="H578" s="61">
        <f>Source!Y93</f>
        <v>1482.66</v>
      </c>
    </row>
    <row r="579" spans="1:28" x14ac:dyDescent="0.2">
      <c r="C579" s="9" t="s">
        <v>1838</v>
      </c>
      <c r="D579" s="38"/>
      <c r="E579" s="38"/>
      <c r="F579" s="38"/>
      <c r="G579" s="38" t="str">
        <f>CONCATENATE(Source!DM93,Source!FU93, "=", Source!FY93, "%")</f>
        <v>*0,85=46,75%</v>
      </c>
      <c r="H579" s="38" t="str">
        <f>CONCATENATE(Source!AU93)</f>
        <v>47</v>
      </c>
    </row>
    <row r="580" spans="1:28" x14ac:dyDescent="0.2">
      <c r="C580" s="9" t="s">
        <v>1839</v>
      </c>
      <c r="D580" s="38"/>
      <c r="E580" s="38"/>
      <c r="F580" s="38"/>
      <c r="G580" s="61">
        <f>((Source!AF93+Source!AE93)*Source!FX93/100)+((Source!AF93+Source!AE93)*Source!FY93/100)+Source!AB93</f>
        <v>176.67587499999996</v>
      </c>
      <c r="H580" s="61">
        <f>Source!O93+Source!X93+Source!Y93</f>
        <v>7680.48</v>
      </c>
    </row>
    <row r="581" spans="1:28" ht="14.25" x14ac:dyDescent="0.2">
      <c r="A581" s="50">
        <v>67</v>
      </c>
      <c r="B581" s="50" t="str">
        <f>Source!E94</f>
        <v>35,1</v>
      </c>
      <c r="C581" s="50" t="str">
        <f>Source!G94</f>
        <v>Грунтовка</v>
      </c>
      <c r="D581" s="50" t="str">
        <f>Source!F94</f>
        <v>14.4.01.21</v>
      </c>
      <c r="E581" s="35" t="str">
        <f>Source!H94</f>
        <v>т</v>
      </c>
      <c r="F581" s="12">
        <f>Source!I94</f>
        <v>7.9018000000000005E-2</v>
      </c>
      <c r="G581" s="25">
        <f>Source!AB94</f>
        <v>0</v>
      </c>
      <c r="H581" s="25">
        <f>Source!O94</f>
        <v>0</v>
      </c>
      <c r="T581">
        <f>Source!O94+Source!X94+Source!Y94</f>
        <v>0</v>
      </c>
      <c r="U581">
        <f>Source!P94</f>
        <v>0</v>
      </c>
      <c r="V581">
        <f>Source!S94</f>
        <v>0</v>
      </c>
      <c r="W581">
        <f>Source!Q94</f>
        <v>0</v>
      </c>
      <c r="X581">
        <f>Source!R94</f>
        <v>0</v>
      </c>
      <c r="Y581">
        <f>Source!U94</f>
        <v>0</v>
      </c>
      <c r="Z581">
        <f>Source!V94</f>
        <v>0</v>
      </c>
      <c r="AA581">
        <f>Source!X94</f>
        <v>0</v>
      </c>
      <c r="AB581">
        <f>Source!Y94</f>
        <v>0</v>
      </c>
    </row>
    <row r="582" spans="1:28" ht="14.25" x14ac:dyDescent="0.2">
      <c r="C582" s="26" t="s">
        <v>1833</v>
      </c>
      <c r="D582" s="26">
        <f>Source!BC94</f>
        <v>7.13</v>
      </c>
      <c r="F582" s="12"/>
      <c r="G582" s="12"/>
      <c r="H582" s="12"/>
    </row>
    <row r="583" spans="1:28" ht="28.5" x14ac:dyDescent="0.2">
      <c r="A583" s="50">
        <v>68</v>
      </c>
      <c r="B583" s="50" t="str">
        <f>Source!E95</f>
        <v>35,2</v>
      </c>
      <c r="C583" s="50" t="str">
        <f>Source!G95</f>
        <v>Грунтовка: водно-дисперсионная "БИРСС Бетон-контакт"</v>
      </c>
      <c r="D583" s="50" t="str">
        <f>Source!F95</f>
        <v>14.3.01.02-0102</v>
      </c>
      <c r="E583" s="35" t="str">
        <f>Source!H95</f>
        <v>т</v>
      </c>
      <c r="F583" s="12">
        <f>Source!I95</f>
        <v>7.9018000000000005E-2</v>
      </c>
      <c r="G583" s="25">
        <f>Source!AB95</f>
        <v>18390.16</v>
      </c>
      <c r="H583" s="25">
        <f>Source!O95</f>
        <v>10360.99</v>
      </c>
      <c r="T583">
        <f>Source!O95+Source!X95+Source!Y95</f>
        <v>10360.99</v>
      </c>
      <c r="U583">
        <f>Source!P95</f>
        <v>10360.99</v>
      </c>
      <c r="V583">
        <f>Source!S95</f>
        <v>0</v>
      </c>
      <c r="W583">
        <f>Source!Q95</f>
        <v>0</v>
      </c>
      <c r="X583">
        <f>Source!R95</f>
        <v>0</v>
      </c>
      <c r="Y583">
        <f>Source!U95</f>
        <v>0</v>
      </c>
      <c r="Z583">
        <f>Source!V95</f>
        <v>0</v>
      </c>
      <c r="AA583">
        <f>Source!X95</f>
        <v>0</v>
      </c>
      <c r="AB583">
        <f>Source!Y95</f>
        <v>0</v>
      </c>
    </row>
    <row r="584" spans="1:28" ht="14.25" x14ac:dyDescent="0.2">
      <c r="C584" s="26" t="s">
        <v>1833</v>
      </c>
      <c r="D584" s="26">
        <f>Source!BC95</f>
        <v>7.13</v>
      </c>
      <c r="F584" s="12"/>
      <c r="G584" s="12"/>
      <c r="H584" s="12"/>
    </row>
    <row r="585" spans="1:28" ht="57" x14ac:dyDescent="0.2">
      <c r="A585" s="50">
        <v>69</v>
      </c>
      <c r="B585" s="50" t="str">
        <f>Source!E96</f>
        <v>36</v>
      </c>
      <c r="C585" s="50" t="str">
        <f>Source!G96</f>
        <v>Штукатурка поверхностей внутри здания цементно-известковым или цементным раствором по камню и бетону улучшенная стен</v>
      </c>
      <c r="D585" s="50" t="str">
        <f>Source!F96</f>
        <v>15-02-016-03</v>
      </c>
      <c r="E585" s="35" t="str">
        <f>Source!H96</f>
        <v>100 м2</v>
      </c>
      <c r="F585" s="12">
        <f>Source!I96</f>
        <v>1.3838999999999999</v>
      </c>
      <c r="G585" s="25">
        <f>Source!AB96</f>
        <v>2187.5700000000002</v>
      </c>
      <c r="H585" s="25">
        <f>Source!O96</f>
        <v>21585.21</v>
      </c>
      <c r="T585">
        <f>Source!O96+Source!X96+Source!Y96</f>
        <v>35636.17</v>
      </c>
      <c r="U585">
        <f>Source!P96</f>
        <v>11153.89</v>
      </c>
      <c r="V585">
        <f>Source!S96</f>
        <v>9156.18</v>
      </c>
      <c r="W585">
        <f>Source!Q96</f>
        <v>1275.1400000000001</v>
      </c>
      <c r="X585">
        <f>Source!R96</f>
        <v>738.86</v>
      </c>
      <c r="Y585">
        <f>Source!U96</f>
        <v>136.61307239999999</v>
      </c>
      <c r="Z585">
        <f>Source!V96</f>
        <v>10.880913749999999</v>
      </c>
      <c r="AA585">
        <f>Source!X96</f>
        <v>9400.2900000000009</v>
      </c>
      <c r="AB585">
        <f>Source!Y96</f>
        <v>4650.67</v>
      </c>
    </row>
    <row r="586" spans="1:28" ht="14.25" x14ac:dyDescent="0.2">
      <c r="C586" s="26" t="str">
        <f>"Объем: "&amp;Source!I96&amp;"=138,39/"&amp;"100"</f>
        <v>Объем: 1,3839=138,39/100</v>
      </c>
      <c r="F586" s="12"/>
      <c r="G586" s="12"/>
      <c r="H586" s="12"/>
    </row>
    <row r="587" spans="1:28" x14ac:dyDescent="0.2">
      <c r="C587" s="26" t="s">
        <v>1831</v>
      </c>
      <c r="D587" s="26">
        <f>Source!BA96</f>
        <v>7.13</v>
      </c>
    </row>
    <row r="588" spans="1:28" x14ac:dyDescent="0.2">
      <c r="C588" s="26" t="s">
        <v>1832</v>
      </c>
      <c r="D588" s="26">
        <f>Source!BB96</f>
        <v>7.13</v>
      </c>
    </row>
    <row r="589" spans="1:28" x14ac:dyDescent="0.2">
      <c r="C589" s="26" t="s">
        <v>1833</v>
      </c>
      <c r="D589" s="26">
        <f>Source!BC96</f>
        <v>7.13</v>
      </c>
    </row>
    <row r="590" spans="1:28" x14ac:dyDescent="0.2">
      <c r="C590" s="26" t="s">
        <v>1834</v>
      </c>
      <c r="D590" s="26">
        <f>Source!BS96</f>
        <v>7.13</v>
      </c>
    </row>
    <row r="591" spans="1:28" x14ac:dyDescent="0.2">
      <c r="C591" s="26" t="s">
        <v>1841</v>
      </c>
      <c r="D591" s="116" t="s">
        <v>81</v>
      </c>
      <c r="E591" s="116"/>
      <c r="F591" s="116"/>
      <c r="G591" s="116"/>
      <c r="H591" s="116"/>
    </row>
    <row r="592" spans="1:28" x14ac:dyDescent="0.2">
      <c r="C592" s="26" t="s">
        <v>1842</v>
      </c>
      <c r="D592" s="116" t="s">
        <v>81</v>
      </c>
      <c r="E592" s="116"/>
      <c r="F592" s="116"/>
      <c r="G592" s="116"/>
      <c r="H592" s="116"/>
    </row>
    <row r="593" spans="1:28" x14ac:dyDescent="0.2">
      <c r="C593" s="26" t="s">
        <v>1843</v>
      </c>
      <c r="D593" s="116" t="s">
        <v>82</v>
      </c>
      <c r="E593" s="116"/>
      <c r="F593" s="116"/>
      <c r="G593" s="116"/>
      <c r="H593" s="116"/>
    </row>
    <row r="594" spans="1:28" x14ac:dyDescent="0.2">
      <c r="C594" s="26" t="s">
        <v>1844</v>
      </c>
      <c r="D594" s="116" t="s">
        <v>82</v>
      </c>
      <c r="E594" s="116"/>
      <c r="F594" s="116"/>
      <c r="G594" s="116"/>
      <c r="H594" s="116"/>
    </row>
    <row r="595" spans="1:28" x14ac:dyDescent="0.2">
      <c r="C595" s="26" t="s">
        <v>1845</v>
      </c>
      <c r="D595" s="116" t="s">
        <v>81</v>
      </c>
      <c r="E595" s="116"/>
      <c r="F595" s="116"/>
      <c r="G595" s="116"/>
      <c r="H595" s="116"/>
    </row>
    <row r="596" spans="1:28" x14ac:dyDescent="0.2">
      <c r="C596" s="9" t="s">
        <v>1835</v>
      </c>
      <c r="D596" s="38"/>
      <c r="E596" s="38"/>
      <c r="F596" s="38">
        <f>Source!BZ96</f>
        <v>105</v>
      </c>
      <c r="G596" s="61">
        <f>(Source!AF96+Source!AE96)*Source!FX96/100</f>
        <v>947.6649000000001</v>
      </c>
      <c r="H596" s="61">
        <f>Source!X96</f>
        <v>9400.2900000000009</v>
      </c>
    </row>
    <row r="597" spans="1:28" x14ac:dyDescent="0.2">
      <c r="C597" s="9" t="s">
        <v>1836</v>
      </c>
      <c r="D597" s="38"/>
      <c r="E597" s="38"/>
      <c r="F597" s="38"/>
      <c r="G597" s="38" t="str">
        <f>CONCATENATE(Source!DL96,Source!FT96, "=", Source!FX96, "%")</f>
        <v>*0,9=94,5%</v>
      </c>
      <c r="H597" s="38" t="str">
        <f>CONCATENATE(Source!AT96)</f>
        <v>95</v>
      </c>
    </row>
    <row r="598" spans="1:28" x14ac:dyDescent="0.2">
      <c r="C598" s="9" t="s">
        <v>1837</v>
      </c>
      <c r="D598" s="38"/>
      <c r="E598" s="38"/>
      <c r="F598" s="38">
        <f>Source!CA96</f>
        <v>55</v>
      </c>
      <c r="G598" s="61">
        <f>(Source!AF96+Source!AE96)*Source!FY96/100</f>
        <v>468.81835000000001</v>
      </c>
      <c r="H598" s="61">
        <f>Source!Y96</f>
        <v>4650.67</v>
      </c>
    </row>
    <row r="599" spans="1:28" x14ac:dyDescent="0.2">
      <c r="C599" s="9" t="s">
        <v>1838</v>
      </c>
      <c r="D599" s="38"/>
      <c r="E599" s="38"/>
      <c r="F599" s="38"/>
      <c r="G599" s="38" t="str">
        <f>CONCATENATE(Source!DM96,Source!FU96, "=", Source!FY96, "%")</f>
        <v>*0,85=46,75%</v>
      </c>
      <c r="H599" s="38" t="str">
        <f>CONCATENATE(Source!AU96)</f>
        <v>47</v>
      </c>
    </row>
    <row r="600" spans="1:28" x14ac:dyDescent="0.2">
      <c r="C600" s="9" t="s">
        <v>1839</v>
      </c>
      <c r="D600" s="38"/>
      <c r="E600" s="38"/>
      <c r="F600" s="38"/>
      <c r="G600" s="61">
        <f>((Source!AF96+Source!AE96)*Source!FX96/100)+((Source!AF96+Source!AE96)*Source!FY96/100)+Source!AB96</f>
        <v>3604.0532500000004</v>
      </c>
      <c r="H600" s="61">
        <f>Source!O96+Source!X96+Source!Y96</f>
        <v>35636.17</v>
      </c>
    </row>
    <row r="601" spans="1:28" ht="42.75" x14ac:dyDescent="0.2">
      <c r="A601" s="50">
        <v>70</v>
      </c>
      <c r="B601" s="50" t="str">
        <f>Source!E97</f>
        <v>36,1</v>
      </c>
      <c r="C601" s="50" t="s">
        <v>1846</v>
      </c>
      <c r="D601" s="50" t="str">
        <f>Source!F97</f>
        <v>04.3.01.12-0111</v>
      </c>
      <c r="E601" s="35" t="str">
        <f>Source!H97</f>
        <v>м3</v>
      </c>
      <c r="F601" s="12">
        <f>Source!I97</f>
        <v>-2.5878930000000002</v>
      </c>
      <c r="G601" s="25">
        <f>Source!AB97</f>
        <v>517.91</v>
      </c>
      <c r="H601" s="25">
        <f>Source!O97</f>
        <v>-9556.31</v>
      </c>
      <c r="T601">
        <f>Source!O97+Source!X97+Source!Y97</f>
        <v>-9556.31</v>
      </c>
      <c r="U601">
        <f>Source!P97</f>
        <v>-9556.31</v>
      </c>
      <c r="V601">
        <f>Source!S97</f>
        <v>0</v>
      </c>
      <c r="W601">
        <f>Source!Q97</f>
        <v>0</v>
      </c>
      <c r="X601">
        <f>Source!R97</f>
        <v>0</v>
      </c>
      <c r="Y601">
        <f>Source!U97</f>
        <v>0</v>
      </c>
      <c r="Z601">
        <f>Source!V97</f>
        <v>0</v>
      </c>
      <c r="AA601">
        <f>Source!X97</f>
        <v>0</v>
      </c>
      <c r="AB601">
        <f>Source!Y97</f>
        <v>0</v>
      </c>
    </row>
    <row r="602" spans="1:28" ht="14.25" x14ac:dyDescent="0.2">
      <c r="C602" s="26" t="s">
        <v>1833</v>
      </c>
      <c r="D602" s="26">
        <f>Source!BC97</f>
        <v>7.13</v>
      </c>
      <c r="F602" s="12"/>
      <c r="G602" s="12"/>
      <c r="H602" s="12"/>
    </row>
    <row r="603" spans="1:28" ht="42.75" x14ac:dyDescent="0.2">
      <c r="A603" s="50">
        <v>71</v>
      </c>
      <c r="B603" s="50" t="str">
        <f>Source!E98</f>
        <v>36,2</v>
      </c>
      <c r="C603" s="50" t="str">
        <f>Source!G98</f>
        <v>Смесь сухая штукатурная цементно-известково-песчаная "БИРСС 15" (марка М100)</v>
      </c>
      <c r="D603" s="50" t="str">
        <f>Source!F98</f>
        <v>04.3.02.12-0002</v>
      </c>
      <c r="E603" s="35" t="str">
        <f>Source!H98</f>
        <v>т</v>
      </c>
      <c r="F603" s="12">
        <f>Source!I98</f>
        <v>1.8959399999999997</v>
      </c>
      <c r="G603" s="25">
        <f>Source!AB98</f>
        <v>931.37</v>
      </c>
      <c r="H603" s="25">
        <f>Source!O98</f>
        <v>12590.31</v>
      </c>
      <c r="T603">
        <f>Source!O98+Source!X98+Source!Y98</f>
        <v>12590.31</v>
      </c>
      <c r="U603">
        <f>Source!P98</f>
        <v>12590.31</v>
      </c>
      <c r="V603">
        <f>Source!S98</f>
        <v>0</v>
      </c>
      <c r="W603">
        <f>Source!Q98</f>
        <v>0</v>
      </c>
      <c r="X603">
        <f>Source!R98</f>
        <v>0</v>
      </c>
      <c r="Y603">
        <f>Source!U98</f>
        <v>0</v>
      </c>
      <c r="Z603">
        <f>Source!V98</f>
        <v>0</v>
      </c>
      <c r="AA603">
        <f>Source!X98</f>
        <v>0</v>
      </c>
      <c r="AB603">
        <f>Source!Y98</f>
        <v>0</v>
      </c>
    </row>
    <row r="604" spans="1:28" ht="14.25" x14ac:dyDescent="0.2">
      <c r="C604" s="26" t="s">
        <v>1833</v>
      </c>
      <c r="D604" s="26">
        <f>Source!BC98</f>
        <v>7.13</v>
      </c>
      <c r="F604" s="12"/>
      <c r="G604" s="12"/>
      <c r="H604" s="12"/>
    </row>
    <row r="605" spans="1:28" ht="85.5" x14ac:dyDescent="0.2">
      <c r="A605" s="50">
        <v>72</v>
      </c>
      <c r="B605" s="50" t="str">
        <f>Source!E99</f>
        <v>37</v>
      </c>
      <c r="C605" s="50" t="str">
        <f>Source!G99</f>
        <v>Гладкая облицовка стен, столбов, пилястр и откосов (без карнизных, плинтусных и угловых плиток) без установки плиток туалетного гарнитура на цементном растворе по кирпичу и бетону</v>
      </c>
      <c r="D605" s="50" t="str">
        <f>Source!F99</f>
        <v>15-01-019-01</v>
      </c>
      <c r="E605" s="35" t="str">
        <f>Source!H99</f>
        <v>100 м2</v>
      </c>
      <c r="F605" s="12">
        <f>Source!I99</f>
        <v>1.6638999999999999</v>
      </c>
      <c r="G605" s="25">
        <f>Source!AB99</f>
        <v>3211.79</v>
      </c>
      <c r="H605" s="25">
        <f>Source!O99</f>
        <v>38103.42</v>
      </c>
      <c r="T605">
        <f>Source!O99+Source!X99+Source!Y99</f>
        <v>78893.41</v>
      </c>
      <c r="U605">
        <f>Source!P99</f>
        <v>9105.44</v>
      </c>
      <c r="V605">
        <f>Source!S99</f>
        <v>28555.7</v>
      </c>
      <c r="W605">
        <f>Source!Q99</f>
        <v>442.28</v>
      </c>
      <c r="X605">
        <f>Source!R99</f>
        <v>169.65</v>
      </c>
      <c r="Y605">
        <f>Source!U99</f>
        <v>436.27457999999996</v>
      </c>
      <c r="Z605">
        <f>Source!V99</f>
        <v>1.7886924999999998</v>
      </c>
      <c r="AA605">
        <f>Source!X99</f>
        <v>27289.08</v>
      </c>
      <c r="AB605">
        <f>Source!Y99</f>
        <v>13500.91</v>
      </c>
    </row>
    <row r="606" spans="1:28" ht="14.25" x14ac:dyDescent="0.2">
      <c r="C606" s="26" t="str">
        <f>"Объем: "&amp;Source!I99&amp;"=166,39/"&amp;"100"</f>
        <v>Объем: 1,6639=166,39/100</v>
      </c>
      <c r="F606" s="12"/>
      <c r="G606" s="12"/>
      <c r="H606" s="12"/>
    </row>
    <row r="607" spans="1:28" x14ac:dyDescent="0.2">
      <c r="C607" s="26" t="s">
        <v>1831</v>
      </c>
      <c r="D607" s="26">
        <f>Source!BA99</f>
        <v>7.13</v>
      </c>
    </row>
    <row r="608" spans="1:28" x14ac:dyDescent="0.2">
      <c r="C608" s="26" t="s">
        <v>1832</v>
      </c>
      <c r="D608" s="26">
        <f>Source!BB99</f>
        <v>7.13</v>
      </c>
    </row>
    <row r="609" spans="1:28" x14ac:dyDescent="0.2">
      <c r="C609" s="26" t="s">
        <v>1833</v>
      </c>
      <c r="D609" s="26">
        <f>Source!BC99</f>
        <v>7.13</v>
      </c>
    </row>
    <row r="610" spans="1:28" x14ac:dyDescent="0.2">
      <c r="C610" s="26" t="s">
        <v>1834</v>
      </c>
      <c r="D610" s="26">
        <f>Source!BS99</f>
        <v>7.13</v>
      </c>
    </row>
    <row r="611" spans="1:28" x14ac:dyDescent="0.2">
      <c r="C611" s="26" t="s">
        <v>1841</v>
      </c>
      <c r="D611" s="116" t="s">
        <v>81</v>
      </c>
      <c r="E611" s="116"/>
      <c r="F611" s="116"/>
      <c r="G611" s="116"/>
      <c r="H611" s="116"/>
    </row>
    <row r="612" spans="1:28" x14ac:dyDescent="0.2">
      <c r="C612" s="26" t="s">
        <v>1842</v>
      </c>
      <c r="D612" s="116" t="s">
        <v>81</v>
      </c>
      <c r="E612" s="116"/>
      <c r="F612" s="116"/>
      <c r="G612" s="116"/>
      <c r="H612" s="116"/>
    </row>
    <row r="613" spans="1:28" x14ac:dyDescent="0.2">
      <c r="C613" s="26" t="s">
        <v>1843</v>
      </c>
      <c r="D613" s="116" t="s">
        <v>82</v>
      </c>
      <c r="E613" s="116"/>
      <c r="F613" s="116"/>
      <c r="G613" s="116"/>
      <c r="H613" s="116"/>
    </row>
    <row r="614" spans="1:28" x14ac:dyDescent="0.2">
      <c r="C614" s="26" t="s">
        <v>1844</v>
      </c>
      <c r="D614" s="116" t="s">
        <v>82</v>
      </c>
      <c r="E614" s="116"/>
      <c r="F614" s="116"/>
      <c r="G614" s="116"/>
      <c r="H614" s="116"/>
    </row>
    <row r="615" spans="1:28" x14ac:dyDescent="0.2">
      <c r="C615" s="26" t="s">
        <v>1845</v>
      </c>
      <c r="D615" s="116" t="s">
        <v>81</v>
      </c>
      <c r="E615" s="116"/>
      <c r="F615" s="116"/>
      <c r="G615" s="116"/>
      <c r="H615" s="116"/>
    </row>
    <row r="616" spans="1:28" x14ac:dyDescent="0.2">
      <c r="C616" s="9" t="s">
        <v>1835</v>
      </c>
      <c r="D616" s="38"/>
      <c r="E616" s="38"/>
      <c r="F616" s="38">
        <f>Source!BZ99</f>
        <v>105</v>
      </c>
      <c r="G616" s="61">
        <f>(Source!AF99+Source!AE99)*Source!FX99/100</f>
        <v>2288.1285000000003</v>
      </c>
      <c r="H616" s="61">
        <f>Source!X99</f>
        <v>27289.08</v>
      </c>
    </row>
    <row r="617" spans="1:28" x14ac:dyDescent="0.2">
      <c r="C617" s="9" t="s">
        <v>1836</v>
      </c>
      <c r="D617" s="38"/>
      <c r="E617" s="38"/>
      <c r="F617" s="38"/>
      <c r="G617" s="38" t="str">
        <f>CONCATENATE(Source!DL99,Source!FT99, "=", Source!FX99, "%")</f>
        <v>*0,9=94,5%</v>
      </c>
      <c r="H617" s="38" t="str">
        <f>CONCATENATE(Source!AT99)</f>
        <v>95</v>
      </c>
    </row>
    <row r="618" spans="1:28" x14ac:dyDescent="0.2">
      <c r="C618" s="9" t="s">
        <v>1837</v>
      </c>
      <c r="D618" s="38"/>
      <c r="E618" s="38"/>
      <c r="F618" s="38">
        <f>Source!CA99</f>
        <v>55</v>
      </c>
      <c r="G618" s="61">
        <f>(Source!AF99+Source!AE99)*Source!FY99/100</f>
        <v>1131.95775</v>
      </c>
      <c r="H618" s="61">
        <f>Source!Y99</f>
        <v>13500.91</v>
      </c>
    </row>
    <row r="619" spans="1:28" x14ac:dyDescent="0.2">
      <c r="C619" s="9" t="s">
        <v>1838</v>
      </c>
      <c r="D619" s="38"/>
      <c r="E619" s="38"/>
      <c r="F619" s="38"/>
      <c r="G619" s="38" t="str">
        <f>CONCATENATE(Source!DM99,Source!FU99, "=", Source!FY99, "%")</f>
        <v>*0,85=46,75%</v>
      </c>
      <c r="H619" s="38" t="str">
        <f>CONCATENATE(Source!AU99)</f>
        <v>47</v>
      </c>
    </row>
    <row r="620" spans="1:28" x14ac:dyDescent="0.2">
      <c r="C620" s="9" t="s">
        <v>1839</v>
      </c>
      <c r="D620" s="38"/>
      <c r="E620" s="38"/>
      <c r="F620" s="38"/>
      <c r="G620" s="61">
        <f>((Source!AF99+Source!AE99)*Source!FX99/100)+((Source!AF99+Source!AE99)*Source!FY99/100)+Source!AB99</f>
        <v>6631.8762500000003</v>
      </c>
      <c r="H620" s="61">
        <f>Source!O99+Source!X99+Source!Y99</f>
        <v>78893.41</v>
      </c>
    </row>
    <row r="621" spans="1:28" ht="42.75" x14ac:dyDescent="0.2">
      <c r="A621" s="50">
        <v>73</v>
      </c>
      <c r="B621" s="50" t="str">
        <f>Source!E100</f>
        <v>37,1</v>
      </c>
      <c r="C621" s="50" t="str">
        <f>Source!G100</f>
        <v>Плитки керамические глазурованные для внутренней облицовки стен многоцветные,  размер 300х200х7 мм</v>
      </c>
      <c r="D621" s="50" t="str">
        <f>Source!F100</f>
        <v>06.2.01.02-0034</v>
      </c>
      <c r="E621" s="35" t="str">
        <f>Source!H100</f>
        <v>м2</v>
      </c>
      <c r="F621" s="12">
        <f>Source!I100</f>
        <v>166.39</v>
      </c>
      <c r="G621" s="25">
        <f>Source!AB100</f>
        <v>85.71</v>
      </c>
      <c r="H621" s="25">
        <f>Source!O100</f>
        <v>101682.98</v>
      </c>
      <c r="T621">
        <f>Source!O100+Source!X100+Source!Y100</f>
        <v>101682.98</v>
      </c>
      <c r="U621">
        <f>Source!P100</f>
        <v>101682.98</v>
      </c>
      <c r="V621">
        <f>Source!S100</f>
        <v>0</v>
      </c>
      <c r="W621">
        <f>Source!Q100</f>
        <v>0</v>
      </c>
      <c r="X621">
        <f>Source!R100</f>
        <v>0</v>
      </c>
      <c r="Y621">
        <f>Source!U100</f>
        <v>0</v>
      </c>
      <c r="Z621">
        <f>Source!V100</f>
        <v>0</v>
      </c>
      <c r="AA621">
        <f>Source!X100</f>
        <v>0</v>
      </c>
      <c r="AB621">
        <f>Source!Y100</f>
        <v>0</v>
      </c>
    </row>
    <row r="622" spans="1:28" ht="14.25" x14ac:dyDescent="0.2">
      <c r="C622" s="26" t="s">
        <v>1833</v>
      </c>
      <c r="D622" s="26">
        <f>Source!BC100</f>
        <v>7.13</v>
      </c>
      <c r="F622" s="12"/>
      <c r="G622" s="12"/>
      <c r="H622" s="12"/>
    </row>
    <row r="623" spans="1:28" ht="57" x14ac:dyDescent="0.2">
      <c r="A623" s="50">
        <v>74</v>
      </c>
      <c r="B623" s="50" t="str">
        <f>Source!E101</f>
        <v>38</v>
      </c>
      <c r="C623" s="50" t="str">
        <f>Source!G101</f>
        <v>Окрашивание водоэмульсионными составами поверхностей стен, ранее окрашенных масляной краской с расчисткой старой краски более 35%</v>
      </c>
      <c r="D623" s="50" t="str">
        <f>Source!F101</f>
        <v>62-16-5</v>
      </c>
      <c r="E623" s="35" t="str">
        <f>Source!H101</f>
        <v>100 м2</v>
      </c>
      <c r="F623" s="12">
        <f>Source!I101</f>
        <v>3.9319000000000002</v>
      </c>
      <c r="G623" s="25">
        <f>Source!AB101</f>
        <v>796.1</v>
      </c>
      <c r="H623" s="25">
        <f>Source!O101</f>
        <v>22318.22</v>
      </c>
      <c r="T623">
        <f>Source!O101+Source!X101+Source!Y101</f>
        <v>33064.33</v>
      </c>
      <c r="U623">
        <f>Source!P101</f>
        <v>13911.25</v>
      </c>
      <c r="V623">
        <f>Source!S101</f>
        <v>8208.77</v>
      </c>
      <c r="W623">
        <f>Source!Q101</f>
        <v>198.2</v>
      </c>
      <c r="X623">
        <f>Source!R101</f>
        <v>57.47</v>
      </c>
      <c r="Y623">
        <f>Source!U101</f>
        <v>133.25209100000001</v>
      </c>
      <c r="Z623">
        <f>Source!V101</f>
        <v>0.629104</v>
      </c>
      <c r="AA623">
        <f>Source!X101</f>
        <v>6612.99</v>
      </c>
      <c r="AB623">
        <f>Source!Y101</f>
        <v>4133.12</v>
      </c>
    </row>
    <row r="624" spans="1:28" ht="14.25" x14ac:dyDescent="0.2">
      <c r="C624" s="26" t="str">
        <f>"Объем: "&amp;Source!I101&amp;"=393,19/"&amp;"100"</f>
        <v>Объем: 3,9319=393,19/100</v>
      </c>
      <c r="F624" s="12"/>
      <c r="G624" s="12"/>
      <c r="H624" s="12"/>
    </row>
    <row r="625" spans="1:28" x14ac:dyDescent="0.2">
      <c r="C625" s="26" t="s">
        <v>1831</v>
      </c>
      <c r="D625" s="26">
        <f>Source!BA101</f>
        <v>7.13</v>
      </c>
    </row>
    <row r="626" spans="1:28" x14ac:dyDescent="0.2">
      <c r="C626" s="26" t="s">
        <v>1832</v>
      </c>
      <c r="D626" s="26">
        <f>Source!BB101</f>
        <v>7.13</v>
      </c>
    </row>
    <row r="627" spans="1:28" x14ac:dyDescent="0.2">
      <c r="C627" s="26" t="s">
        <v>1833</v>
      </c>
      <c r="D627" s="26">
        <f>Source!BC101</f>
        <v>7.13</v>
      </c>
    </row>
    <row r="628" spans="1:28" x14ac:dyDescent="0.2">
      <c r="C628" s="26" t="s">
        <v>1834</v>
      </c>
      <c r="D628" s="26">
        <f>Source!BS101</f>
        <v>7.13</v>
      </c>
    </row>
    <row r="629" spans="1:28" x14ac:dyDescent="0.2">
      <c r="C629" s="9" t="s">
        <v>1835</v>
      </c>
      <c r="D629" s="38"/>
      <c r="E629" s="38"/>
      <c r="F629" s="38">
        <f>Source!BZ101</f>
        <v>80</v>
      </c>
      <c r="G629" s="61">
        <f>(Source!AF101+Source!AE101)*Source!FX101/100</f>
        <v>235.88800000000003</v>
      </c>
      <c r="H629" s="61">
        <f>Source!X101</f>
        <v>6612.99</v>
      </c>
    </row>
    <row r="630" spans="1:28" x14ac:dyDescent="0.2">
      <c r="C630" s="9" t="s">
        <v>1837</v>
      </c>
      <c r="D630" s="38"/>
      <c r="E630" s="38"/>
      <c r="F630" s="38">
        <f>Source!CA101</f>
        <v>50</v>
      </c>
      <c r="G630" s="61">
        <f>(Source!AF101+Source!AE101)*Source!FY101/100</f>
        <v>147.43</v>
      </c>
      <c r="H630" s="61">
        <f>Source!Y101</f>
        <v>4133.12</v>
      </c>
    </row>
    <row r="631" spans="1:28" x14ac:dyDescent="0.2">
      <c r="C631" s="9" t="s">
        <v>1839</v>
      </c>
      <c r="D631" s="38"/>
      <c r="E631" s="38"/>
      <c r="F631" s="38"/>
      <c r="G631" s="61">
        <f>((Source!AF101+Source!AE101)*Source!FX101/100)+((Source!AF101+Source!AE101)*Source!FY101/100)+Source!AB101</f>
        <v>1179.4180000000001</v>
      </c>
      <c r="H631" s="61">
        <f>Source!O101+Source!X101+Source!Y101</f>
        <v>33064.33</v>
      </c>
    </row>
    <row r="632" spans="1:28" ht="14.25" x14ac:dyDescent="0.2">
      <c r="A632" s="50">
        <v>75</v>
      </c>
      <c r="B632" s="50" t="str">
        <f>Source!E102</f>
        <v>38,1</v>
      </c>
      <c r="C632" s="50" t="str">
        <f>Source!G102</f>
        <v>Краска водоэмульсионная</v>
      </c>
      <c r="D632" s="50" t="str">
        <f>Source!F102</f>
        <v>14.3.02.01</v>
      </c>
      <c r="E632" s="35" t="str">
        <f>Source!H102</f>
        <v>т</v>
      </c>
      <c r="F632" s="12">
        <f>Source!I102</f>
        <v>0.279165</v>
      </c>
      <c r="G632" s="25">
        <f>Source!AB102</f>
        <v>0</v>
      </c>
      <c r="H632" s="25">
        <f>Source!O102</f>
        <v>0</v>
      </c>
      <c r="T632">
        <f>Source!O102+Source!X102+Source!Y102</f>
        <v>0</v>
      </c>
      <c r="U632">
        <f>Source!P102</f>
        <v>0</v>
      </c>
      <c r="V632">
        <f>Source!S102</f>
        <v>0</v>
      </c>
      <c r="W632">
        <f>Source!Q102</f>
        <v>0</v>
      </c>
      <c r="X632">
        <f>Source!R102</f>
        <v>0</v>
      </c>
      <c r="Y632">
        <f>Source!U102</f>
        <v>0</v>
      </c>
      <c r="Z632">
        <f>Source!V102</f>
        <v>0</v>
      </c>
      <c r="AA632">
        <f>Source!X102</f>
        <v>0</v>
      </c>
      <c r="AB632">
        <f>Source!Y102</f>
        <v>0</v>
      </c>
    </row>
    <row r="633" spans="1:28" ht="14.25" x14ac:dyDescent="0.2">
      <c r="C633" s="26" t="s">
        <v>1833</v>
      </c>
      <c r="D633" s="26">
        <f>Source!BC102</f>
        <v>7.13</v>
      </c>
      <c r="F633" s="12"/>
      <c r="G633" s="12"/>
      <c r="H633" s="12"/>
    </row>
    <row r="634" spans="1:28" ht="28.5" x14ac:dyDescent="0.2">
      <c r="A634" s="50">
        <v>76</v>
      </c>
      <c r="B634" s="50" t="str">
        <f>Source!E103</f>
        <v>38,2</v>
      </c>
      <c r="C634" s="50" t="str">
        <f>Source!G103</f>
        <v>Краска акриловая  водно-дисперсионная(согласно тех. заданию)</v>
      </c>
      <c r="D634" s="50" t="str">
        <f>Source!F103</f>
        <v>14.3.02.01-0014</v>
      </c>
      <c r="E634" s="35" t="str">
        <f>Source!H103</f>
        <v>т</v>
      </c>
      <c r="F634" s="12">
        <f>Source!I103</f>
        <v>0.279165</v>
      </c>
      <c r="G634" s="25">
        <f>Source!AB103</f>
        <v>7627.37</v>
      </c>
      <c r="H634" s="25">
        <f>Source!O103</f>
        <v>15181.87</v>
      </c>
      <c r="T634">
        <f>Source!O103+Source!X103+Source!Y103</f>
        <v>15181.87</v>
      </c>
      <c r="U634">
        <f>Source!P103</f>
        <v>15181.87</v>
      </c>
      <c r="V634">
        <f>Source!S103</f>
        <v>0</v>
      </c>
      <c r="W634">
        <f>Source!Q103</f>
        <v>0</v>
      </c>
      <c r="X634">
        <f>Source!R103</f>
        <v>0</v>
      </c>
      <c r="Y634">
        <f>Source!U103</f>
        <v>0</v>
      </c>
      <c r="Z634">
        <f>Source!V103</f>
        <v>0</v>
      </c>
      <c r="AA634">
        <f>Source!X103</f>
        <v>0</v>
      </c>
      <c r="AB634">
        <f>Source!Y103</f>
        <v>0</v>
      </c>
    </row>
    <row r="635" spans="1:28" ht="14.25" x14ac:dyDescent="0.2">
      <c r="C635" s="26" t="s">
        <v>1833</v>
      </c>
      <c r="D635" s="26">
        <f>Source!BC103</f>
        <v>7.13</v>
      </c>
      <c r="F635" s="12"/>
      <c r="G635" s="12"/>
      <c r="H635" s="12"/>
    </row>
    <row r="636" spans="1:28" ht="71.25" x14ac:dyDescent="0.2">
      <c r="A636" s="50">
        <v>77</v>
      </c>
      <c r="B636" s="50" t="str">
        <f>Source!E104</f>
        <v>39</v>
      </c>
      <c r="C636" s="50" t="str">
        <f>Source!G104</f>
        <v>Окрашивание водоэмульсионными составами поверхностей потолков, ранее окрашенных водоэмульсионной краской, с расчисткой старой краски более 35%</v>
      </c>
      <c r="D636" s="50" t="str">
        <f>Source!F104</f>
        <v>62-17-4</v>
      </c>
      <c r="E636" s="35" t="str">
        <f>Source!H104</f>
        <v>100 м2</v>
      </c>
      <c r="F636" s="12">
        <f>Source!I104</f>
        <v>2.6360000000000001</v>
      </c>
      <c r="G636" s="25">
        <f>Source!AB104</f>
        <v>812.32</v>
      </c>
      <c r="H636" s="25">
        <f>Source!O104</f>
        <v>15267.3</v>
      </c>
      <c r="T636">
        <f>Source!O104+Source!X104+Source!Y104</f>
        <v>22448.44</v>
      </c>
      <c r="U636">
        <f>Source!P104</f>
        <v>9649</v>
      </c>
      <c r="V636">
        <f>Source!S104</f>
        <v>5485.42</v>
      </c>
      <c r="W636">
        <f>Source!Q104</f>
        <v>132.88</v>
      </c>
      <c r="X636">
        <f>Source!R104</f>
        <v>38.53</v>
      </c>
      <c r="Y636">
        <f>Source!U104</f>
        <v>89.044080000000008</v>
      </c>
      <c r="Z636">
        <f>Source!V104</f>
        <v>0.42176000000000002</v>
      </c>
      <c r="AA636">
        <f>Source!X104</f>
        <v>4419.16</v>
      </c>
      <c r="AB636">
        <f>Source!Y104</f>
        <v>2761.98</v>
      </c>
    </row>
    <row r="637" spans="1:28" ht="14.25" x14ac:dyDescent="0.2">
      <c r="C637" s="26" t="str">
        <f>"Объем: "&amp;Source!I104&amp;"=263,6/"&amp;"100"</f>
        <v>Объем: 2,636=263,6/100</v>
      </c>
      <c r="F637" s="12"/>
      <c r="G637" s="12"/>
      <c r="H637" s="12"/>
    </row>
    <row r="638" spans="1:28" x14ac:dyDescent="0.2">
      <c r="C638" s="26" t="s">
        <v>1831</v>
      </c>
      <c r="D638" s="26">
        <f>Source!BA104</f>
        <v>7.13</v>
      </c>
    </row>
    <row r="639" spans="1:28" x14ac:dyDescent="0.2">
      <c r="C639" s="26" t="s">
        <v>1832</v>
      </c>
      <c r="D639" s="26">
        <f>Source!BB104</f>
        <v>7.13</v>
      </c>
    </row>
    <row r="640" spans="1:28" x14ac:dyDescent="0.2">
      <c r="C640" s="26" t="s">
        <v>1833</v>
      </c>
      <c r="D640" s="26">
        <f>Source!BC104</f>
        <v>7.13</v>
      </c>
    </row>
    <row r="641" spans="1:28" x14ac:dyDescent="0.2">
      <c r="C641" s="26" t="s">
        <v>1834</v>
      </c>
      <c r="D641" s="26">
        <f>Source!BS104</f>
        <v>7.13</v>
      </c>
    </row>
    <row r="642" spans="1:28" x14ac:dyDescent="0.2">
      <c r="C642" s="9" t="s">
        <v>1835</v>
      </c>
      <c r="D642" s="38"/>
      <c r="E642" s="38"/>
      <c r="F642" s="38">
        <f>Source!BZ104</f>
        <v>80</v>
      </c>
      <c r="G642" s="61">
        <f>(Source!AF104+Source!AE104)*Source!FX104/100</f>
        <v>235.12800000000004</v>
      </c>
      <c r="H642" s="61">
        <f>Source!X104</f>
        <v>4419.16</v>
      </c>
    </row>
    <row r="643" spans="1:28" x14ac:dyDescent="0.2">
      <c r="C643" s="9" t="s">
        <v>1837</v>
      </c>
      <c r="D643" s="38"/>
      <c r="E643" s="38"/>
      <c r="F643" s="38">
        <f>Source!CA104</f>
        <v>50</v>
      </c>
      <c r="G643" s="61">
        <f>(Source!AF104+Source!AE104)*Source!FY104/100</f>
        <v>146.95500000000001</v>
      </c>
      <c r="H643" s="61">
        <f>Source!Y104</f>
        <v>2761.98</v>
      </c>
    </row>
    <row r="644" spans="1:28" x14ac:dyDescent="0.2">
      <c r="C644" s="9" t="s">
        <v>1839</v>
      </c>
      <c r="D644" s="38"/>
      <c r="E644" s="38"/>
      <c r="F644" s="38"/>
      <c r="G644" s="61">
        <f>((Source!AF104+Source!AE104)*Source!FX104/100)+((Source!AF104+Source!AE104)*Source!FY104/100)+Source!AB104</f>
        <v>1194.4030000000002</v>
      </c>
      <c r="H644" s="61">
        <f>Source!O104+Source!X104+Source!Y104</f>
        <v>22448.44</v>
      </c>
    </row>
    <row r="645" spans="1:28" ht="14.25" x14ac:dyDescent="0.2">
      <c r="A645" s="50">
        <v>78</v>
      </c>
      <c r="B645" s="50" t="str">
        <f>Source!E105</f>
        <v>39,1</v>
      </c>
      <c r="C645" s="50" t="str">
        <f>Source!G105</f>
        <v>Краска водоэмульсионная</v>
      </c>
      <c r="D645" s="50" t="str">
        <f>Source!F105</f>
        <v>14.3.02.01</v>
      </c>
      <c r="E645" s="35" t="str">
        <f>Source!H105</f>
        <v>т</v>
      </c>
      <c r="F645" s="12">
        <f>Source!I105</f>
        <v>0.18715599999999999</v>
      </c>
      <c r="G645" s="25">
        <f>Source!AB105</f>
        <v>0</v>
      </c>
      <c r="H645" s="25">
        <f>Source!O105</f>
        <v>0</v>
      </c>
      <c r="T645">
        <f>Source!O105+Source!X105+Source!Y105</f>
        <v>0</v>
      </c>
      <c r="U645">
        <f>Source!P105</f>
        <v>0</v>
      </c>
      <c r="V645">
        <f>Source!S105</f>
        <v>0</v>
      </c>
      <c r="W645">
        <f>Source!Q105</f>
        <v>0</v>
      </c>
      <c r="X645">
        <f>Source!R105</f>
        <v>0</v>
      </c>
      <c r="Y645">
        <f>Source!U105</f>
        <v>0</v>
      </c>
      <c r="Z645">
        <f>Source!V105</f>
        <v>0</v>
      </c>
      <c r="AA645">
        <f>Source!X105</f>
        <v>0</v>
      </c>
      <c r="AB645">
        <f>Source!Y105</f>
        <v>0</v>
      </c>
    </row>
    <row r="646" spans="1:28" ht="14.25" x14ac:dyDescent="0.2">
      <c r="C646" s="26" t="s">
        <v>1833</v>
      </c>
      <c r="D646" s="26">
        <f>Source!BC105</f>
        <v>7.13</v>
      </c>
      <c r="F646" s="12"/>
      <c r="G646" s="12"/>
      <c r="H646" s="12"/>
    </row>
    <row r="647" spans="1:28" ht="42.75" x14ac:dyDescent="0.2">
      <c r="A647" s="50">
        <v>79</v>
      </c>
      <c r="B647" s="50" t="str">
        <f>Source!E106</f>
        <v>39,2</v>
      </c>
      <c r="C647" s="50" t="str">
        <f>Source!G106</f>
        <v>Краска акриловая  водно-дисперсионная (согласно тех. заданию)</v>
      </c>
      <c r="D647" s="50" t="str">
        <f>Source!F106</f>
        <v>14.3.02.01-0014</v>
      </c>
      <c r="E647" s="35" t="str">
        <f>Source!H106</f>
        <v>т</v>
      </c>
      <c r="F647" s="12">
        <f>Source!I106</f>
        <v>0.18715599999999999</v>
      </c>
      <c r="G647" s="25">
        <f>Source!AB106</f>
        <v>7627.37</v>
      </c>
      <c r="H647" s="25">
        <f>Source!O106</f>
        <v>10178.129999999999</v>
      </c>
      <c r="T647">
        <f>Source!O106+Source!X106+Source!Y106</f>
        <v>10178.129999999999</v>
      </c>
      <c r="U647">
        <f>Source!P106</f>
        <v>10178.129999999999</v>
      </c>
      <c r="V647">
        <f>Source!S106</f>
        <v>0</v>
      </c>
      <c r="W647">
        <f>Source!Q106</f>
        <v>0</v>
      </c>
      <c r="X647">
        <f>Source!R106</f>
        <v>0</v>
      </c>
      <c r="Y647">
        <f>Source!U106</f>
        <v>0</v>
      </c>
      <c r="Z647">
        <f>Source!V106</f>
        <v>0</v>
      </c>
      <c r="AA647">
        <f>Source!X106</f>
        <v>0</v>
      </c>
      <c r="AB647">
        <f>Source!Y106</f>
        <v>0</v>
      </c>
    </row>
    <row r="648" spans="1:28" ht="14.25" x14ac:dyDescent="0.2">
      <c r="C648" s="26" t="s">
        <v>1833</v>
      </c>
      <c r="D648" s="26">
        <f>Source!BC106</f>
        <v>7.13</v>
      </c>
      <c r="F648" s="12"/>
      <c r="G648" s="12"/>
      <c r="H648" s="12"/>
    </row>
    <row r="649" spans="1:28" ht="42.75" x14ac:dyDescent="0.2">
      <c r="A649" s="50">
        <v>80</v>
      </c>
      <c r="B649" s="50" t="str">
        <f>Source!E107</f>
        <v>40</v>
      </c>
      <c r="C649" s="50" t="str">
        <f>Source!G107</f>
        <v>Оклейка обоями стен по монолитной штукатурке и бетону простыми и средней плотности</v>
      </c>
      <c r="D649" s="50" t="str">
        <f>Source!F107</f>
        <v>15-06-001-01</v>
      </c>
      <c r="E649" s="35" t="str">
        <f>Source!H107</f>
        <v>100 м2</v>
      </c>
      <c r="F649" s="12">
        <f>Source!I107</f>
        <v>0.48249999999999998</v>
      </c>
      <c r="G649" s="25">
        <f>Source!AB107</f>
        <v>464.81</v>
      </c>
      <c r="H649" s="25">
        <f>Source!O107</f>
        <v>1599.05</v>
      </c>
      <c r="T649">
        <f>Source!O107+Source!X107+Source!Y107</f>
        <v>3274.55</v>
      </c>
      <c r="U649">
        <f>Source!P107</f>
        <v>416.06</v>
      </c>
      <c r="V649">
        <f>Source!S107</f>
        <v>1178.79</v>
      </c>
      <c r="W649">
        <f>Source!Q107</f>
        <v>4.2</v>
      </c>
      <c r="X649">
        <f>Source!R107</f>
        <v>1.1399999999999999</v>
      </c>
      <c r="Y649">
        <f>Source!U107</f>
        <v>18.66044625</v>
      </c>
      <c r="Z649">
        <f>Source!V107</f>
        <v>1.20625E-2</v>
      </c>
      <c r="AA649">
        <f>Source!X107</f>
        <v>1120.93</v>
      </c>
      <c r="AB649">
        <f>Source!Y107</f>
        <v>554.57000000000005</v>
      </c>
    </row>
    <row r="650" spans="1:28" ht="14.25" x14ac:dyDescent="0.2">
      <c r="C650" s="26" t="str">
        <f>"Объем: "&amp;Source!I107&amp;"=48,25/"&amp;"100"</f>
        <v>Объем: 0,4825=48,25/100</v>
      </c>
      <c r="F650" s="12"/>
      <c r="G650" s="12"/>
      <c r="H650" s="12"/>
    </row>
    <row r="651" spans="1:28" x14ac:dyDescent="0.2">
      <c r="C651" s="26" t="s">
        <v>1831</v>
      </c>
      <c r="D651" s="26">
        <f>Source!BA107</f>
        <v>7.13</v>
      </c>
    </row>
    <row r="652" spans="1:28" x14ac:dyDescent="0.2">
      <c r="C652" s="26" t="s">
        <v>1832</v>
      </c>
      <c r="D652" s="26">
        <f>Source!BB107</f>
        <v>7.13</v>
      </c>
    </row>
    <row r="653" spans="1:28" x14ac:dyDescent="0.2">
      <c r="C653" s="26" t="s">
        <v>1833</v>
      </c>
      <c r="D653" s="26">
        <f>Source!BC107</f>
        <v>7.13</v>
      </c>
    </row>
    <row r="654" spans="1:28" x14ac:dyDescent="0.2">
      <c r="C654" s="26" t="s">
        <v>1834</v>
      </c>
      <c r="D654" s="26">
        <f>Source!BS107</f>
        <v>7.13</v>
      </c>
    </row>
    <row r="655" spans="1:28" x14ac:dyDescent="0.2">
      <c r="C655" s="26" t="s">
        <v>1841</v>
      </c>
      <c r="D655" s="116" t="s">
        <v>81</v>
      </c>
      <c r="E655" s="116"/>
      <c r="F655" s="116"/>
      <c r="G655" s="116"/>
      <c r="H655" s="116"/>
    </row>
    <row r="656" spans="1:28" x14ac:dyDescent="0.2">
      <c r="C656" s="26" t="s">
        <v>1842</v>
      </c>
      <c r="D656" s="116" t="s">
        <v>81</v>
      </c>
      <c r="E656" s="116"/>
      <c r="F656" s="116"/>
      <c r="G656" s="116"/>
      <c r="H656" s="116"/>
    </row>
    <row r="657" spans="1:28" x14ac:dyDescent="0.2">
      <c r="C657" s="26" t="s">
        <v>1843</v>
      </c>
      <c r="D657" s="116" t="s">
        <v>82</v>
      </c>
      <c r="E657" s="116"/>
      <c r="F657" s="116"/>
      <c r="G657" s="116"/>
      <c r="H657" s="116"/>
    </row>
    <row r="658" spans="1:28" x14ac:dyDescent="0.2">
      <c r="C658" s="26" t="s">
        <v>1844</v>
      </c>
      <c r="D658" s="116" t="s">
        <v>82</v>
      </c>
      <c r="E658" s="116"/>
      <c r="F658" s="116"/>
      <c r="G658" s="116"/>
      <c r="H658" s="116"/>
    </row>
    <row r="659" spans="1:28" x14ac:dyDescent="0.2">
      <c r="C659" s="26" t="s">
        <v>1845</v>
      </c>
      <c r="D659" s="116" t="s">
        <v>81</v>
      </c>
      <c r="E659" s="116"/>
      <c r="F659" s="116"/>
      <c r="G659" s="116"/>
      <c r="H659" s="116"/>
    </row>
    <row r="660" spans="1:28" x14ac:dyDescent="0.2">
      <c r="C660" s="9" t="s">
        <v>1835</v>
      </c>
      <c r="D660" s="38"/>
      <c r="E660" s="38"/>
      <c r="F660" s="38">
        <f>Source!BZ107</f>
        <v>105</v>
      </c>
      <c r="G660" s="61">
        <f>(Source!AF107+Source!AE107)*Source!FX107/100</f>
        <v>324.11609999999996</v>
      </c>
      <c r="H660" s="61">
        <f>Source!X107</f>
        <v>1120.93</v>
      </c>
    </row>
    <row r="661" spans="1:28" x14ac:dyDescent="0.2">
      <c r="C661" s="9" t="s">
        <v>1836</v>
      </c>
      <c r="D661" s="38"/>
      <c r="E661" s="38"/>
      <c r="F661" s="38"/>
      <c r="G661" s="38" t="str">
        <f>CONCATENATE(Source!DL107,Source!FT107, "=", Source!FX107, "%")</f>
        <v>*0,9=94,5%</v>
      </c>
      <c r="H661" s="38" t="str">
        <f>CONCATENATE(Source!AT107)</f>
        <v>95</v>
      </c>
    </row>
    <row r="662" spans="1:28" x14ac:dyDescent="0.2">
      <c r="C662" s="9" t="s">
        <v>1837</v>
      </c>
      <c r="D662" s="38"/>
      <c r="E662" s="38"/>
      <c r="F662" s="38">
        <f>Source!CA107</f>
        <v>55</v>
      </c>
      <c r="G662" s="61">
        <f>(Source!AF107+Source!AE107)*Source!FY107/100</f>
        <v>160.34314999999998</v>
      </c>
      <c r="H662" s="61">
        <f>Source!Y107</f>
        <v>554.57000000000005</v>
      </c>
    </row>
    <row r="663" spans="1:28" x14ac:dyDescent="0.2">
      <c r="C663" s="9" t="s">
        <v>1838</v>
      </c>
      <c r="D663" s="38"/>
      <c r="E663" s="38"/>
      <c r="F663" s="38"/>
      <c r="G663" s="38" t="str">
        <f>CONCATENATE(Source!DM107,Source!FU107, "=", Source!FY107, "%")</f>
        <v>*0,85=46,75%</v>
      </c>
      <c r="H663" s="38" t="str">
        <f>CONCATENATE(Source!AU107)</f>
        <v>47</v>
      </c>
    </row>
    <row r="664" spans="1:28" x14ac:dyDescent="0.2">
      <c r="C664" s="9" t="s">
        <v>1839</v>
      </c>
      <c r="D664" s="38"/>
      <c r="E664" s="38"/>
      <c r="F664" s="38"/>
      <c r="G664" s="61">
        <f>((Source!AF107+Source!AE107)*Source!FX107/100)+((Source!AF107+Source!AE107)*Source!FY107/100)+Source!AB107</f>
        <v>949.26924999999994</v>
      </c>
      <c r="H664" s="61">
        <f>Source!O107+Source!X107+Source!Y107</f>
        <v>3274.55</v>
      </c>
    </row>
    <row r="665" spans="1:28" ht="28.5" x14ac:dyDescent="0.2">
      <c r="A665" s="50">
        <v>81</v>
      </c>
      <c r="B665" s="50" t="str">
        <f>Source!E108</f>
        <v>40,1</v>
      </c>
      <c r="C665" s="50" t="str">
        <f>Source!G108</f>
        <v>Стеклообои TASSOGLAS, елочка</v>
      </c>
      <c r="D665" s="50" t="str">
        <f>Source!F108</f>
        <v>01.6.02.02-0002</v>
      </c>
      <c r="E665" s="35" t="str">
        <f>Source!H108</f>
        <v>10 м2</v>
      </c>
      <c r="F665" s="12">
        <f>Source!I108</f>
        <v>0.54522499999999996</v>
      </c>
      <c r="G665" s="25">
        <f>Source!AB108</f>
        <v>110.35</v>
      </c>
      <c r="H665" s="25">
        <f>Source!O108</f>
        <v>428.98</v>
      </c>
      <c r="T665">
        <f>Source!O108+Source!X108+Source!Y108</f>
        <v>428.98</v>
      </c>
      <c r="U665">
        <f>Source!P108</f>
        <v>428.98</v>
      </c>
      <c r="V665">
        <f>Source!S108</f>
        <v>0</v>
      </c>
      <c r="W665">
        <f>Source!Q108</f>
        <v>0</v>
      </c>
      <c r="X665">
        <f>Source!R108</f>
        <v>0</v>
      </c>
      <c r="Y665">
        <f>Source!U108</f>
        <v>0</v>
      </c>
      <c r="Z665">
        <f>Source!V108</f>
        <v>0</v>
      </c>
      <c r="AA665">
        <f>Source!X108</f>
        <v>0</v>
      </c>
      <c r="AB665">
        <f>Source!Y108</f>
        <v>0</v>
      </c>
    </row>
    <row r="666" spans="1:28" ht="14.25" x14ac:dyDescent="0.2">
      <c r="C666" s="26" t="s">
        <v>1833</v>
      </c>
      <c r="D666" s="26">
        <f>Source!BC108</f>
        <v>7.13</v>
      </c>
      <c r="F666" s="12"/>
      <c r="G666" s="12"/>
      <c r="H666" s="12"/>
    </row>
    <row r="667" spans="1:28" ht="28.5" x14ac:dyDescent="0.2">
      <c r="A667" s="50">
        <v>82</v>
      </c>
      <c r="B667" s="50" t="str">
        <f>Source!E109</f>
        <v>41</v>
      </c>
      <c r="C667" s="50" t="str">
        <f>Source!G109</f>
        <v>Вторая окраска стен, оклееных стеклообоями, красками</v>
      </c>
      <c r="D667" s="50" t="str">
        <f>Source!F109</f>
        <v>15-06-004-01</v>
      </c>
      <c r="E667" s="35" t="str">
        <f>Source!H109</f>
        <v>100 м2</v>
      </c>
      <c r="F667" s="12">
        <f>Source!I109</f>
        <v>0.48249999999999998</v>
      </c>
      <c r="G667" s="25">
        <f>Source!AB109</f>
        <v>92.71</v>
      </c>
      <c r="H667" s="25">
        <f>Source!O109</f>
        <v>318.94</v>
      </c>
      <c r="T667">
        <f>Source!O109+Source!X109+Source!Y109</f>
        <v>771.83</v>
      </c>
      <c r="U667">
        <f>Source!P109</f>
        <v>0</v>
      </c>
      <c r="V667">
        <f>Source!S109</f>
        <v>318.94</v>
      </c>
      <c r="W667">
        <f>Source!Q109</f>
        <v>0</v>
      </c>
      <c r="X667">
        <f>Source!R109</f>
        <v>0</v>
      </c>
      <c r="Y667">
        <f>Source!U109</f>
        <v>4.6498524999999997</v>
      </c>
      <c r="Z667">
        <f>Source!V109</f>
        <v>0</v>
      </c>
      <c r="AA667">
        <f>Source!X109</f>
        <v>302.99</v>
      </c>
      <c r="AB667">
        <f>Source!Y109</f>
        <v>149.9</v>
      </c>
    </row>
    <row r="668" spans="1:28" ht="14.25" x14ac:dyDescent="0.2">
      <c r="C668" s="26" t="str">
        <f>"Объем: "&amp;Source!I109&amp;"=48,25/"&amp;"100"</f>
        <v>Объем: 0,4825=48,25/100</v>
      </c>
      <c r="F668" s="12"/>
      <c r="G668" s="12"/>
      <c r="H668" s="12"/>
    </row>
    <row r="669" spans="1:28" x14ac:dyDescent="0.2">
      <c r="C669" s="26" t="s">
        <v>1831</v>
      </c>
      <c r="D669" s="26">
        <f>Source!BA109</f>
        <v>7.13</v>
      </c>
    </row>
    <row r="670" spans="1:28" x14ac:dyDescent="0.2">
      <c r="C670" s="26" t="s">
        <v>1832</v>
      </c>
      <c r="D670" s="26">
        <f>Source!BB109</f>
        <v>7.13</v>
      </c>
    </row>
    <row r="671" spans="1:28" x14ac:dyDescent="0.2">
      <c r="C671" s="26" t="s">
        <v>1833</v>
      </c>
      <c r="D671" s="26">
        <f>Source!BC109</f>
        <v>7.13</v>
      </c>
    </row>
    <row r="672" spans="1:28" x14ac:dyDescent="0.2">
      <c r="C672" s="26" t="s">
        <v>1834</v>
      </c>
      <c r="D672" s="26">
        <f>Source!BS109</f>
        <v>7.13</v>
      </c>
    </row>
    <row r="673" spans="1:28" x14ac:dyDescent="0.2">
      <c r="C673" s="26" t="s">
        <v>1841</v>
      </c>
      <c r="D673" s="116" t="s">
        <v>81</v>
      </c>
      <c r="E673" s="116"/>
      <c r="F673" s="116"/>
      <c r="G673" s="116"/>
      <c r="H673" s="116"/>
    </row>
    <row r="674" spans="1:28" x14ac:dyDescent="0.2">
      <c r="C674" s="26" t="s">
        <v>1842</v>
      </c>
      <c r="D674" s="116" t="s">
        <v>81</v>
      </c>
      <c r="E674" s="116"/>
      <c r="F674" s="116"/>
      <c r="G674" s="116"/>
      <c r="H674" s="116"/>
    </row>
    <row r="675" spans="1:28" x14ac:dyDescent="0.2">
      <c r="C675" s="26" t="s">
        <v>1843</v>
      </c>
      <c r="D675" s="116" t="s">
        <v>82</v>
      </c>
      <c r="E675" s="116"/>
      <c r="F675" s="116"/>
      <c r="G675" s="116"/>
      <c r="H675" s="116"/>
    </row>
    <row r="676" spans="1:28" x14ac:dyDescent="0.2">
      <c r="C676" s="26" t="s">
        <v>1844</v>
      </c>
      <c r="D676" s="116" t="s">
        <v>82</v>
      </c>
      <c r="E676" s="116"/>
      <c r="F676" s="116"/>
      <c r="G676" s="116"/>
      <c r="H676" s="116"/>
    </row>
    <row r="677" spans="1:28" x14ac:dyDescent="0.2">
      <c r="C677" s="26" t="s">
        <v>1845</v>
      </c>
      <c r="D677" s="116" t="s">
        <v>81</v>
      </c>
      <c r="E677" s="116"/>
      <c r="F677" s="116"/>
      <c r="G677" s="116"/>
      <c r="H677" s="116"/>
    </row>
    <row r="678" spans="1:28" x14ac:dyDescent="0.2">
      <c r="C678" s="9" t="s">
        <v>1835</v>
      </c>
      <c r="D678" s="38"/>
      <c r="E678" s="38"/>
      <c r="F678" s="38">
        <f>Source!BZ109</f>
        <v>105</v>
      </c>
      <c r="G678" s="61">
        <f>(Source!AF109+Source!AE109)*Source!FX109/100</f>
        <v>87.610949999999988</v>
      </c>
      <c r="H678" s="61">
        <f>Source!X109</f>
        <v>302.99</v>
      </c>
    </row>
    <row r="679" spans="1:28" x14ac:dyDescent="0.2">
      <c r="C679" s="9" t="s">
        <v>1836</v>
      </c>
      <c r="D679" s="38"/>
      <c r="E679" s="38"/>
      <c r="F679" s="38"/>
      <c r="G679" s="38" t="str">
        <f>CONCATENATE(Source!DL109,Source!FT109, "=", Source!FX109, "%")</f>
        <v>*0,9=94,5%</v>
      </c>
      <c r="H679" s="38" t="str">
        <f>CONCATENATE(Source!AT109)</f>
        <v>95</v>
      </c>
    </row>
    <row r="680" spans="1:28" x14ac:dyDescent="0.2">
      <c r="C680" s="9" t="s">
        <v>1837</v>
      </c>
      <c r="D680" s="38"/>
      <c r="E680" s="38"/>
      <c r="F680" s="38">
        <f>Source!CA109</f>
        <v>55</v>
      </c>
      <c r="G680" s="61">
        <f>(Source!AF109+Source!AE109)*Source!FY109/100</f>
        <v>43.341925000000003</v>
      </c>
      <c r="H680" s="61">
        <f>Source!Y109</f>
        <v>149.9</v>
      </c>
    </row>
    <row r="681" spans="1:28" x14ac:dyDescent="0.2">
      <c r="C681" s="9" t="s">
        <v>1838</v>
      </c>
      <c r="D681" s="38"/>
      <c r="E681" s="38"/>
      <c r="F681" s="38"/>
      <c r="G681" s="38" t="str">
        <f>CONCATENATE(Source!DM109,Source!FU109, "=", Source!FY109, "%")</f>
        <v>*0,85=46,75%</v>
      </c>
      <c r="H681" s="38" t="str">
        <f>CONCATENATE(Source!AU109)</f>
        <v>47</v>
      </c>
    </row>
    <row r="682" spans="1:28" x14ac:dyDescent="0.2">
      <c r="C682" s="9" t="s">
        <v>1839</v>
      </c>
      <c r="D682" s="38"/>
      <c r="E682" s="38"/>
      <c r="F682" s="38"/>
      <c r="G682" s="61">
        <f>((Source!AF109+Source!AE109)*Source!FX109/100)+((Source!AF109+Source!AE109)*Source!FY109/100)+Source!AB109</f>
        <v>223.66287499999999</v>
      </c>
      <c r="H682" s="61">
        <f>Source!O109+Source!X109+Source!Y109</f>
        <v>771.83</v>
      </c>
    </row>
    <row r="683" spans="1:28" ht="28.5" x14ac:dyDescent="0.2">
      <c r="A683" s="50">
        <v>83</v>
      </c>
      <c r="B683" s="50" t="str">
        <f>Source!E110</f>
        <v>41,1</v>
      </c>
      <c r="C683" s="50" t="str">
        <f>Source!G110</f>
        <v>Краска акриловая  для стен и потолков (согласно тех.заданию)</v>
      </c>
      <c r="D683" s="50" t="str">
        <f>Source!F110</f>
        <v>14.3.02.01-0126</v>
      </c>
      <c r="E683" s="35" t="str">
        <f>Source!H110</f>
        <v>т</v>
      </c>
      <c r="F683" s="12">
        <f>Source!I110</f>
        <v>7.7200000000000003E-3</v>
      </c>
      <c r="G683" s="25">
        <f>Source!AB110</f>
        <v>4751.46</v>
      </c>
      <c r="H683" s="25">
        <f>Source!O110</f>
        <v>261.54000000000002</v>
      </c>
      <c r="T683">
        <f>Source!O110+Source!X110+Source!Y110</f>
        <v>261.54000000000002</v>
      </c>
      <c r="U683">
        <f>Source!P110</f>
        <v>261.54000000000002</v>
      </c>
      <c r="V683">
        <f>Source!S110</f>
        <v>0</v>
      </c>
      <c r="W683">
        <f>Source!Q110</f>
        <v>0</v>
      </c>
      <c r="X683">
        <f>Source!R110</f>
        <v>0</v>
      </c>
      <c r="Y683">
        <f>Source!U110</f>
        <v>0</v>
      </c>
      <c r="Z683">
        <f>Source!V110</f>
        <v>0</v>
      </c>
      <c r="AA683">
        <f>Source!X110</f>
        <v>0</v>
      </c>
      <c r="AB683">
        <f>Source!Y110</f>
        <v>0</v>
      </c>
    </row>
    <row r="684" spans="1:28" ht="14.25" x14ac:dyDescent="0.2">
      <c r="C684" s="26" t="s">
        <v>1833</v>
      </c>
      <c r="D684" s="26">
        <f>Source!BC110</f>
        <v>7.13</v>
      </c>
      <c r="F684" s="12"/>
      <c r="G684" s="12"/>
      <c r="H684" s="12"/>
    </row>
    <row r="685" spans="1:28" ht="42.75" x14ac:dyDescent="0.2">
      <c r="A685" s="50">
        <v>84</v>
      </c>
      <c r="B685" s="50" t="str">
        <f>Source!E111</f>
        <v>42</v>
      </c>
      <c r="C685" s="50" t="str">
        <f>Source!G111</f>
        <v>Покрытие поверхностей грунтовкой глубокого проникновения за 1 раз потолков</v>
      </c>
      <c r="D685" s="50" t="str">
        <f>Source!F111</f>
        <v>15-04-006-01</v>
      </c>
      <c r="E685" s="35" t="str">
        <f>Source!H111</f>
        <v>100 м2</v>
      </c>
      <c r="F685" s="12">
        <f>Source!I111</f>
        <v>2.6360000000000001</v>
      </c>
      <c r="G685" s="25">
        <f>Source!AB111</f>
        <v>91.01</v>
      </c>
      <c r="H685" s="25">
        <f>Source!O111</f>
        <v>1710.5</v>
      </c>
      <c r="T685">
        <f>Source!O111+Source!X111+Source!Y111</f>
        <v>4110.8500000000004</v>
      </c>
      <c r="U685">
        <f>Source!P111</f>
        <v>3.38</v>
      </c>
      <c r="V685">
        <f>Source!S111</f>
        <v>1684.19</v>
      </c>
      <c r="W685">
        <f>Source!Q111</f>
        <v>22.93</v>
      </c>
      <c r="X685">
        <f>Source!R111</f>
        <v>6.2</v>
      </c>
      <c r="Y685">
        <f>Source!U111</f>
        <v>24.55434</v>
      </c>
      <c r="Z685">
        <f>Source!V111</f>
        <v>6.59E-2</v>
      </c>
      <c r="AA685">
        <f>Source!X111</f>
        <v>1605.87</v>
      </c>
      <c r="AB685">
        <f>Source!Y111</f>
        <v>794.48</v>
      </c>
    </row>
    <row r="686" spans="1:28" ht="14.25" x14ac:dyDescent="0.2">
      <c r="C686" s="26" t="str">
        <f>"Объем: "&amp;Source!I111&amp;"=263,6/"&amp;"100"</f>
        <v>Объем: 2,636=263,6/100</v>
      </c>
      <c r="F686" s="12"/>
      <c r="G686" s="12"/>
      <c r="H686" s="12"/>
    </row>
    <row r="687" spans="1:28" x14ac:dyDescent="0.2">
      <c r="C687" s="26" t="s">
        <v>1831</v>
      </c>
      <c r="D687" s="26">
        <f>Source!BA111</f>
        <v>7.13</v>
      </c>
    </row>
    <row r="688" spans="1:28" x14ac:dyDescent="0.2">
      <c r="C688" s="26" t="s">
        <v>1832</v>
      </c>
      <c r="D688" s="26">
        <f>Source!BB111</f>
        <v>7.13</v>
      </c>
    </row>
    <row r="689" spans="1:28" x14ac:dyDescent="0.2">
      <c r="C689" s="26" t="s">
        <v>1833</v>
      </c>
      <c r="D689" s="26">
        <f>Source!BC111</f>
        <v>7.13</v>
      </c>
    </row>
    <row r="690" spans="1:28" x14ac:dyDescent="0.2">
      <c r="C690" s="26" t="s">
        <v>1834</v>
      </c>
      <c r="D690" s="26">
        <f>Source!BS111</f>
        <v>7.13</v>
      </c>
    </row>
    <row r="691" spans="1:28" x14ac:dyDescent="0.2">
      <c r="C691" s="26" t="s">
        <v>1841</v>
      </c>
      <c r="D691" s="116" t="s">
        <v>81</v>
      </c>
      <c r="E691" s="116"/>
      <c r="F691" s="116"/>
      <c r="G691" s="116"/>
      <c r="H691" s="116"/>
    </row>
    <row r="692" spans="1:28" x14ac:dyDescent="0.2">
      <c r="C692" s="26" t="s">
        <v>1842</v>
      </c>
      <c r="D692" s="116" t="s">
        <v>81</v>
      </c>
      <c r="E692" s="116"/>
      <c r="F692" s="116"/>
      <c r="G692" s="116"/>
      <c r="H692" s="116"/>
    </row>
    <row r="693" spans="1:28" x14ac:dyDescent="0.2">
      <c r="C693" s="26" t="s">
        <v>1843</v>
      </c>
      <c r="D693" s="116" t="s">
        <v>82</v>
      </c>
      <c r="E693" s="116"/>
      <c r="F693" s="116"/>
      <c r="G693" s="116"/>
      <c r="H693" s="116"/>
    </row>
    <row r="694" spans="1:28" x14ac:dyDescent="0.2">
      <c r="C694" s="26" t="s">
        <v>1844</v>
      </c>
      <c r="D694" s="116" t="s">
        <v>82</v>
      </c>
      <c r="E694" s="116"/>
      <c r="F694" s="116"/>
      <c r="G694" s="116"/>
      <c r="H694" s="116"/>
    </row>
    <row r="695" spans="1:28" x14ac:dyDescent="0.2">
      <c r="C695" s="26" t="s">
        <v>1845</v>
      </c>
      <c r="D695" s="116" t="s">
        <v>81</v>
      </c>
      <c r="E695" s="116"/>
      <c r="F695" s="116"/>
      <c r="G695" s="116"/>
      <c r="H695" s="116"/>
    </row>
    <row r="696" spans="1:28" x14ac:dyDescent="0.2">
      <c r="C696" s="9" t="s">
        <v>1835</v>
      </c>
      <c r="D696" s="38"/>
      <c r="E696" s="38"/>
      <c r="F696" s="38">
        <f>Source!BZ111</f>
        <v>105</v>
      </c>
      <c r="G696" s="61">
        <f>(Source!AF111+Source!AE111)*Source!FX111/100</f>
        <v>84.993300000000005</v>
      </c>
      <c r="H696" s="61">
        <f>Source!X111</f>
        <v>1605.87</v>
      </c>
    </row>
    <row r="697" spans="1:28" x14ac:dyDescent="0.2">
      <c r="C697" s="9" t="s">
        <v>1836</v>
      </c>
      <c r="D697" s="38"/>
      <c r="E697" s="38"/>
      <c r="F697" s="38"/>
      <c r="G697" s="38" t="str">
        <f>CONCATENATE(Source!DL111,Source!FT111, "=", Source!FX111, "%")</f>
        <v>*0,9=94,5%</v>
      </c>
      <c r="H697" s="38" t="str">
        <f>CONCATENATE(Source!AT111)</f>
        <v>95</v>
      </c>
    </row>
    <row r="698" spans="1:28" x14ac:dyDescent="0.2">
      <c r="C698" s="9" t="s">
        <v>1837</v>
      </c>
      <c r="D698" s="38"/>
      <c r="E698" s="38"/>
      <c r="F698" s="38">
        <f>Source!CA111</f>
        <v>55</v>
      </c>
      <c r="G698" s="61">
        <f>(Source!AF111+Source!AE111)*Source!FY111/100</f>
        <v>42.046949999999995</v>
      </c>
      <c r="H698" s="61">
        <f>Source!Y111</f>
        <v>794.48</v>
      </c>
    </row>
    <row r="699" spans="1:28" x14ac:dyDescent="0.2">
      <c r="C699" s="9" t="s">
        <v>1838</v>
      </c>
      <c r="D699" s="38"/>
      <c r="E699" s="38"/>
      <c r="F699" s="38"/>
      <c r="G699" s="38" t="str">
        <f>CONCATENATE(Source!DM111,Source!FU111, "=", Source!FY111, "%")</f>
        <v>*0,85=46,75%</v>
      </c>
      <c r="H699" s="38" t="str">
        <f>CONCATENATE(Source!AU111)</f>
        <v>47</v>
      </c>
    </row>
    <row r="700" spans="1:28" x14ac:dyDescent="0.2">
      <c r="C700" s="9" t="s">
        <v>1839</v>
      </c>
      <c r="D700" s="38"/>
      <c r="E700" s="38"/>
      <c r="F700" s="38"/>
      <c r="G700" s="61">
        <f>((Source!AF111+Source!AE111)*Source!FX111/100)+((Source!AF111+Source!AE111)*Source!FY111/100)+Source!AB111</f>
        <v>218.05025000000001</v>
      </c>
      <c r="H700" s="61">
        <f>Source!O111+Source!X111+Source!Y111</f>
        <v>4110.8500000000004</v>
      </c>
    </row>
    <row r="701" spans="1:28" ht="14.25" x14ac:dyDescent="0.2">
      <c r="A701" s="50">
        <v>85</v>
      </c>
      <c r="B701" s="50" t="str">
        <f>Source!E112</f>
        <v>42,1</v>
      </c>
      <c r="C701" s="50" t="str">
        <f>Source!G112</f>
        <v>Грунтовка</v>
      </c>
      <c r="D701" s="50" t="str">
        <f>Source!F112</f>
        <v>14.4.01.21</v>
      </c>
      <c r="E701" s="35" t="str">
        <f>Source!H112</f>
        <v>т</v>
      </c>
      <c r="F701" s="12">
        <f>Source!I112</f>
        <v>3.4268E-2</v>
      </c>
      <c r="G701" s="25">
        <f>Source!AB112</f>
        <v>0</v>
      </c>
      <c r="H701" s="25">
        <f>Source!O112</f>
        <v>0</v>
      </c>
      <c r="T701">
        <f>Source!O112+Source!X112+Source!Y112</f>
        <v>0</v>
      </c>
      <c r="U701">
        <f>Source!P112</f>
        <v>0</v>
      </c>
      <c r="V701">
        <f>Source!S112</f>
        <v>0</v>
      </c>
      <c r="W701">
        <f>Source!Q112</f>
        <v>0</v>
      </c>
      <c r="X701">
        <f>Source!R112</f>
        <v>0</v>
      </c>
      <c r="Y701">
        <f>Source!U112</f>
        <v>0</v>
      </c>
      <c r="Z701">
        <f>Source!V112</f>
        <v>0</v>
      </c>
      <c r="AA701">
        <f>Source!X112</f>
        <v>0</v>
      </c>
      <c r="AB701">
        <f>Source!Y112</f>
        <v>0</v>
      </c>
    </row>
    <row r="702" spans="1:28" ht="14.25" x14ac:dyDescent="0.2">
      <c r="C702" s="26" t="s">
        <v>1833</v>
      </c>
      <c r="D702" s="26">
        <f>Source!BC112</f>
        <v>7.13</v>
      </c>
      <c r="F702" s="12"/>
      <c r="G702" s="12"/>
      <c r="H702" s="12"/>
    </row>
    <row r="703" spans="1:28" ht="28.5" x14ac:dyDescent="0.2">
      <c r="A703" s="50">
        <v>86</v>
      </c>
      <c r="B703" s="50" t="str">
        <f>Source!E113</f>
        <v>42,2</v>
      </c>
      <c r="C703" s="50" t="str">
        <f>Source!G113</f>
        <v>Грунтовка: «Бетоконтакт», КНАУФ</v>
      </c>
      <c r="D703" s="50" t="str">
        <f>Source!F113</f>
        <v>14.3.01.01-0001</v>
      </c>
      <c r="E703" s="35" t="str">
        <f>Source!H113</f>
        <v>кг</v>
      </c>
      <c r="F703" s="12">
        <f>Source!I113</f>
        <v>49.650024999999999</v>
      </c>
      <c r="G703" s="25">
        <f>Source!AB113</f>
        <v>15.09</v>
      </c>
      <c r="H703" s="25">
        <f>Source!O113</f>
        <v>5341.93</v>
      </c>
      <c r="T703">
        <f>Source!O113+Source!X113+Source!Y113</f>
        <v>5341.93</v>
      </c>
      <c r="U703">
        <f>Source!P113</f>
        <v>5341.93</v>
      </c>
      <c r="V703">
        <f>Source!S113</f>
        <v>0</v>
      </c>
      <c r="W703">
        <f>Source!Q113</f>
        <v>0</v>
      </c>
      <c r="X703">
        <f>Source!R113</f>
        <v>0</v>
      </c>
      <c r="Y703">
        <f>Source!U113</f>
        <v>0</v>
      </c>
      <c r="Z703">
        <f>Source!V113</f>
        <v>0</v>
      </c>
      <c r="AA703">
        <f>Source!X113</f>
        <v>0</v>
      </c>
      <c r="AB703">
        <f>Source!Y113</f>
        <v>0</v>
      </c>
    </row>
    <row r="704" spans="1:28" ht="14.25" x14ac:dyDescent="0.2">
      <c r="C704" s="26" t="s">
        <v>1833</v>
      </c>
      <c r="D704" s="26">
        <f>Source!BC113</f>
        <v>7.13</v>
      </c>
      <c r="F704" s="12"/>
      <c r="G704" s="12"/>
      <c r="H704" s="12"/>
    </row>
    <row r="705" spans="1:28" ht="28.5" x14ac:dyDescent="0.2">
      <c r="A705" s="50">
        <v>87</v>
      </c>
      <c r="B705" s="50" t="str">
        <f>Source!E114</f>
        <v>43</v>
      </c>
      <c r="C705" s="50" t="str">
        <f>Source!G114</f>
        <v>Протравка цементной штукатурки нейтрализующим раствором</v>
      </c>
      <c r="D705" s="50" t="str">
        <f>Source!F114</f>
        <v>62-42-1</v>
      </c>
      <c r="E705" s="35" t="str">
        <f>Source!H114</f>
        <v>100 м2</v>
      </c>
      <c r="F705" s="12">
        <f>Source!I114</f>
        <v>0.33800000000000002</v>
      </c>
      <c r="G705" s="25">
        <f>Source!AB114</f>
        <v>37.1</v>
      </c>
      <c r="H705" s="25">
        <f>Source!O114</f>
        <v>89.41</v>
      </c>
      <c r="T705">
        <f>Source!O114+Source!X114+Source!Y114</f>
        <v>181.55</v>
      </c>
      <c r="U705">
        <f>Source!P114</f>
        <v>18.53</v>
      </c>
      <c r="V705">
        <f>Source!S114</f>
        <v>70.88</v>
      </c>
      <c r="W705">
        <f>Source!Q114</f>
        <v>0</v>
      </c>
      <c r="X705">
        <f>Source!R114</f>
        <v>0</v>
      </c>
      <c r="Y705">
        <f>Source!U114</f>
        <v>1.2742600000000002</v>
      </c>
      <c r="Z705">
        <f>Source!V114</f>
        <v>0</v>
      </c>
      <c r="AA705">
        <f>Source!X114</f>
        <v>56.7</v>
      </c>
      <c r="AB705">
        <f>Source!Y114</f>
        <v>35.44</v>
      </c>
    </row>
    <row r="706" spans="1:28" ht="14.25" x14ac:dyDescent="0.2">
      <c r="C706" s="26" t="str">
        <f>"Объем: "&amp;Source!I114&amp;"=33,8/"&amp;"100"</f>
        <v>Объем: 0,338=33,8/100</v>
      </c>
      <c r="F706" s="12"/>
      <c r="G706" s="12"/>
      <c r="H706" s="12"/>
    </row>
    <row r="707" spans="1:28" x14ac:dyDescent="0.2">
      <c r="C707" s="26" t="s">
        <v>1831</v>
      </c>
      <c r="D707" s="26">
        <f>Source!BA114</f>
        <v>7.13</v>
      </c>
    </row>
    <row r="708" spans="1:28" x14ac:dyDescent="0.2">
      <c r="C708" s="26" t="s">
        <v>1832</v>
      </c>
      <c r="D708" s="26">
        <f>Source!BB114</f>
        <v>7.13</v>
      </c>
    </row>
    <row r="709" spans="1:28" x14ac:dyDescent="0.2">
      <c r="C709" s="26" t="s">
        <v>1833</v>
      </c>
      <c r="D709" s="26">
        <f>Source!BC114</f>
        <v>7.13</v>
      </c>
    </row>
    <row r="710" spans="1:28" x14ac:dyDescent="0.2">
      <c r="C710" s="26" t="s">
        <v>1834</v>
      </c>
      <c r="D710" s="26">
        <f>Source!BS114</f>
        <v>7.13</v>
      </c>
    </row>
    <row r="711" spans="1:28" x14ac:dyDescent="0.2">
      <c r="C711" s="9" t="s">
        <v>1835</v>
      </c>
      <c r="D711" s="38"/>
      <c r="E711" s="38"/>
      <c r="F711" s="38">
        <f>Source!BZ114</f>
        <v>80</v>
      </c>
      <c r="G711" s="61">
        <f>(Source!AF114+Source!AE114)*Source!FX114/100</f>
        <v>23.528000000000002</v>
      </c>
      <c r="H711" s="61">
        <f>Source!X114</f>
        <v>56.7</v>
      </c>
    </row>
    <row r="712" spans="1:28" x14ac:dyDescent="0.2">
      <c r="C712" s="9" t="s">
        <v>1837</v>
      </c>
      <c r="D712" s="38"/>
      <c r="E712" s="38"/>
      <c r="F712" s="38">
        <f>Source!CA114</f>
        <v>50</v>
      </c>
      <c r="G712" s="61">
        <f>(Source!AF114+Source!AE114)*Source!FY114/100</f>
        <v>14.705</v>
      </c>
      <c r="H712" s="61">
        <f>Source!Y114</f>
        <v>35.44</v>
      </c>
    </row>
    <row r="713" spans="1:28" x14ac:dyDescent="0.2">
      <c r="C713" s="9" t="s">
        <v>1839</v>
      </c>
      <c r="D713" s="38"/>
      <c r="E713" s="38"/>
      <c r="F713" s="38"/>
      <c r="G713" s="61">
        <f>((Source!AF114+Source!AE114)*Source!FX114/100)+((Source!AF114+Source!AE114)*Source!FY114/100)+Source!AB114</f>
        <v>75.332999999999998</v>
      </c>
      <c r="H713" s="61">
        <f>Source!O114+Source!X114+Source!Y114</f>
        <v>181.55</v>
      </c>
    </row>
    <row r="714" spans="1:28" ht="14.25" x14ac:dyDescent="0.2">
      <c r="A714" s="50">
        <v>88</v>
      </c>
      <c r="B714" s="50" t="str">
        <f>Source!E115</f>
        <v>44</v>
      </c>
      <c r="C714" s="50" t="str">
        <f>Source!G115</f>
        <v>Расшивка швов потолка</v>
      </c>
      <c r="D714" s="50" t="str">
        <f>Source!F115</f>
        <v>53-14-1</v>
      </c>
      <c r="E714" s="35" t="str">
        <f>Source!H115</f>
        <v>10 м</v>
      </c>
      <c r="F714" s="12">
        <f>Source!I115</f>
        <v>4.8</v>
      </c>
      <c r="G714" s="25">
        <f>Source!AB115</f>
        <v>24.33</v>
      </c>
      <c r="H714" s="25">
        <f>Source!O115</f>
        <v>832.67</v>
      </c>
      <c r="T714">
        <f>Source!O115+Source!X115+Source!Y115</f>
        <v>2130.5699999999997</v>
      </c>
      <c r="U714">
        <f>Source!P115</f>
        <v>0.68</v>
      </c>
      <c r="V714">
        <f>Source!S115</f>
        <v>831.99</v>
      </c>
      <c r="W714">
        <f>Source!Q115</f>
        <v>0</v>
      </c>
      <c r="X714">
        <f>Source!R115</f>
        <v>0</v>
      </c>
      <c r="Y714">
        <f>Source!U115</f>
        <v>13.007999999999999</v>
      </c>
      <c r="Z714">
        <f>Source!V115</f>
        <v>0</v>
      </c>
      <c r="AA714">
        <f>Source!X115</f>
        <v>715.51</v>
      </c>
      <c r="AB714">
        <f>Source!Y115</f>
        <v>582.39</v>
      </c>
    </row>
    <row r="715" spans="1:28" ht="14.25" x14ac:dyDescent="0.2">
      <c r="C715" s="26" t="str">
        <f>"Объем: "&amp;Source!I115&amp;"=48/"&amp;"10"</f>
        <v>Объем: 4,8=48/10</v>
      </c>
      <c r="F715" s="12"/>
      <c r="G715" s="12"/>
      <c r="H715" s="12"/>
    </row>
    <row r="716" spans="1:28" x14ac:dyDescent="0.2">
      <c r="C716" s="26" t="s">
        <v>1831</v>
      </c>
      <c r="D716" s="26">
        <f>Source!BA115</f>
        <v>7.13</v>
      </c>
    </row>
    <row r="717" spans="1:28" x14ac:dyDescent="0.2">
      <c r="C717" s="26" t="s">
        <v>1832</v>
      </c>
      <c r="D717" s="26">
        <f>Source!BB115</f>
        <v>7.13</v>
      </c>
    </row>
    <row r="718" spans="1:28" x14ac:dyDescent="0.2">
      <c r="C718" s="26" t="s">
        <v>1833</v>
      </c>
      <c r="D718" s="26">
        <f>Source!BC115</f>
        <v>7.13</v>
      </c>
    </row>
    <row r="719" spans="1:28" x14ac:dyDescent="0.2">
      <c r="C719" s="26" t="s">
        <v>1834</v>
      </c>
      <c r="D719" s="26">
        <f>Source!BS115</f>
        <v>7.13</v>
      </c>
    </row>
    <row r="720" spans="1:28" x14ac:dyDescent="0.2">
      <c r="C720" s="9" t="s">
        <v>1835</v>
      </c>
      <c r="D720" s="38"/>
      <c r="E720" s="38"/>
      <c r="F720" s="38">
        <f>Source!BZ115</f>
        <v>86</v>
      </c>
      <c r="G720" s="61">
        <f>(Source!AF115+Source!AE115)*Source!FX115/100</f>
        <v>20.906599999999997</v>
      </c>
      <c r="H720" s="61">
        <f>Source!X115</f>
        <v>715.51</v>
      </c>
    </row>
    <row r="721" spans="1:28" x14ac:dyDescent="0.2">
      <c r="C721" s="9" t="s">
        <v>1837</v>
      </c>
      <c r="D721" s="38"/>
      <c r="E721" s="38"/>
      <c r="F721" s="38">
        <f>Source!CA115</f>
        <v>70</v>
      </c>
      <c r="G721" s="61">
        <f>(Source!AF115+Source!AE115)*Source!FY115/100</f>
        <v>17.016999999999999</v>
      </c>
      <c r="H721" s="61">
        <f>Source!Y115</f>
        <v>582.39</v>
      </c>
    </row>
    <row r="722" spans="1:28" x14ac:dyDescent="0.2">
      <c r="C722" s="9" t="s">
        <v>1839</v>
      </c>
      <c r="D722" s="38"/>
      <c r="E722" s="38"/>
      <c r="F722" s="38"/>
      <c r="G722" s="61">
        <f>((Source!AF115+Source!AE115)*Source!FX115/100)+((Source!AF115+Source!AE115)*Source!FY115/100)+Source!AB115</f>
        <v>62.253599999999992</v>
      </c>
      <c r="H722" s="61">
        <f>Source!O115+Source!X115+Source!Y115</f>
        <v>2130.5699999999997</v>
      </c>
    </row>
    <row r="723" spans="1:28" ht="14.25" x14ac:dyDescent="0.2">
      <c r="A723" s="50">
        <v>89</v>
      </c>
      <c r="B723" s="50" t="str">
        <f>Source!E116</f>
        <v>44,1</v>
      </c>
      <c r="C723" s="50" t="str">
        <f>Source!G116</f>
        <v>Раствор цементный</v>
      </c>
      <c r="D723" s="50" t="str">
        <f>Source!F116</f>
        <v>04.3.01.09</v>
      </c>
      <c r="E723" s="35" t="str">
        <f>Source!H116</f>
        <v>м3</v>
      </c>
      <c r="F723" s="12">
        <f>Source!I116</f>
        <v>9.6000000000000002E-2</v>
      </c>
      <c r="G723" s="25">
        <f>Source!AB116</f>
        <v>0</v>
      </c>
      <c r="H723" s="25">
        <f>Source!O116</f>
        <v>0</v>
      </c>
      <c r="T723">
        <f>Source!O116+Source!X116+Source!Y116</f>
        <v>0</v>
      </c>
      <c r="U723">
        <f>Source!P116</f>
        <v>0</v>
      </c>
      <c r="V723">
        <f>Source!S116</f>
        <v>0</v>
      </c>
      <c r="W723">
        <f>Source!Q116</f>
        <v>0</v>
      </c>
      <c r="X723">
        <f>Source!R116</f>
        <v>0</v>
      </c>
      <c r="Y723">
        <f>Source!U116</f>
        <v>0</v>
      </c>
      <c r="Z723">
        <f>Source!V116</f>
        <v>0</v>
      </c>
      <c r="AA723">
        <f>Source!X116</f>
        <v>0</v>
      </c>
      <c r="AB723">
        <f>Source!Y116</f>
        <v>0</v>
      </c>
    </row>
    <row r="724" spans="1:28" ht="14.25" x14ac:dyDescent="0.2">
      <c r="C724" s="26" t="s">
        <v>1833</v>
      </c>
      <c r="D724" s="26">
        <f>Source!BC116</f>
        <v>7.13</v>
      </c>
      <c r="F724" s="12"/>
      <c r="G724" s="12"/>
      <c r="H724" s="12"/>
    </row>
    <row r="725" spans="1:28" ht="42.75" x14ac:dyDescent="0.2">
      <c r="A725" s="50">
        <v>90</v>
      </c>
      <c r="B725" s="50" t="str">
        <f>Source!E117</f>
        <v>44,2</v>
      </c>
      <c r="C725" s="50" t="str">
        <f>Source!G117</f>
        <v>Смесь сухая штукатурная цементно-песчаная "БИРСС 11" (марка М150), бездобавочная</v>
      </c>
      <c r="D725" s="50" t="str">
        <f>Source!F117</f>
        <v>04.3.02.13-0103</v>
      </c>
      <c r="E725" s="35" t="str">
        <f>Source!H117</f>
        <v>т</v>
      </c>
      <c r="F725" s="12">
        <f>Source!I117</f>
        <v>0.1152</v>
      </c>
      <c r="G725" s="25">
        <f>Source!AB117</f>
        <v>728.14</v>
      </c>
      <c r="H725" s="25">
        <f>Source!O117</f>
        <v>598.08000000000004</v>
      </c>
      <c r="T725">
        <f>Source!O117+Source!X117+Source!Y117</f>
        <v>598.08000000000004</v>
      </c>
      <c r="U725">
        <f>Source!P117</f>
        <v>598.08000000000004</v>
      </c>
      <c r="V725">
        <f>Source!S117</f>
        <v>0</v>
      </c>
      <c r="W725">
        <f>Source!Q117</f>
        <v>0</v>
      </c>
      <c r="X725">
        <f>Source!R117</f>
        <v>0</v>
      </c>
      <c r="Y725">
        <f>Source!U117</f>
        <v>0</v>
      </c>
      <c r="Z725">
        <f>Source!V117</f>
        <v>0</v>
      </c>
      <c r="AA725">
        <f>Source!X117</f>
        <v>0</v>
      </c>
      <c r="AB725">
        <f>Source!Y117</f>
        <v>0</v>
      </c>
    </row>
    <row r="726" spans="1:28" ht="14.25" x14ac:dyDescent="0.2">
      <c r="C726" s="26" t="s">
        <v>1833</v>
      </c>
      <c r="D726" s="26">
        <f>Source!BC117</f>
        <v>7.13</v>
      </c>
      <c r="F726" s="12"/>
      <c r="G726" s="12"/>
      <c r="H726" s="12"/>
    </row>
    <row r="727" spans="1:28" ht="71.25" x14ac:dyDescent="0.2">
      <c r="A727" s="50">
        <v>91</v>
      </c>
      <c r="B727" s="50" t="str">
        <f>Source!E118</f>
        <v>45</v>
      </c>
      <c r="C727" s="50" t="str">
        <f>Source!G118</f>
        <v>Масляная окраска металлических поверхностей решеток, переплетов, труб диаметром менее 50 мм и т.п., количество окрасок 2</v>
      </c>
      <c r="D727" s="50" t="str">
        <f>Source!F118</f>
        <v>15-04-030-4</v>
      </c>
      <c r="E727" s="35" t="str">
        <f>Source!H118</f>
        <v>100 м2 окрашиваемой поверхности</v>
      </c>
      <c r="F727" s="12">
        <f>Source!I118</f>
        <v>0.15054999999999999</v>
      </c>
      <c r="G727" s="25">
        <f>Source!AB118</f>
        <v>1202.6600000000001</v>
      </c>
      <c r="H727" s="25">
        <f>Source!O118</f>
        <v>1290.96</v>
      </c>
      <c r="T727">
        <f>Source!O118+Source!X118+Source!Y118</f>
        <v>2394.84</v>
      </c>
      <c r="U727">
        <f>Source!P118</f>
        <v>509.83</v>
      </c>
      <c r="V727">
        <f>Source!S118</f>
        <v>777.19</v>
      </c>
      <c r="W727">
        <f>Source!Q118</f>
        <v>3.94</v>
      </c>
      <c r="X727">
        <f>Source!R118</f>
        <v>0.19</v>
      </c>
      <c r="Y727">
        <f>Source!U118</f>
        <v>12.302795449999998</v>
      </c>
      <c r="Z727">
        <f>Source!V118</f>
        <v>1.8818749999999999E-3</v>
      </c>
      <c r="AA727">
        <f>Source!X118</f>
        <v>738.51</v>
      </c>
      <c r="AB727">
        <f>Source!Y118</f>
        <v>365.37</v>
      </c>
    </row>
    <row r="728" spans="1:28" ht="14.25" x14ac:dyDescent="0.2">
      <c r="C728" s="26" t="str">
        <f>"Объем: "&amp;Source!I118&amp;"=15,055/"&amp;"100"</f>
        <v>Объем: 0,15055=15,055/100</v>
      </c>
      <c r="F728" s="12"/>
      <c r="G728" s="12"/>
      <c r="H728" s="12"/>
    </row>
    <row r="729" spans="1:28" x14ac:dyDescent="0.2">
      <c r="C729" s="26" t="s">
        <v>1831</v>
      </c>
      <c r="D729" s="26">
        <f>Source!BA118</f>
        <v>7.13</v>
      </c>
    </row>
    <row r="730" spans="1:28" x14ac:dyDescent="0.2">
      <c r="C730" s="26" t="s">
        <v>1832</v>
      </c>
      <c r="D730" s="26">
        <f>Source!BB118</f>
        <v>7.13</v>
      </c>
    </row>
    <row r="731" spans="1:28" x14ac:dyDescent="0.2">
      <c r="C731" s="26" t="s">
        <v>1833</v>
      </c>
      <c r="D731" s="26">
        <f>Source!BC118</f>
        <v>7.13</v>
      </c>
    </row>
    <row r="732" spans="1:28" x14ac:dyDescent="0.2">
      <c r="C732" s="26" t="s">
        <v>1834</v>
      </c>
      <c r="D732" s="26">
        <f>Source!BS118</f>
        <v>7.13</v>
      </c>
    </row>
    <row r="733" spans="1:28" x14ac:dyDescent="0.2">
      <c r="C733" s="26" t="s">
        <v>1841</v>
      </c>
      <c r="D733" s="116" t="s">
        <v>81</v>
      </c>
      <c r="E733" s="116"/>
      <c r="F733" s="116"/>
      <c r="G733" s="116"/>
      <c r="H733" s="116"/>
    </row>
    <row r="734" spans="1:28" x14ac:dyDescent="0.2">
      <c r="C734" s="26" t="s">
        <v>1842</v>
      </c>
      <c r="D734" s="116" t="s">
        <v>81</v>
      </c>
      <c r="E734" s="116"/>
      <c r="F734" s="116"/>
      <c r="G734" s="116"/>
      <c r="H734" s="116"/>
    </row>
    <row r="735" spans="1:28" x14ac:dyDescent="0.2">
      <c r="C735" s="26" t="s">
        <v>1843</v>
      </c>
      <c r="D735" s="116" t="s">
        <v>82</v>
      </c>
      <c r="E735" s="116"/>
      <c r="F735" s="116"/>
      <c r="G735" s="116"/>
      <c r="H735" s="116"/>
    </row>
    <row r="736" spans="1:28" x14ac:dyDescent="0.2">
      <c r="C736" s="26" t="s">
        <v>1844</v>
      </c>
      <c r="D736" s="116" t="s">
        <v>82</v>
      </c>
      <c r="E736" s="116"/>
      <c r="F736" s="116"/>
      <c r="G736" s="116"/>
      <c r="H736" s="116"/>
    </row>
    <row r="737" spans="1:28" x14ac:dyDescent="0.2">
      <c r="C737" s="26" t="s">
        <v>1845</v>
      </c>
      <c r="D737" s="116" t="s">
        <v>81</v>
      </c>
      <c r="E737" s="116"/>
      <c r="F737" s="116"/>
      <c r="G737" s="116"/>
      <c r="H737" s="116"/>
    </row>
    <row r="738" spans="1:28" x14ac:dyDescent="0.2">
      <c r="C738" s="9" t="s">
        <v>1835</v>
      </c>
      <c r="D738" s="38"/>
      <c r="E738" s="38"/>
      <c r="F738" s="38">
        <f>Source!BZ118</f>
        <v>105</v>
      </c>
      <c r="G738" s="61">
        <f>(Source!AF118+Source!AE118)*Source!FX118/100</f>
        <v>684.37844999999982</v>
      </c>
      <c r="H738" s="61">
        <f>Source!X118</f>
        <v>738.51</v>
      </c>
    </row>
    <row r="739" spans="1:28" x14ac:dyDescent="0.2">
      <c r="C739" s="9" t="s">
        <v>1836</v>
      </c>
      <c r="D739" s="38"/>
      <c r="E739" s="38"/>
      <c r="F739" s="38"/>
      <c r="G739" s="38" t="str">
        <f>CONCATENATE(Source!DL118,Source!FT118, "=", Source!FX118, "%")</f>
        <v>*0,9=94,5%</v>
      </c>
      <c r="H739" s="38" t="str">
        <f>CONCATENATE(Source!AT118)</f>
        <v>95</v>
      </c>
    </row>
    <row r="740" spans="1:28" x14ac:dyDescent="0.2">
      <c r="C740" s="9" t="s">
        <v>1837</v>
      </c>
      <c r="D740" s="38"/>
      <c r="E740" s="38"/>
      <c r="F740" s="38">
        <f>Source!CA118</f>
        <v>55</v>
      </c>
      <c r="G740" s="61">
        <f>(Source!AF118+Source!AE118)*Source!FY118/100</f>
        <v>338.568175</v>
      </c>
      <c r="H740" s="61">
        <f>Source!Y118</f>
        <v>365.37</v>
      </c>
    </row>
    <row r="741" spans="1:28" x14ac:dyDescent="0.2">
      <c r="C741" s="9" t="s">
        <v>1838</v>
      </c>
      <c r="D741" s="38"/>
      <c r="E741" s="38"/>
      <c r="F741" s="38"/>
      <c r="G741" s="38" t="str">
        <f>CONCATENATE(Source!DM118,Source!FU118, "=", Source!FY118, "%")</f>
        <v>*0,85=46,75%</v>
      </c>
      <c r="H741" s="38" t="str">
        <f>CONCATENATE(Source!AU118)</f>
        <v>47</v>
      </c>
    </row>
    <row r="742" spans="1:28" x14ac:dyDescent="0.2">
      <c r="C742" s="9" t="s">
        <v>1839</v>
      </c>
      <c r="D742" s="38"/>
      <c r="E742" s="38"/>
      <c r="F742" s="38"/>
      <c r="G742" s="61">
        <f>((Source!AF118+Source!AE118)*Source!FX118/100)+((Source!AF118+Source!AE118)*Source!FY118/100)+Source!AB118</f>
        <v>2225.6066249999999</v>
      </c>
      <c r="H742" s="61">
        <f>Source!O118+Source!X118+Source!Y118</f>
        <v>2394.84</v>
      </c>
    </row>
    <row r="743" spans="1:28" ht="28.5" x14ac:dyDescent="0.2">
      <c r="A743" s="50">
        <v>92</v>
      </c>
      <c r="B743" s="50" t="str">
        <f>Source!E119</f>
        <v>46</v>
      </c>
      <c r="C743" s="50" t="str">
        <f>Source!G119</f>
        <v>Затаривание строительного мусора в мешки</v>
      </c>
      <c r="D743" s="50" t="str">
        <f>Source!F119</f>
        <v>69-15-1</v>
      </c>
      <c r="E743" s="35" t="str">
        <f>Source!H119</f>
        <v>т</v>
      </c>
      <c r="F743" s="12">
        <f>Source!I119</f>
        <v>12.34</v>
      </c>
      <c r="G743" s="25">
        <f>Source!AB119</f>
        <v>23.81</v>
      </c>
      <c r="H743" s="25">
        <f>Source!O119</f>
        <v>2094.9</v>
      </c>
      <c r="T743">
        <f>Source!O119+Source!X119+Source!Y119</f>
        <v>2929.4100000000003</v>
      </c>
      <c r="U743">
        <f>Source!P119</f>
        <v>1442.94</v>
      </c>
      <c r="V743">
        <f>Source!S119</f>
        <v>651.96</v>
      </c>
      <c r="W743">
        <f>Source!Q119</f>
        <v>0</v>
      </c>
      <c r="X743">
        <f>Source!R119</f>
        <v>0</v>
      </c>
      <c r="Y743">
        <f>Source!U119</f>
        <v>12.7102</v>
      </c>
      <c r="Z743">
        <f>Source!V119</f>
        <v>0</v>
      </c>
      <c r="AA743">
        <f>Source!X119</f>
        <v>508.53</v>
      </c>
      <c r="AB743">
        <f>Source!Y119</f>
        <v>325.98</v>
      </c>
    </row>
    <row r="744" spans="1:28" ht="14.25" x14ac:dyDescent="0.2">
      <c r="C744" s="26" t="s">
        <v>1831</v>
      </c>
      <c r="D744" s="26">
        <f>Source!BA119</f>
        <v>7.13</v>
      </c>
      <c r="F744" s="12"/>
      <c r="G744" s="12"/>
      <c r="H744" s="12"/>
    </row>
    <row r="745" spans="1:28" x14ac:dyDescent="0.2">
      <c r="C745" s="26" t="s">
        <v>1832</v>
      </c>
      <c r="D745" s="26">
        <f>Source!BB119</f>
        <v>7.13</v>
      </c>
    </row>
    <row r="746" spans="1:28" x14ac:dyDescent="0.2">
      <c r="C746" s="26" t="s">
        <v>1833</v>
      </c>
      <c r="D746" s="26">
        <f>Source!BC119</f>
        <v>7.13</v>
      </c>
    </row>
    <row r="747" spans="1:28" x14ac:dyDescent="0.2">
      <c r="C747" s="26" t="s">
        <v>1834</v>
      </c>
      <c r="D747" s="26">
        <f>Source!BS119</f>
        <v>7.13</v>
      </c>
    </row>
    <row r="748" spans="1:28" x14ac:dyDescent="0.2">
      <c r="C748" s="9" t="s">
        <v>1835</v>
      </c>
      <c r="D748" s="38"/>
      <c r="E748" s="38"/>
      <c r="F748" s="38">
        <f>Source!BZ119</f>
        <v>78</v>
      </c>
      <c r="G748" s="61">
        <f>(Source!AF119+Source!AE119)*Source!FX119/100</f>
        <v>5.7797999999999998</v>
      </c>
      <c r="H748" s="61">
        <f>Source!X119</f>
        <v>508.53</v>
      </c>
    </row>
    <row r="749" spans="1:28" x14ac:dyDescent="0.2">
      <c r="C749" s="9" t="s">
        <v>1837</v>
      </c>
      <c r="D749" s="38"/>
      <c r="E749" s="38"/>
      <c r="F749" s="38">
        <f>Source!CA119</f>
        <v>50</v>
      </c>
      <c r="G749" s="61">
        <f>(Source!AF119+Source!AE119)*Source!FY119/100</f>
        <v>3.7050000000000001</v>
      </c>
      <c r="H749" s="61">
        <f>Source!Y119</f>
        <v>325.98</v>
      </c>
    </row>
    <row r="750" spans="1:28" x14ac:dyDescent="0.2">
      <c r="C750" s="9" t="s">
        <v>1839</v>
      </c>
      <c r="D750" s="38"/>
      <c r="E750" s="38"/>
      <c r="F750" s="38"/>
      <c r="G750" s="61">
        <f>((Source!AF119+Source!AE119)*Source!FX119/100)+((Source!AF119+Source!AE119)*Source!FY119/100)+Source!AB119</f>
        <v>33.294799999999995</v>
      </c>
      <c r="H750" s="61">
        <f>Source!O119+Source!X119+Source!Y119</f>
        <v>2929.4100000000003</v>
      </c>
    </row>
    <row r="751" spans="1:28" ht="42.75" x14ac:dyDescent="0.2">
      <c r="A751" s="50">
        <v>93</v>
      </c>
      <c r="B751" s="50" t="str">
        <f>Source!E120</f>
        <v>47</v>
      </c>
      <c r="C751" s="50" t="str">
        <f>Source!G120</f>
        <v>Погрузочные работы при автомобильных перевозках мусора строительного с погрузкой вручную</v>
      </c>
      <c r="D751" s="50" t="str">
        <f>Source!F120</f>
        <v>т01-01-01-041</v>
      </c>
      <c r="E751" s="35" t="str">
        <f>Source!H120</f>
        <v>1 Т ГРУЗА</v>
      </c>
      <c r="F751" s="12">
        <f>Source!I120</f>
        <v>12.34</v>
      </c>
      <c r="G751" s="25">
        <f>Source!AB120</f>
        <v>42.98</v>
      </c>
      <c r="H751" s="25">
        <f>Source!GM120</f>
        <v>3781.56</v>
      </c>
      <c r="T751">
        <f>Source!GM120</f>
        <v>3781.56</v>
      </c>
      <c r="U751">
        <f>Source!P120</f>
        <v>0</v>
      </c>
      <c r="V751">
        <f>Source!S120</f>
        <v>0</v>
      </c>
      <c r="W751">
        <f>Source!Q120</f>
        <v>0</v>
      </c>
      <c r="X751">
        <f>Source!R120</f>
        <v>0</v>
      </c>
      <c r="Y751">
        <f>Source!U120</f>
        <v>0</v>
      </c>
      <c r="Z751">
        <f>Source!V120</f>
        <v>0</v>
      </c>
      <c r="AA751">
        <f>Source!X120</f>
        <v>0</v>
      </c>
      <c r="AB751">
        <f>Source!Y120</f>
        <v>0</v>
      </c>
    </row>
    <row r="752" spans="1:28" ht="14.25" x14ac:dyDescent="0.2">
      <c r="C752" s="26" t="s">
        <v>1847</v>
      </c>
      <c r="D752" s="26">
        <f>Source!AZ120</f>
        <v>7.13</v>
      </c>
      <c r="F752" s="12"/>
      <c r="G752" s="12"/>
      <c r="H752" s="12"/>
    </row>
    <row r="753" spans="1:28" ht="57" x14ac:dyDescent="0.2">
      <c r="A753" s="50">
        <v>94</v>
      </c>
      <c r="B753" s="50" t="str">
        <f>Source!E121</f>
        <v>48</v>
      </c>
      <c r="C753" s="50" t="str">
        <f>Source!G121</f>
        <v>Перевозка грузов I класса автомобилями бортовыми грузоподъемностью до 15 т на расстояние до 70 км</v>
      </c>
      <c r="D753" s="50" t="str">
        <f>Source!F121</f>
        <v>т03-01-01-070</v>
      </c>
      <c r="E753" s="35" t="str">
        <f>Source!H121</f>
        <v>1 Т ГРУЗА</v>
      </c>
      <c r="F753" s="12">
        <f>Source!I121</f>
        <v>12.34</v>
      </c>
      <c r="G753" s="25">
        <f>Source!AB121</f>
        <v>29.16</v>
      </c>
      <c r="H753" s="25">
        <f>Source!GM121</f>
        <v>2565.62</v>
      </c>
      <c r="T753">
        <f>Source!GM121</f>
        <v>2565.62</v>
      </c>
      <c r="U753">
        <f>Source!P121</f>
        <v>0</v>
      </c>
      <c r="V753">
        <f>Source!S121</f>
        <v>0</v>
      </c>
      <c r="W753">
        <f>Source!Q121</f>
        <v>0</v>
      </c>
      <c r="X753">
        <f>Source!R121</f>
        <v>0</v>
      </c>
      <c r="Y753">
        <f>Source!U121</f>
        <v>0</v>
      </c>
      <c r="Z753">
        <f>Source!V121</f>
        <v>0</v>
      </c>
      <c r="AA753">
        <f>Source!X121</f>
        <v>0</v>
      </c>
      <c r="AB753">
        <f>Source!Y121</f>
        <v>0</v>
      </c>
    </row>
    <row r="754" spans="1:28" ht="14.25" x14ac:dyDescent="0.2">
      <c r="C754" s="26" t="s">
        <v>1847</v>
      </c>
      <c r="D754" s="26">
        <f>Source!AZ121</f>
        <v>7.13</v>
      </c>
      <c r="F754" s="12"/>
      <c r="G754" s="12"/>
      <c r="H754" s="12"/>
    </row>
    <row r="756" spans="1:28" ht="15" x14ac:dyDescent="0.25">
      <c r="A756" s="62"/>
      <c r="B756" s="62"/>
      <c r="C756" s="91" t="str">
        <f>CONCATENATE("Итого по разделу: ",IF(Source!G123&lt;&gt;"Новый раздел", Source!G123, ""))</f>
        <v>Итого по разделу: Общестроительные работы</v>
      </c>
      <c r="D756" s="91"/>
      <c r="E756" s="91"/>
      <c r="F756" s="91"/>
      <c r="G756" s="62"/>
      <c r="H756" s="63">
        <f>IF(SUM(T39:T755)=0, "-", SUM(T39:T755))</f>
        <v>1323088.1500000006</v>
      </c>
    </row>
    <row r="757" spans="1:28" ht="15" x14ac:dyDescent="0.25">
      <c r="A757" s="62"/>
      <c r="B757" s="62"/>
      <c r="C757" s="62"/>
      <c r="D757" s="62"/>
      <c r="E757" s="62"/>
      <c r="F757" s="62"/>
      <c r="G757" s="62"/>
      <c r="H757" s="62"/>
    </row>
    <row r="759" spans="1:28" ht="14.25" x14ac:dyDescent="0.2">
      <c r="C759" s="117" t="str">
        <f>Source!H151</f>
        <v>Всего</v>
      </c>
      <c r="D759" s="117"/>
      <c r="E759" s="117"/>
      <c r="F759" s="117"/>
      <c r="G759" s="83">
        <f>IF(Source!F151=0, "", Source!F151)</f>
        <v>1323088.1499999999</v>
      </c>
      <c r="H759" s="83"/>
    </row>
    <row r="760" spans="1:28" ht="14.25" x14ac:dyDescent="0.2">
      <c r="C760" s="117" t="str">
        <f>Source!H152</f>
        <v>Итого НДС 18%</v>
      </c>
      <c r="D760" s="117"/>
      <c r="E760" s="117"/>
      <c r="F760" s="117"/>
      <c r="G760" s="83">
        <f>IF(Source!F152=0, "", Source!F152)</f>
        <v>238155.87</v>
      </c>
      <c r="H760" s="83"/>
    </row>
    <row r="761" spans="1:28" ht="14.25" x14ac:dyDescent="0.2">
      <c r="C761" s="117" t="str">
        <f>Source!H153</f>
        <v>Всего по смете</v>
      </c>
      <c r="D761" s="117"/>
      <c r="E761" s="117"/>
      <c r="F761" s="117"/>
      <c r="G761" s="83">
        <f>IF(Source!F153=0, "", Source!F153)</f>
        <v>1561244.02</v>
      </c>
      <c r="H761" s="83"/>
    </row>
    <row r="763" spans="1:28" ht="16.5" x14ac:dyDescent="0.25">
      <c r="A763" s="89" t="str">
        <f>CONCATENATE("Раздел: ",IF(Source!G155&lt;&gt;"Новый раздел", Source!G155, ""))</f>
        <v>Раздел: Система электроснабжения</v>
      </c>
      <c r="B763" s="89"/>
      <c r="C763" s="89"/>
      <c r="D763" s="89"/>
      <c r="E763" s="89"/>
      <c r="F763" s="89"/>
      <c r="G763" s="89"/>
      <c r="H763" s="89"/>
    </row>
    <row r="764" spans="1:28" ht="28.5" x14ac:dyDescent="0.2">
      <c r="A764" s="50">
        <v>95</v>
      </c>
      <c r="B764" s="50" t="str">
        <f>Source!E159</f>
        <v>49</v>
      </c>
      <c r="C764" s="50" t="str">
        <f>Source!G159</f>
        <v>Демонтаж  электрощитов  на модулей</v>
      </c>
      <c r="D764" s="50" t="str">
        <f>Source!F159</f>
        <v>м08-02-370-02</v>
      </c>
      <c r="E764" s="35" t="str">
        <f>Source!H159</f>
        <v>ШТ</v>
      </c>
      <c r="F764" s="12">
        <f>Source!I159</f>
        <v>2</v>
      </c>
      <c r="G764" s="25">
        <f>Source!AB159</f>
        <v>8.17</v>
      </c>
      <c r="H764" s="25">
        <f>Source!O159</f>
        <v>116.51</v>
      </c>
      <c r="T764">
        <f>Source!O159+Source!X159+Source!Y159</f>
        <v>198.43</v>
      </c>
      <c r="U764">
        <f>Source!P159</f>
        <v>0</v>
      </c>
      <c r="V764">
        <f>Source!S159</f>
        <v>40.5</v>
      </c>
      <c r="W764">
        <f>Source!Q159</f>
        <v>76.010000000000005</v>
      </c>
      <c r="X764">
        <f>Source!R159</f>
        <v>10.7</v>
      </c>
      <c r="Y764">
        <f>Source!U159</f>
        <v>0.54</v>
      </c>
      <c r="Z764">
        <f>Source!V159</f>
        <v>0.12</v>
      </c>
      <c r="AA764">
        <f>Source!X159</f>
        <v>48.64</v>
      </c>
      <c r="AB764">
        <f>Source!Y159</f>
        <v>33.28</v>
      </c>
    </row>
    <row r="765" spans="1:28" ht="14.25" x14ac:dyDescent="0.2">
      <c r="C765" s="26" t="s">
        <v>1831</v>
      </c>
      <c r="D765" s="26">
        <f>Source!BA159</f>
        <v>7.13</v>
      </c>
      <c r="F765" s="12"/>
      <c r="G765" s="12"/>
      <c r="H765" s="12"/>
    </row>
    <row r="766" spans="1:28" x14ac:dyDescent="0.2">
      <c r="C766" s="26" t="s">
        <v>1832</v>
      </c>
      <c r="D766" s="26">
        <f>Source!BB159</f>
        <v>7.13</v>
      </c>
    </row>
    <row r="767" spans="1:28" x14ac:dyDescent="0.2">
      <c r="C767" s="26" t="s">
        <v>1833</v>
      </c>
      <c r="D767" s="26">
        <f>Source!BC159</f>
        <v>7.13</v>
      </c>
    </row>
    <row r="768" spans="1:28" x14ac:dyDescent="0.2">
      <c r="C768" s="26" t="s">
        <v>1834</v>
      </c>
      <c r="D768" s="26">
        <f>Source!BS159</f>
        <v>7.13</v>
      </c>
    </row>
    <row r="769" spans="1:28" x14ac:dyDescent="0.2">
      <c r="C769" s="26" t="s">
        <v>1840</v>
      </c>
      <c r="D769" s="116" t="s">
        <v>30</v>
      </c>
      <c r="E769" s="116"/>
      <c r="F769" s="116"/>
      <c r="G769" s="116"/>
      <c r="H769" s="116"/>
    </row>
    <row r="770" spans="1:28" x14ac:dyDescent="0.2">
      <c r="C770" s="26" t="s">
        <v>1841</v>
      </c>
      <c r="D770" s="116" t="s">
        <v>490</v>
      </c>
      <c r="E770" s="116"/>
      <c r="F770" s="116"/>
      <c r="G770" s="116"/>
      <c r="H770" s="116"/>
    </row>
    <row r="771" spans="1:28" x14ac:dyDescent="0.2">
      <c r="C771" s="26" t="s">
        <v>1842</v>
      </c>
      <c r="D771" s="116" t="s">
        <v>490</v>
      </c>
      <c r="E771" s="116"/>
      <c r="F771" s="116"/>
      <c r="G771" s="116"/>
      <c r="H771" s="116"/>
    </row>
    <row r="772" spans="1:28" x14ac:dyDescent="0.2">
      <c r="C772" s="26" t="s">
        <v>1843</v>
      </c>
      <c r="D772" s="116" t="s">
        <v>490</v>
      </c>
      <c r="E772" s="116"/>
      <c r="F772" s="116"/>
      <c r="G772" s="116"/>
      <c r="H772" s="116"/>
    </row>
    <row r="773" spans="1:28" x14ac:dyDescent="0.2">
      <c r="C773" s="26" t="s">
        <v>1844</v>
      </c>
      <c r="D773" s="116" t="s">
        <v>490</v>
      </c>
      <c r="E773" s="116"/>
      <c r="F773" s="116"/>
      <c r="G773" s="116"/>
      <c r="H773" s="116"/>
    </row>
    <row r="774" spans="1:28" x14ac:dyDescent="0.2">
      <c r="C774" s="26" t="s">
        <v>1845</v>
      </c>
      <c r="D774" s="116" t="s">
        <v>490</v>
      </c>
      <c r="E774" s="116"/>
      <c r="F774" s="116"/>
      <c r="G774" s="116"/>
      <c r="H774" s="116"/>
    </row>
    <row r="775" spans="1:28" x14ac:dyDescent="0.2">
      <c r="C775" s="9" t="s">
        <v>1835</v>
      </c>
      <c r="D775" s="38"/>
      <c r="E775" s="38"/>
      <c r="F775" s="38">
        <f>Source!BZ159</f>
        <v>95</v>
      </c>
      <c r="G775" s="61">
        <f>(Source!AF159+Source!AE159)*Source!FX159/100</f>
        <v>3.4105000000000003</v>
      </c>
      <c r="H775" s="61">
        <f>Source!X159</f>
        <v>48.64</v>
      </c>
    </row>
    <row r="776" spans="1:28" x14ac:dyDescent="0.2">
      <c r="C776" s="9" t="s">
        <v>1837</v>
      </c>
      <c r="D776" s="38"/>
      <c r="E776" s="38"/>
      <c r="F776" s="38">
        <f>Source!CA159</f>
        <v>65</v>
      </c>
      <c r="G776" s="61">
        <f>(Source!AF159+Source!AE159)*Source!FY159/100</f>
        <v>2.3334999999999999</v>
      </c>
      <c r="H776" s="61">
        <f>Source!Y159</f>
        <v>33.28</v>
      </c>
    </row>
    <row r="777" spans="1:28" x14ac:dyDescent="0.2">
      <c r="C777" s="9" t="s">
        <v>1839</v>
      </c>
      <c r="D777" s="38"/>
      <c r="E777" s="38"/>
      <c r="F777" s="38"/>
      <c r="G777" s="61">
        <f>((Source!AF159+Source!AE159)*Source!FX159/100)+((Source!AF159+Source!AE159)*Source!FY159/100)+Source!AB159</f>
        <v>13.914</v>
      </c>
      <c r="H777" s="61">
        <f>Source!O159+Source!X159+Source!Y159</f>
        <v>198.43</v>
      </c>
    </row>
    <row r="778" spans="1:28" ht="14.25" x14ac:dyDescent="0.2">
      <c r="A778" s="50">
        <v>96</v>
      </c>
      <c r="B778" s="50" t="str">
        <f>Source!E160</f>
        <v>50</v>
      </c>
      <c r="C778" s="50" t="str">
        <f>Source!G160</f>
        <v>Демонтаж электросчетчиков</v>
      </c>
      <c r="D778" s="50" t="str">
        <f>Source!F160</f>
        <v>67-4-6</v>
      </c>
      <c r="E778" s="35" t="str">
        <f>Source!H160</f>
        <v>100 ШТ</v>
      </c>
      <c r="F778" s="12">
        <f>Source!I160</f>
        <v>0.02</v>
      </c>
      <c r="G778" s="25">
        <f>Source!AB160</f>
        <v>221.58</v>
      </c>
      <c r="H778" s="25">
        <f>Source!O160</f>
        <v>31.6</v>
      </c>
      <c r="T778">
        <f>Source!O160+Source!X160+Source!Y160</f>
        <v>78.75</v>
      </c>
      <c r="U778">
        <f>Source!P160</f>
        <v>0</v>
      </c>
      <c r="V778">
        <f>Source!S160</f>
        <v>31.29</v>
      </c>
      <c r="W778">
        <f>Source!Q160</f>
        <v>0.31</v>
      </c>
      <c r="X778">
        <f>Source!R160</f>
        <v>0.14000000000000001</v>
      </c>
      <c r="Y778">
        <f>Source!U160</f>
        <v>0.51439999999999997</v>
      </c>
      <c r="Z778">
        <f>Source!V160</f>
        <v>1.4000000000000002E-3</v>
      </c>
      <c r="AA778">
        <f>Source!X160</f>
        <v>26.72</v>
      </c>
      <c r="AB778">
        <f>Source!Y160</f>
        <v>20.43</v>
      </c>
    </row>
    <row r="779" spans="1:28" ht="14.25" x14ac:dyDescent="0.2">
      <c r="C779" s="26" t="str">
        <f>"Объем: "&amp;Source!I160&amp;"=2/"&amp;"100"</f>
        <v>Объем: 0,02=2/100</v>
      </c>
      <c r="F779" s="12"/>
      <c r="G779" s="12"/>
      <c r="H779" s="12"/>
    </row>
    <row r="780" spans="1:28" x14ac:dyDescent="0.2">
      <c r="C780" s="26" t="s">
        <v>1831</v>
      </c>
      <c r="D780" s="26">
        <f>Source!BA160</f>
        <v>7.13</v>
      </c>
    </row>
    <row r="781" spans="1:28" x14ac:dyDescent="0.2">
      <c r="C781" s="26" t="s">
        <v>1832</v>
      </c>
      <c r="D781" s="26">
        <f>Source!BB160</f>
        <v>7.13</v>
      </c>
    </row>
    <row r="782" spans="1:28" x14ac:dyDescent="0.2">
      <c r="C782" s="26" t="s">
        <v>1833</v>
      </c>
      <c r="D782" s="26">
        <f>Source!BC160</f>
        <v>7.13</v>
      </c>
    </row>
    <row r="783" spans="1:28" x14ac:dyDescent="0.2">
      <c r="C783" s="26" t="s">
        <v>1834</v>
      </c>
      <c r="D783" s="26">
        <f>Source!BS160</f>
        <v>7.13</v>
      </c>
    </row>
    <row r="784" spans="1:28" x14ac:dyDescent="0.2">
      <c r="C784" s="9" t="s">
        <v>1835</v>
      </c>
      <c r="D784" s="38"/>
      <c r="E784" s="38"/>
      <c r="F784" s="38">
        <f>Source!BZ160</f>
        <v>85</v>
      </c>
      <c r="G784" s="61">
        <f>(Source!AF160+Source!AE160)*Source!FX160/100</f>
        <v>187.28899999999999</v>
      </c>
      <c r="H784" s="61">
        <f>Source!X160</f>
        <v>26.72</v>
      </c>
    </row>
    <row r="785" spans="1:28" x14ac:dyDescent="0.2">
      <c r="C785" s="9" t="s">
        <v>1837</v>
      </c>
      <c r="D785" s="38"/>
      <c r="E785" s="38"/>
      <c r="F785" s="38">
        <f>Source!CA160</f>
        <v>65</v>
      </c>
      <c r="G785" s="61">
        <f>(Source!AF160+Source!AE160)*Source!FY160/100</f>
        <v>143.22099999999998</v>
      </c>
      <c r="H785" s="61">
        <f>Source!Y160</f>
        <v>20.43</v>
      </c>
    </row>
    <row r="786" spans="1:28" x14ac:dyDescent="0.2">
      <c r="C786" s="9" t="s">
        <v>1839</v>
      </c>
      <c r="D786" s="38"/>
      <c r="E786" s="38"/>
      <c r="F786" s="38"/>
      <c r="G786" s="61">
        <f>((Source!AF160+Source!AE160)*Source!FX160/100)+((Source!AF160+Source!AE160)*Source!FY160/100)+Source!AB160</f>
        <v>552.09</v>
      </c>
      <c r="H786" s="61">
        <f>Source!O160+Source!X160+Source!Y160</f>
        <v>78.75</v>
      </c>
    </row>
    <row r="787" spans="1:28" ht="14.25" x14ac:dyDescent="0.2">
      <c r="A787" s="50">
        <v>97</v>
      </c>
      <c r="B787" s="50" t="str">
        <f>Source!E161</f>
        <v>51</v>
      </c>
      <c r="C787" s="50" t="str">
        <f>Source!G161</f>
        <v>Демонтаж выключателей, розеток</v>
      </c>
      <c r="D787" s="50" t="str">
        <f>Source!F161</f>
        <v>67-4-1</v>
      </c>
      <c r="E787" s="35" t="str">
        <f>Source!H161</f>
        <v>100 ШТ</v>
      </c>
      <c r="F787" s="12">
        <f>Source!I161</f>
        <v>0.59</v>
      </c>
      <c r="G787" s="25">
        <f>Source!AB161</f>
        <v>45.55</v>
      </c>
      <c r="H787" s="25">
        <f>Source!O161</f>
        <v>191.62</v>
      </c>
      <c r="T787">
        <f>Source!O161+Source!X161+Source!Y161</f>
        <v>479.05</v>
      </c>
      <c r="U787">
        <f>Source!P161</f>
        <v>0</v>
      </c>
      <c r="V787">
        <f>Source!S161</f>
        <v>191.62</v>
      </c>
      <c r="W787">
        <f>Source!Q161</f>
        <v>0</v>
      </c>
      <c r="X787">
        <f>Source!R161</f>
        <v>0</v>
      </c>
      <c r="Y787">
        <f>Source!U161</f>
        <v>3.4455999999999998</v>
      </c>
      <c r="Z787">
        <f>Source!V161</f>
        <v>0</v>
      </c>
      <c r="AA787">
        <f>Source!X161</f>
        <v>162.88</v>
      </c>
      <c r="AB787">
        <f>Source!Y161</f>
        <v>124.55</v>
      </c>
    </row>
    <row r="788" spans="1:28" ht="14.25" x14ac:dyDescent="0.2">
      <c r="C788" s="26" t="str">
        <f>"Объем: "&amp;Source!I161&amp;"=59/"&amp;"100"</f>
        <v>Объем: 0,59=59/100</v>
      </c>
      <c r="F788" s="12"/>
      <c r="G788" s="12"/>
      <c r="H788" s="12"/>
    </row>
    <row r="789" spans="1:28" x14ac:dyDescent="0.2">
      <c r="C789" s="26" t="s">
        <v>1831</v>
      </c>
      <c r="D789" s="26">
        <f>Source!BA161</f>
        <v>7.13</v>
      </c>
    </row>
    <row r="790" spans="1:28" x14ac:dyDescent="0.2">
      <c r="C790" s="26" t="s">
        <v>1832</v>
      </c>
      <c r="D790" s="26">
        <f>Source!BB161</f>
        <v>7.13</v>
      </c>
    </row>
    <row r="791" spans="1:28" x14ac:dyDescent="0.2">
      <c r="C791" s="26" t="s">
        <v>1833</v>
      </c>
      <c r="D791" s="26">
        <f>Source!BC161</f>
        <v>7.13</v>
      </c>
    </row>
    <row r="792" spans="1:28" x14ac:dyDescent="0.2">
      <c r="C792" s="26" t="s">
        <v>1834</v>
      </c>
      <c r="D792" s="26">
        <f>Source!BS161</f>
        <v>7.13</v>
      </c>
    </row>
    <row r="793" spans="1:28" x14ac:dyDescent="0.2">
      <c r="C793" s="9" t="s">
        <v>1835</v>
      </c>
      <c r="D793" s="38"/>
      <c r="E793" s="38"/>
      <c r="F793" s="38">
        <f>Source!BZ161</f>
        <v>85</v>
      </c>
      <c r="G793" s="61">
        <f>(Source!AF161+Source!AE161)*Source!FX161/100</f>
        <v>38.717499999999994</v>
      </c>
      <c r="H793" s="61">
        <f>Source!X161</f>
        <v>162.88</v>
      </c>
    </row>
    <row r="794" spans="1:28" x14ac:dyDescent="0.2">
      <c r="C794" s="9" t="s">
        <v>1837</v>
      </c>
      <c r="D794" s="38"/>
      <c r="E794" s="38"/>
      <c r="F794" s="38">
        <f>Source!CA161</f>
        <v>65</v>
      </c>
      <c r="G794" s="61">
        <f>(Source!AF161+Source!AE161)*Source!FY161/100</f>
        <v>29.607500000000002</v>
      </c>
      <c r="H794" s="61">
        <f>Source!Y161</f>
        <v>124.55</v>
      </c>
    </row>
    <row r="795" spans="1:28" x14ac:dyDescent="0.2">
      <c r="C795" s="9" t="s">
        <v>1839</v>
      </c>
      <c r="D795" s="38"/>
      <c r="E795" s="38"/>
      <c r="F795" s="38"/>
      <c r="G795" s="61">
        <f>((Source!AF161+Source!AE161)*Source!FX161/100)+((Source!AF161+Source!AE161)*Source!FY161/100)+Source!AB161</f>
        <v>113.87499999999999</v>
      </c>
      <c r="H795" s="61">
        <f>Source!O161+Source!X161+Source!Y161</f>
        <v>479.05</v>
      </c>
    </row>
    <row r="796" spans="1:28" ht="57" x14ac:dyDescent="0.2">
      <c r="A796" s="50">
        <v>98</v>
      </c>
      <c r="B796" s="50" t="str">
        <f>Source!E162</f>
        <v>52</v>
      </c>
      <c r="C796" s="50" t="str">
        <f>Source!G162</f>
        <v>Демонтаж автоматов  одно-, двух-, трехполюсный, устанавливаемый на конструкции на стене или колонне, на ток до 25 А</v>
      </c>
      <c r="D796" s="50" t="str">
        <f>Source!F162</f>
        <v>м08-03-526-01</v>
      </c>
      <c r="E796" s="35" t="str">
        <f>Source!H162</f>
        <v>ШТ</v>
      </c>
      <c r="F796" s="12">
        <f>Source!I162</f>
        <v>2</v>
      </c>
      <c r="G796" s="25">
        <f>Source!AB162</f>
        <v>4.7699999999999996</v>
      </c>
      <c r="H796" s="25">
        <f>Source!O162</f>
        <v>68.02</v>
      </c>
      <c r="T796">
        <f>Source!O162+Source!X162+Source!Y162</f>
        <v>169.56</v>
      </c>
      <c r="U796">
        <f>Source!P162</f>
        <v>0</v>
      </c>
      <c r="V796">
        <f>Source!S162</f>
        <v>63.46</v>
      </c>
      <c r="W796">
        <f>Source!Q162</f>
        <v>4.5599999999999996</v>
      </c>
      <c r="X796">
        <f>Source!R162</f>
        <v>0</v>
      </c>
      <c r="Y796">
        <f>Source!U162</f>
        <v>0.93599999999999994</v>
      </c>
      <c r="Z796">
        <f>Source!V162</f>
        <v>0</v>
      </c>
      <c r="AA796">
        <f>Source!X162</f>
        <v>60.29</v>
      </c>
      <c r="AB796">
        <f>Source!Y162</f>
        <v>41.25</v>
      </c>
    </row>
    <row r="797" spans="1:28" ht="14.25" x14ac:dyDescent="0.2">
      <c r="C797" s="26" t="s">
        <v>1831</v>
      </c>
      <c r="D797" s="26">
        <f>Source!BA162</f>
        <v>7.13</v>
      </c>
      <c r="F797" s="12"/>
      <c r="G797" s="12"/>
      <c r="H797" s="12"/>
    </row>
    <row r="798" spans="1:28" x14ac:dyDescent="0.2">
      <c r="C798" s="26" t="s">
        <v>1832</v>
      </c>
      <c r="D798" s="26">
        <f>Source!BB162</f>
        <v>7.13</v>
      </c>
    </row>
    <row r="799" spans="1:28" x14ac:dyDescent="0.2">
      <c r="C799" s="26" t="s">
        <v>1833</v>
      </c>
      <c r="D799" s="26">
        <f>Source!BC162</f>
        <v>7.13</v>
      </c>
    </row>
    <row r="800" spans="1:28" x14ac:dyDescent="0.2">
      <c r="C800" s="26" t="s">
        <v>1834</v>
      </c>
      <c r="D800" s="26">
        <f>Source!BS162</f>
        <v>7.13</v>
      </c>
    </row>
    <row r="801" spans="1:28" x14ac:dyDescent="0.2">
      <c r="C801" s="26" t="s">
        <v>1840</v>
      </c>
      <c r="D801" s="116" t="s">
        <v>30</v>
      </c>
      <c r="E801" s="116"/>
      <c r="F801" s="116"/>
      <c r="G801" s="116"/>
      <c r="H801" s="116"/>
    </row>
    <row r="802" spans="1:28" x14ac:dyDescent="0.2">
      <c r="C802" s="26" t="s">
        <v>1841</v>
      </c>
      <c r="D802" s="116" t="s">
        <v>490</v>
      </c>
      <c r="E802" s="116"/>
      <c r="F802" s="116"/>
      <c r="G802" s="116"/>
      <c r="H802" s="116"/>
    </row>
    <row r="803" spans="1:28" x14ac:dyDescent="0.2">
      <c r="C803" s="26" t="s">
        <v>1842</v>
      </c>
      <c r="D803" s="116" t="s">
        <v>490</v>
      </c>
      <c r="E803" s="116"/>
      <c r="F803" s="116"/>
      <c r="G803" s="116"/>
      <c r="H803" s="116"/>
    </row>
    <row r="804" spans="1:28" x14ac:dyDescent="0.2">
      <c r="C804" s="26" t="s">
        <v>1843</v>
      </c>
      <c r="D804" s="116" t="s">
        <v>490</v>
      </c>
      <c r="E804" s="116"/>
      <c r="F804" s="116"/>
      <c r="G804" s="116"/>
      <c r="H804" s="116"/>
    </row>
    <row r="805" spans="1:28" x14ac:dyDescent="0.2">
      <c r="C805" s="26" t="s">
        <v>1844</v>
      </c>
      <c r="D805" s="116" t="s">
        <v>490</v>
      </c>
      <c r="E805" s="116"/>
      <c r="F805" s="116"/>
      <c r="G805" s="116"/>
      <c r="H805" s="116"/>
    </row>
    <row r="806" spans="1:28" x14ac:dyDescent="0.2">
      <c r="C806" s="26" t="s">
        <v>1845</v>
      </c>
      <c r="D806" s="116" t="s">
        <v>490</v>
      </c>
      <c r="E806" s="116"/>
      <c r="F806" s="116"/>
      <c r="G806" s="116"/>
      <c r="H806" s="116"/>
    </row>
    <row r="807" spans="1:28" x14ac:dyDescent="0.2">
      <c r="C807" s="9" t="s">
        <v>1835</v>
      </c>
      <c r="D807" s="38"/>
      <c r="E807" s="38"/>
      <c r="F807" s="38">
        <f>Source!BZ162</f>
        <v>95</v>
      </c>
      <c r="G807" s="61">
        <f>(Source!AF162+Source!AE162)*Source!FX162/100</f>
        <v>4.2275</v>
      </c>
      <c r="H807" s="61">
        <f>Source!X162</f>
        <v>60.29</v>
      </c>
    </row>
    <row r="808" spans="1:28" x14ac:dyDescent="0.2">
      <c r="C808" s="9" t="s">
        <v>1837</v>
      </c>
      <c r="D808" s="38"/>
      <c r="E808" s="38"/>
      <c r="F808" s="38">
        <f>Source!CA162</f>
        <v>65</v>
      </c>
      <c r="G808" s="61">
        <f>(Source!AF162+Source!AE162)*Source!FY162/100</f>
        <v>2.8925000000000001</v>
      </c>
      <c r="H808" s="61">
        <f>Source!Y162</f>
        <v>41.25</v>
      </c>
    </row>
    <row r="809" spans="1:28" x14ac:dyDescent="0.2">
      <c r="C809" s="9" t="s">
        <v>1839</v>
      </c>
      <c r="D809" s="38"/>
      <c r="E809" s="38"/>
      <c r="F809" s="38"/>
      <c r="G809" s="61">
        <f>((Source!AF162+Source!AE162)*Source!FX162/100)+((Source!AF162+Source!AE162)*Source!FY162/100)+Source!AB162</f>
        <v>11.89</v>
      </c>
      <c r="H809" s="61">
        <f>Source!O162+Source!X162+Source!Y162</f>
        <v>169.56</v>
      </c>
    </row>
    <row r="810" spans="1:28" ht="42.75" x14ac:dyDescent="0.2">
      <c r="A810" s="50">
        <v>99</v>
      </c>
      <c r="B810" s="50" t="str">
        <f>Source!E163</f>
        <v>53</v>
      </c>
      <c r="C810" s="50" t="str">
        <f>Source!G163</f>
        <v>Демонтаж  кабеля или провода питания на провододержателях сечением 6 мм2</v>
      </c>
      <c r="D810" s="50" t="str">
        <f>Source!F163</f>
        <v>м10-01-053-01</v>
      </c>
      <c r="E810" s="35" t="str">
        <f>Source!H163</f>
        <v>100 м</v>
      </c>
      <c r="F810" s="12">
        <f>Source!I163</f>
        <v>0.08</v>
      </c>
      <c r="G810" s="25">
        <f>Source!AB163</f>
        <v>48.73</v>
      </c>
      <c r="H810" s="25">
        <f>Source!O163</f>
        <v>27.8</v>
      </c>
      <c r="T810">
        <f>Source!O163+Source!X163+Source!Y163</f>
        <v>57.32</v>
      </c>
      <c r="U810">
        <f>Source!P163</f>
        <v>0</v>
      </c>
      <c r="V810">
        <f>Source!S163</f>
        <v>20.25</v>
      </c>
      <c r="W810">
        <f>Source!Q163</f>
        <v>7.55</v>
      </c>
      <c r="X810">
        <f>Source!R163</f>
        <v>0.84</v>
      </c>
      <c r="Y810">
        <f>Source!U163</f>
        <v>0.29520000000000002</v>
      </c>
      <c r="Z810">
        <f>Source!V163</f>
        <v>1.176E-2</v>
      </c>
      <c r="AA810">
        <f>Source!X163</f>
        <v>16.87</v>
      </c>
      <c r="AB810">
        <f>Source!Y163</f>
        <v>12.65</v>
      </c>
    </row>
    <row r="811" spans="1:28" ht="14.25" x14ac:dyDescent="0.2">
      <c r="C811" s="26" t="s">
        <v>1831</v>
      </c>
      <c r="D811" s="26">
        <f>Source!BA163</f>
        <v>7.13</v>
      </c>
      <c r="F811" s="12"/>
      <c r="G811" s="12"/>
      <c r="H811" s="12"/>
    </row>
    <row r="812" spans="1:28" x14ac:dyDescent="0.2">
      <c r="C812" s="26" t="s">
        <v>1832</v>
      </c>
      <c r="D812" s="26">
        <f>Source!BB163</f>
        <v>7.13</v>
      </c>
    </row>
    <row r="813" spans="1:28" x14ac:dyDescent="0.2">
      <c r="C813" s="26" t="s">
        <v>1833</v>
      </c>
      <c r="D813" s="26">
        <f>Source!BC163</f>
        <v>7.13</v>
      </c>
    </row>
    <row r="814" spans="1:28" x14ac:dyDescent="0.2">
      <c r="C814" s="26" t="s">
        <v>1834</v>
      </c>
      <c r="D814" s="26">
        <f>Source!BS163</f>
        <v>7.13</v>
      </c>
    </row>
    <row r="815" spans="1:28" x14ac:dyDescent="0.2">
      <c r="C815" s="26" t="s">
        <v>1840</v>
      </c>
      <c r="D815" s="116" t="s">
        <v>30</v>
      </c>
      <c r="E815" s="116"/>
      <c r="F815" s="116"/>
      <c r="G815" s="116"/>
      <c r="H815" s="116"/>
    </row>
    <row r="816" spans="1:28" x14ac:dyDescent="0.2">
      <c r="C816" s="26" t="s">
        <v>1841</v>
      </c>
      <c r="D816" s="116" t="s">
        <v>490</v>
      </c>
      <c r="E816" s="116"/>
      <c r="F816" s="116"/>
      <c r="G816" s="116"/>
      <c r="H816" s="116"/>
    </row>
    <row r="817" spans="1:28" x14ac:dyDescent="0.2">
      <c r="C817" s="26" t="s">
        <v>1842</v>
      </c>
      <c r="D817" s="116" t="s">
        <v>490</v>
      </c>
      <c r="E817" s="116"/>
      <c r="F817" s="116"/>
      <c r="G817" s="116"/>
      <c r="H817" s="116"/>
    </row>
    <row r="818" spans="1:28" x14ac:dyDescent="0.2">
      <c r="C818" s="26" t="s">
        <v>1843</v>
      </c>
      <c r="D818" s="116" t="s">
        <v>490</v>
      </c>
      <c r="E818" s="116"/>
      <c r="F818" s="116"/>
      <c r="G818" s="116"/>
      <c r="H818" s="116"/>
    </row>
    <row r="819" spans="1:28" x14ac:dyDescent="0.2">
      <c r="C819" s="26" t="s">
        <v>1844</v>
      </c>
      <c r="D819" s="116" t="s">
        <v>490</v>
      </c>
      <c r="E819" s="116"/>
      <c r="F819" s="116"/>
      <c r="G819" s="116"/>
      <c r="H819" s="116"/>
    </row>
    <row r="820" spans="1:28" x14ac:dyDescent="0.2">
      <c r="C820" s="26" t="s">
        <v>1845</v>
      </c>
      <c r="D820" s="116" t="s">
        <v>490</v>
      </c>
      <c r="E820" s="116"/>
      <c r="F820" s="116"/>
      <c r="G820" s="116"/>
      <c r="H820" s="116"/>
    </row>
    <row r="821" spans="1:28" x14ac:dyDescent="0.2">
      <c r="C821" s="9" t="s">
        <v>1835</v>
      </c>
      <c r="D821" s="38"/>
      <c r="E821" s="38"/>
      <c r="F821" s="38">
        <f>Source!BZ163</f>
        <v>80</v>
      </c>
      <c r="G821" s="61">
        <f>(Source!AF163+Source!AE163)*Source!FX163/100</f>
        <v>29.583999999999996</v>
      </c>
      <c r="H821" s="61">
        <f>Source!X163</f>
        <v>16.87</v>
      </c>
    </row>
    <row r="822" spans="1:28" x14ac:dyDescent="0.2">
      <c r="C822" s="9" t="s">
        <v>1837</v>
      </c>
      <c r="D822" s="38"/>
      <c r="E822" s="38"/>
      <c r="F822" s="38">
        <f>Source!CA163</f>
        <v>60</v>
      </c>
      <c r="G822" s="61">
        <f>(Source!AF163+Source!AE163)*Source!FY163/100</f>
        <v>22.187999999999999</v>
      </c>
      <c r="H822" s="61">
        <f>Source!Y163</f>
        <v>12.65</v>
      </c>
    </row>
    <row r="823" spans="1:28" x14ac:dyDescent="0.2">
      <c r="C823" s="9" t="s">
        <v>1839</v>
      </c>
      <c r="D823" s="38"/>
      <c r="E823" s="38"/>
      <c r="F823" s="38"/>
      <c r="G823" s="61">
        <f>((Source!AF163+Source!AE163)*Source!FX163/100)+((Source!AF163+Source!AE163)*Source!FY163/100)+Source!AB163</f>
        <v>100.50199999999998</v>
      </c>
      <c r="H823" s="61">
        <f>Source!O163+Source!X163+Source!Y163</f>
        <v>57.32</v>
      </c>
    </row>
    <row r="824" spans="1:28" ht="28.5" x14ac:dyDescent="0.2">
      <c r="A824" s="50">
        <v>100</v>
      </c>
      <c r="B824" s="50" t="str">
        <f>Source!E164</f>
        <v>54</v>
      </c>
      <c r="C824" s="50" t="str">
        <f>Source!G164</f>
        <v>Демонтаж звонков</v>
      </c>
      <c r="D824" s="50" t="str">
        <f>Source!F164</f>
        <v>м10-04-066-05</v>
      </c>
      <c r="E824" s="35" t="str">
        <f>Source!H164</f>
        <v>ШТ</v>
      </c>
      <c r="F824" s="12">
        <f>Source!I164</f>
        <v>1</v>
      </c>
      <c r="G824" s="25">
        <f>Source!AB164</f>
        <v>2.72</v>
      </c>
      <c r="H824" s="25">
        <f>Source!O164</f>
        <v>19.39</v>
      </c>
      <c r="T824">
        <f>Source!O164+Source!X164+Source!Y164</f>
        <v>49.830000000000005</v>
      </c>
      <c r="U824">
        <f>Source!P164</f>
        <v>0</v>
      </c>
      <c r="V824">
        <f>Source!S164</f>
        <v>19.39</v>
      </c>
      <c r="W824">
        <f>Source!Q164</f>
        <v>0</v>
      </c>
      <c r="X824">
        <f>Source!R164</f>
        <v>0</v>
      </c>
      <c r="Y824">
        <f>Source!U164</f>
        <v>0.3</v>
      </c>
      <c r="Z824">
        <f>Source!V164</f>
        <v>0</v>
      </c>
      <c r="AA824">
        <f>Source!X164</f>
        <v>17.84</v>
      </c>
      <c r="AB824">
        <f>Source!Y164</f>
        <v>12.6</v>
      </c>
    </row>
    <row r="825" spans="1:28" ht="14.25" x14ac:dyDescent="0.2">
      <c r="C825" s="26" t="s">
        <v>1831</v>
      </c>
      <c r="D825" s="26">
        <f>Source!BA164</f>
        <v>7.13</v>
      </c>
      <c r="F825" s="12"/>
      <c r="G825" s="12"/>
      <c r="H825" s="12"/>
    </row>
    <row r="826" spans="1:28" x14ac:dyDescent="0.2">
      <c r="C826" s="26" t="s">
        <v>1832</v>
      </c>
      <c r="D826" s="26">
        <f>Source!BB164</f>
        <v>7.13</v>
      </c>
    </row>
    <row r="827" spans="1:28" x14ac:dyDescent="0.2">
      <c r="C827" s="26" t="s">
        <v>1833</v>
      </c>
      <c r="D827" s="26">
        <f>Source!BC164</f>
        <v>7.13</v>
      </c>
    </row>
    <row r="828" spans="1:28" x14ac:dyDescent="0.2">
      <c r="C828" s="26" t="s">
        <v>1834</v>
      </c>
      <c r="D828" s="26">
        <f>Source!BS164</f>
        <v>7.13</v>
      </c>
    </row>
    <row r="829" spans="1:28" x14ac:dyDescent="0.2">
      <c r="C829" s="26" t="s">
        <v>1840</v>
      </c>
      <c r="D829" s="116" t="s">
        <v>30</v>
      </c>
      <c r="E829" s="116"/>
      <c r="F829" s="116"/>
      <c r="G829" s="116"/>
      <c r="H829" s="116"/>
    </row>
    <row r="830" spans="1:28" x14ac:dyDescent="0.2">
      <c r="C830" s="26" t="s">
        <v>1841</v>
      </c>
      <c r="D830" s="116" t="s">
        <v>490</v>
      </c>
      <c r="E830" s="116"/>
      <c r="F830" s="116"/>
      <c r="G830" s="116"/>
      <c r="H830" s="116"/>
    </row>
    <row r="831" spans="1:28" x14ac:dyDescent="0.2">
      <c r="C831" s="26" t="s">
        <v>1842</v>
      </c>
      <c r="D831" s="116" t="s">
        <v>490</v>
      </c>
      <c r="E831" s="116"/>
      <c r="F831" s="116"/>
      <c r="G831" s="116"/>
      <c r="H831" s="116"/>
    </row>
    <row r="832" spans="1:28" x14ac:dyDescent="0.2">
      <c r="C832" s="26" t="s">
        <v>1843</v>
      </c>
      <c r="D832" s="116" t="s">
        <v>490</v>
      </c>
      <c r="E832" s="116"/>
      <c r="F832" s="116"/>
      <c r="G832" s="116"/>
      <c r="H832" s="116"/>
    </row>
    <row r="833" spans="1:28" x14ac:dyDescent="0.2">
      <c r="C833" s="26" t="s">
        <v>1844</v>
      </c>
      <c r="D833" s="116" t="s">
        <v>490</v>
      </c>
      <c r="E833" s="116"/>
      <c r="F833" s="116"/>
      <c r="G833" s="116"/>
      <c r="H833" s="116"/>
    </row>
    <row r="834" spans="1:28" x14ac:dyDescent="0.2">
      <c r="C834" s="26" t="s">
        <v>1845</v>
      </c>
      <c r="D834" s="116" t="s">
        <v>490</v>
      </c>
      <c r="E834" s="116"/>
      <c r="F834" s="116"/>
      <c r="G834" s="116"/>
      <c r="H834" s="116"/>
    </row>
    <row r="835" spans="1:28" x14ac:dyDescent="0.2">
      <c r="C835" s="9" t="s">
        <v>1835</v>
      </c>
      <c r="D835" s="38"/>
      <c r="E835" s="38"/>
      <c r="F835" s="38">
        <f>Source!BZ164</f>
        <v>92</v>
      </c>
      <c r="G835" s="61">
        <f>(Source!AF164+Source!AE164)*Source!FX164/100</f>
        <v>2.5024000000000002</v>
      </c>
      <c r="H835" s="61">
        <f>Source!X164</f>
        <v>17.84</v>
      </c>
    </row>
    <row r="836" spans="1:28" x14ac:dyDescent="0.2">
      <c r="C836" s="9" t="s">
        <v>1837</v>
      </c>
      <c r="D836" s="38"/>
      <c r="E836" s="38"/>
      <c r="F836" s="38">
        <f>Source!CA164</f>
        <v>65</v>
      </c>
      <c r="G836" s="61">
        <f>(Source!AF164+Source!AE164)*Source!FY164/100</f>
        <v>1.768</v>
      </c>
      <c r="H836" s="61">
        <f>Source!Y164</f>
        <v>12.6</v>
      </c>
    </row>
    <row r="837" spans="1:28" x14ac:dyDescent="0.2">
      <c r="C837" s="9" t="s">
        <v>1839</v>
      </c>
      <c r="D837" s="38"/>
      <c r="E837" s="38"/>
      <c r="F837" s="38"/>
      <c r="G837" s="61">
        <f>((Source!AF164+Source!AE164)*Source!FX164/100)+((Source!AF164+Source!AE164)*Source!FY164/100)+Source!AB164</f>
        <v>6.9904000000000011</v>
      </c>
      <c r="H837" s="61">
        <f>Source!O164+Source!X164+Source!Y164</f>
        <v>49.830000000000005</v>
      </c>
    </row>
    <row r="838" spans="1:28" ht="14.25" x14ac:dyDescent="0.2">
      <c r="A838" s="50">
        <v>101</v>
      </c>
      <c r="B838" s="50" t="str">
        <f>Source!E165</f>
        <v>55</v>
      </c>
      <c r="C838" s="50" t="str">
        <f>Source!G165</f>
        <v>Демонтаж кабеля</v>
      </c>
      <c r="D838" s="50" t="str">
        <f>Source!F165</f>
        <v>67-3-1</v>
      </c>
      <c r="E838" s="35" t="str">
        <f>Source!H165</f>
        <v>100 м</v>
      </c>
      <c r="F838" s="12">
        <f>Source!I165</f>
        <v>0.56000000000000005</v>
      </c>
      <c r="G838" s="25">
        <f>Source!AB165</f>
        <v>75.5</v>
      </c>
      <c r="H838" s="25">
        <f>Source!O165</f>
        <v>301.45999999999998</v>
      </c>
      <c r="T838">
        <f>Source!O165+Source!X165+Source!Y165</f>
        <v>752.63</v>
      </c>
      <c r="U838">
        <f>Source!P165</f>
        <v>0</v>
      </c>
      <c r="V838">
        <f>Source!S165</f>
        <v>300.22000000000003</v>
      </c>
      <c r="W838">
        <f>Source!Q165</f>
        <v>1.24</v>
      </c>
      <c r="X838">
        <f>Source!R165</f>
        <v>0.56000000000000005</v>
      </c>
      <c r="Y838">
        <f>Source!U165</f>
        <v>5.3984000000000005</v>
      </c>
      <c r="Z838">
        <f>Source!V165</f>
        <v>5.6000000000000008E-3</v>
      </c>
      <c r="AA838">
        <f>Source!X165</f>
        <v>255.66</v>
      </c>
      <c r="AB838">
        <f>Source!Y165</f>
        <v>195.51</v>
      </c>
    </row>
    <row r="839" spans="1:28" ht="14.25" x14ac:dyDescent="0.2">
      <c r="C839" s="26" t="str">
        <f>"Объем: "&amp;Source!I165&amp;"=56/"&amp;"100"</f>
        <v>Объем: 0,56=56/100</v>
      </c>
      <c r="F839" s="12"/>
      <c r="G839" s="12"/>
      <c r="H839" s="12"/>
    </row>
    <row r="840" spans="1:28" x14ac:dyDescent="0.2">
      <c r="C840" s="26" t="s">
        <v>1831</v>
      </c>
      <c r="D840" s="26">
        <f>Source!BA165</f>
        <v>7.13</v>
      </c>
    </row>
    <row r="841" spans="1:28" x14ac:dyDescent="0.2">
      <c r="C841" s="26" t="s">
        <v>1832</v>
      </c>
      <c r="D841" s="26">
        <f>Source!BB165</f>
        <v>7.13</v>
      </c>
    </row>
    <row r="842" spans="1:28" x14ac:dyDescent="0.2">
      <c r="C842" s="26" t="s">
        <v>1833</v>
      </c>
      <c r="D842" s="26">
        <f>Source!BC165</f>
        <v>7.13</v>
      </c>
    </row>
    <row r="843" spans="1:28" x14ac:dyDescent="0.2">
      <c r="C843" s="26" t="s">
        <v>1834</v>
      </c>
      <c r="D843" s="26">
        <f>Source!BS165</f>
        <v>7.13</v>
      </c>
    </row>
    <row r="844" spans="1:28" x14ac:dyDescent="0.2">
      <c r="C844" s="9" t="s">
        <v>1835</v>
      </c>
      <c r="D844" s="38"/>
      <c r="E844" s="38"/>
      <c r="F844" s="38">
        <f>Source!BZ165</f>
        <v>85</v>
      </c>
      <c r="G844" s="61">
        <f>(Source!AF165+Source!AE165)*Source!FX165/100</f>
        <v>64.030500000000004</v>
      </c>
      <c r="H844" s="61">
        <f>Source!X165</f>
        <v>255.66</v>
      </c>
    </row>
    <row r="845" spans="1:28" x14ac:dyDescent="0.2">
      <c r="C845" s="9" t="s">
        <v>1837</v>
      </c>
      <c r="D845" s="38"/>
      <c r="E845" s="38"/>
      <c r="F845" s="38">
        <f>Source!CA165</f>
        <v>65</v>
      </c>
      <c r="G845" s="61">
        <f>(Source!AF165+Source!AE165)*Source!FY165/100</f>
        <v>48.964500000000001</v>
      </c>
      <c r="H845" s="61">
        <f>Source!Y165</f>
        <v>195.51</v>
      </c>
    </row>
    <row r="846" spans="1:28" x14ac:dyDescent="0.2">
      <c r="C846" s="9" t="s">
        <v>1839</v>
      </c>
      <c r="D846" s="38"/>
      <c r="E846" s="38"/>
      <c r="F846" s="38"/>
      <c r="G846" s="61">
        <f>((Source!AF165+Source!AE165)*Source!FX165/100)+((Source!AF165+Source!AE165)*Source!FY165/100)+Source!AB165</f>
        <v>188.495</v>
      </c>
      <c r="H846" s="61">
        <f>Source!O165+Source!X165+Source!Y165</f>
        <v>752.63</v>
      </c>
    </row>
    <row r="847" spans="1:28" ht="28.5" x14ac:dyDescent="0.2">
      <c r="A847" s="50">
        <v>102</v>
      </c>
      <c r="B847" s="50" t="str">
        <f>Source!E166</f>
        <v>56</v>
      </c>
      <c r="C847" s="50" t="str">
        <f>Source!G166</f>
        <v>Демонтаж светильников с лампами накаливания</v>
      </c>
      <c r="D847" s="50" t="str">
        <f>Source!F166</f>
        <v>67-4-3</v>
      </c>
      <c r="E847" s="35" t="str">
        <f>Source!H166</f>
        <v>100 ШТ</v>
      </c>
      <c r="F847" s="12">
        <f>Source!I166</f>
        <v>0.08</v>
      </c>
      <c r="G847" s="25">
        <f>Source!AB166</f>
        <v>50.24</v>
      </c>
      <c r="H847" s="25">
        <f>Source!O166</f>
        <v>28.66</v>
      </c>
      <c r="T847">
        <f>Source!O166+Source!X166+Source!Y166</f>
        <v>71.19</v>
      </c>
      <c r="U847">
        <f>Source!P166</f>
        <v>0</v>
      </c>
      <c r="V847">
        <f>Source!S166</f>
        <v>28.12</v>
      </c>
      <c r="W847">
        <f>Source!Q166</f>
        <v>0.54</v>
      </c>
      <c r="X847">
        <f>Source!R166</f>
        <v>0.23</v>
      </c>
      <c r="Y847">
        <f>Source!U166</f>
        <v>0.50560000000000005</v>
      </c>
      <c r="Z847">
        <f>Source!V166</f>
        <v>2.3999999999999998E-3</v>
      </c>
      <c r="AA847">
        <f>Source!X166</f>
        <v>24.1</v>
      </c>
      <c r="AB847">
        <f>Source!Y166</f>
        <v>18.43</v>
      </c>
    </row>
    <row r="848" spans="1:28" ht="14.25" x14ac:dyDescent="0.2">
      <c r="C848" s="26" t="str">
        <f>"Объем: "&amp;Source!I166&amp;"=8/"&amp;"100"</f>
        <v>Объем: 0,08=8/100</v>
      </c>
      <c r="F848" s="12"/>
      <c r="G848" s="12"/>
      <c r="H848" s="12"/>
    </row>
    <row r="849" spans="1:28" x14ac:dyDescent="0.2">
      <c r="C849" s="26" t="s">
        <v>1831</v>
      </c>
      <c r="D849" s="26">
        <f>Source!BA166</f>
        <v>7.13</v>
      </c>
    </row>
    <row r="850" spans="1:28" x14ac:dyDescent="0.2">
      <c r="C850" s="26" t="s">
        <v>1832</v>
      </c>
      <c r="D850" s="26">
        <f>Source!BB166</f>
        <v>7.13</v>
      </c>
    </row>
    <row r="851" spans="1:28" x14ac:dyDescent="0.2">
      <c r="C851" s="26" t="s">
        <v>1833</v>
      </c>
      <c r="D851" s="26">
        <f>Source!BC166</f>
        <v>7.13</v>
      </c>
    </row>
    <row r="852" spans="1:28" x14ac:dyDescent="0.2">
      <c r="C852" s="26" t="s">
        <v>1834</v>
      </c>
      <c r="D852" s="26">
        <f>Source!BS166</f>
        <v>7.13</v>
      </c>
    </row>
    <row r="853" spans="1:28" x14ac:dyDescent="0.2">
      <c r="C853" s="9" t="s">
        <v>1835</v>
      </c>
      <c r="D853" s="38"/>
      <c r="E853" s="38"/>
      <c r="F853" s="38">
        <f>Source!BZ166</f>
        <v>85</v>
      </c>
      <c r="G853" s="61">
        <f>(Source!AF166+Source!AE166)*Source!FX166/100</f>
        <v>42.253499999999995</v>
      </c>
      <c r="H853" s="61">
        <f>Source!X166</f>
        <v>24.1</v>
      </c>
    </row>
    <row r="854" spans="1:28" x14ac:dyDescent="0.2">
      <c r="C854" s="9" t="s">
        <v>1837</v>
      </c>
      <c r="D854" s="38"/>
      <c r="E854" s="38"/>
      <c r="F854" s="38">
        <f>Source!CA166</f>
        <v>65</v>
      </c>
      <c r="G854" s="61">
        <f>(Source!AF166+Source!AE166)*Source!FY166/100</f>
        <v>32.311499999999995</v>
      </c>
      <c r="H854" s="61">
        <f>Source!Y166</f>
        <v>18.43</v>
      </c>
    </row>
    <row r="855" spans="1:28" x14ac:dyDescent="0.2">
      <c r="C855" s="9" t="s">
        <v>1839</v>
      </c>
      <c r="D855" s="38"/>
      <c r="E855" s="38"/>
      <c r="F855" s="38"/>
      <c r="G855" s="61">
        <f>((Source!AF166+Source!AE166)*Source!FX166/100)+((Source!AF166+Source!AE166)*Source!FY166/100)+Source!AB166</f>
        <v>124.80500000000001</v>
      </c>
      <c r="H855" s="61">
        <f>Source!O166+Source!X166+Source!Y166</f>
        <v>71.19</v>
      </c>
    </row>
    <row r="856" spans="1:28" ht="28.5" x14ac:dyDescent="0.2">
      <c r="A856" s="50">
        <v>103</v>
      </c>
      <c r="B856" s="50" t="str">
        <f>Source!E167</f>
        <v>57</v>
      </c>
      <c r="C856" s="50" t="str">
        <f>Source!G167</f>
        <v>Демонтаж светильников для люминесцентных ламп</v>
      </c>
      <c r="D856" s="50" t="str">
        <f>Source!F167</f>
        <v>67-4-5</v>
      </c>
      <c r="E856" s="35" t="str">
        <f>Source!H167</f>
        <v>100 ШТ</v>
      </c>
      <c r="F856" s="12">
        <f>Source!I167</f>
        <v>0.35</v>
      </c>
      <c r="G856" s="25">
        <f>Source!AB167</f>
        <v>145.97999999999999</v>
      </c>
      <c r="H856" s="25">
        <f>Source!O167</f>
        <v>364.29</v>
      </c>
      <c r="T856">
        <f>Source!O167+Source!X167+Source!Y167</f>
        <v>905.42000000000007</v>
      </c>
      <c r="U856">
        <f>Source!P167</f>
        <v>0</v>
      </c>
      <c r="V856">
        <f>Source!S167</f>
        <v>358.05</v>
      </c>
      <c r="W856">
        <f>Source!Q167</f>
        <v>6.24</v>
      </c>
      <c r="X856">
        <f>Source!R167</f>
        <v>2.7</v>
      </c>
      <c r="Y856">
        <f>Source!U167</f>
        <v>6.2614999999999998</v>
      </c>
      <c r="Z856">
        <f>Source!V167</f>
        <v>2.7999999999999997E-2</v>
      </c>
      <c r="AA856">
        <f>Source!X167</f>
        <v>306.64</v>
      </c>
      <c r="AB856">
        <f>Source!Y167</f>
        <v>234.49</v>
      </c>
    </row>
    <row r="857" spans="1:28" ht="14.25" x14ac:dyDescent="0.2">
      <c r="C857" s="26" t="str">
        <f>"Объем: "&amp;Source!I167&amp;"=35/"&amp;"100"</f>
        <v>Объем: 0,35=35/100</v>
      </c>
      <c r="F857" s="12"/>
      <c r="G857" s="12"/>
      <c r="H857" s="12"/>
    </row>
    <row r="858" spans="1:28" x14ac:dyDescent="0.2">
      <c r="C858" s="26" t="s">
        <v>1831</v>
      </c>
      <c r="D858" s="26">
        <f>Source!BA167</f>
        <v>7.13</v>
      </c>
    </row>
    <row r="859" spans="1:28" x14ac:dyDescent="0.2">
      <c r="C859" s="26" t="s">
        <v>1832</v>
      </c>
      <c r="D859" s="26">
        <f>Source!BB167</f>
        <v>7.13</v>
      </c>
    </row>
    <row r="860" spans="1:28" x14ac:dyDescent="0.2">
      <c r="C860" s="26" t="s">
        <v>1833</v>
      </c>
      <c r="D860" s="26">
        <f>Source!BC167</f>
        <v>7.13</v>
      </c>
    </row>
    <row r="861" spans="1:28" x14ac:dyDescent="0.2">
      <c r="C861" s="26" t="s">
        <v>1834</v>
      </c>
      <c r="D861" s="26">
        <f>Source!BS167</f>
        <v>7.13</v>
      </c>
    </row>
    <row r="862" spans="1:28" x14ac:dyDescent="0.2">
      <c r="C862" s="9" t="s">
        <v>1835</v>
      </c>
      <c r="D862" s="38"/>
      <c r="E862" s="38"/>
      <c r="F862" s="38">
        <f>Source!BZ167</f>
        <v>85</v>
      </c>
      <c r="G862" s="61">
        <f>(Source!AF167+Source!AE167)*Source!FX167/100</f>
        <v>122.876</v>
      </c>
      <c r="H862" s="61">
        <f>Source!X167</f>
        <v>306.64</v>
      </c>
    </row>
    <row r="863" spans="1:28" x14ac:dyDescent="0.2">
      <c r="C863" s="9" t="s">
        <v>1837</v>
      </c>
      <c r="D863" s="38"/>
      <c r="E863" s="38"/>
      <c r="F863" s="38">
        <f>Source!CA167</f>
        <v>65</v>
      </c>
      <c r="G863" s="61">
        <f>(Source!AF167+Source!AE167)*Source!FY167/100</f>
        <v>93.963999999999999</v>
      </c>
      <c r="H863" s="61">
        <f>Source!Y167</f>
        <v>234.49</v>
      </c>
    </row>
    <row r="864" spans="1:28" x14ac:dyDescent="0.2">
      <c r="C864" s="9" t="s">
        <v>1839</v>
      </c>
      <c r="D864" s="38"/>
      <c r="E864" s="38"/>
      <c r="F864" s="38"/>
      <c r="G864" s="61">
        <f>((Source!AF167+Source!AE167)*Source!FX167/100)+((Source!AF167+Source!AE167)*Source!FY167/100)+Source!AB167</f>
        <v>362.82</v>
      </c>
      <c r="H864" s="61">
        <f>Source!O167+Source!X167+Source!Y167</f>
        <v>905.42000000000007</v>
      </c>
    </row>
    <row r="865" spans="1:28" ht="57" x14ac:dyDescent="0.2">
      <c r="A865" s="50">
        <v>104</v>
      </c>
      <c r="B865" s="50" t="str">
        <f>Source!E168</f>
        <v>58</v>
      </c>
      <c r="C865" s="50" t="str">
        <f>Source!G168</f>
        <v>Установка светильников  отдельно устанавливаемых на подвесах (штангах) с количеством ламп в светильнике 2</v>
      </c>
      <c r="D865" s="50" t="str">
        <f>Source!F168</f>
        <v>м08-03-594-07</v>
      </c>
      <c r="E865" s="35" t="str">
        <f>Source!H168</f>
        <v>100 ШТ</v>
      </c>
      <c r="F865" s="12">
        <f>Source!I168</f>
        <v>0.12</v>
      </c>
      <c r="G865" s="25">
        <f>Source!AB168</f>
        <v>1363.94</v>
      </c>
      <c r="H865" s="25">
        <f>Source!O168</f>
        <v>1166.99</v>
      </c>
      <c r="T865">
        <f>Source!O168+Source!X168+Source!Y168</f>
        <v>2785.18</v>
      </c>
      <c r="U865">
        <f>Source!P168</f>
        <v>116.45</v>
      </c>
      <c r="V865">
        <f>Source!S168</f>
        <v>1004.93</v>
      </c>
      <c r="W865">
        <f>Source!Q168</f>
        <v>45.61</v>
      </c>
      <c r="X865">
        <f>Source!R168</f>
        <v>6.44</v>
      </c>
      <c r="Y865">
        <f>Source!U168</f>
        <v>14.208</v>
      </c>
      <c r="Z865">
        <f>Source!V168</f>
        <v>7.1999999999999995E-2</v>
      </c>
      <c r="AA865">
        <f>Source!X168</f>
        <v>960.8</v>
      </c>
      <c r="AB865">
        <f>Source!Y168</f>
        <v>657.39</v>
      </c>
    </row>
    <row r="866" spans="1:28" ht="14.25" x14ac:dyDescent="0.2">
      <c r="C866" s="26" t="str">
        <f>"Объем: "&amp;Source!I168&amp;"=12/"&amp;"100"</f>
        <v>Объем: 0,12=12/100</v>
      </c>
      <c r="F866" s="12"/>
      <c r="G866" s="12"/>
      <c r="H866" s="12"/>
    </row>
    <row r="867" spans="1:28" x14ac:dyDescent="0.2">
      <c r="C867" s="26" t="s">
        <v>1831</v>
      </c>
      <c r="D867" s="26">
        <f>Source!BA168</f>
        <v>7.13</v>
      </c>
    </row>
    <row r="868" spans="1:28" x14ac:dyDescent="0.2">
      <c r="C868" s="26" t="s">
        <v>1832</v>
      </c>
      <c r="D868" s="26">
        <f>Source!BB168</f>
        <v>7.13</v>
      </c>
    </row>
    <row r="869" spans="1:28" x14ac:dyDescent="0.2">
      <c r="C869" s="26" t="s">
        <v>1833</v>
      </c>
      <c r="D869" s="26">
        <f>Source!BC168</f>
        <v>7.13</v>
      </c>
    </row>
    <row r="870" spans="1:28" x14ac:dyDescent="0.2">
      <c r="C870" s="26" t="s">
        <v>1834</v>
      </c>
      <c r="D870" s="26">
        <f>Source!BS168</f>
        <v>7.13</v>
      </c>
    </row>
    <row r="871" spans="1:28" x14ac:dyDescent="0.2">
      <c r="C871" s="9" t="s">
        <v>1835</v>
      </c>
      <c r="D871" s="38"/>
      <c r="E871" s="38"/>
      <c r="F871" s="38">
        <f>Source!BZ168</f>
        <v>95</v>
      </c>
      <c r="G871" s="61">
        <f>(Source!AF168+Source!AE168)*Source!FX168/100</f>
        <v>1122.9569999999999</v>
      </c>
      <c r="H871" s="61">
        <f>Source!X168</f>
        <v>960.8</v>
      </c>
    </row>
    <row r="872" spans="1:28" x14ac:dyDescent="0.2">
      <c r="C872" s="9" t="s">
        <v>1837</v>
      </c>
      <c r="D872" s="38"/>
      <c r="E872" s="38"/>
      <c r="F872" s="38">
        <f>Source!CA168</f>
        <v>65</v>
      </c>
      <c r="G872" s="61">
        <f>(Source!AF168+Source!AE168)*Source!FY168/100</f>
        <v>768.33899999999994</v>
      </c>
      <c r="H872" s="61">
        <f>Source!Y168</f>
        <v>657.39</v>
      </c>
    </row>
    <row r="873" spans="1:28" x14ac:dyDescent="0.2">
      <c r="C873" s="9" t="s">
        <v>1839</v>
      </c>
      <c r="D873" s="38"/>
      <c r="E873" s="38"/>
      <c r="F873" s="38"/>
      <c r="G873" s="61">
        <f>((Source!AF168+Source!AE168)*Source!FX168/100)+((Source!AF168+Source!AE168)*Source!FY168/100)+Source!AB168</f>
        <v>3255.2359999999999</v>
      </c>
      <c r="H873" s="61">
        <f>Source!O168+Source!X168+Source!Y168</f>
        <v>2785.18</v>
      </c>
    </row>
    <row r="874" spans="1:28" ht="57" x14ac:dyDescent="0.2">
      <c r="A874" s="50">
        <v>105</v>
      </c>
      <c r="B874" s="50" t="str">
        <f>Source!E169</f>
        <v>58,1</v>
      </c>
      <c r="C874" s="50" t="str">
        <f>Source!G169</f>
        <v>Светильники внутреннего освещения с люминесцентными лампами пылевлагозащитные Svetresurs 343-502-02</v>
      </c>
      <c r="D874" s="50" t="str">
        <f>Source!F169</f>
        <v>20.3.03.04-0161</v>
      </c>
      <c r="E874" s="35" t="str">
        <f>Source!H169</f>
        <v>шт.</v>
      </c>
      <c r="F874" s="12">
        <f>Source!I169</f>
        <v>8</v>
      </c>
      <c r="G874" s="25">
        <f>Source!AB169</f>
        <v>324.5</v>
      </c>
      <c r="H874" s="25">
        <f>Source!O169</f>
        <v>18509.48</v>
      </c>
      <c r="T874">
        <f>Source!O169+Source!X169+Source!Y169</f>
        <v>18509.48</v>
      </c>
      <c r="U874">
        <f>Source!P169</f>
        <v>18509.48</v>
      </c>
      <c r="V874">
        <f>Source!S169</f>
        <v>0</v>
      </c>
      <c r="W874">
        <f>Source!Q169</f>
        <v>0</v>
      </c>
      <c r="X874">
        <f>Source!R169</f>
        <v>0</v>
      </c>
      <c r="Y874">
        <f>Source!U169</f>
        <v>0</v>
      </c>
      <c r="Z874">
        <f>Source!V169</f>
        <v>0</v>
      </c>
      <c r="AA874">
        <f>Source!X169</f>
        <v>0</v>
      </c>
      <c r="AB874">
        <f>Source!Y169</f>
        <v>0</v>
      </c>
    </row>
    <row r="875" spans="1:28" ht="14.25" x14ac:dyDescent="0.2">
      <c r="C875" s="26" t="s">
        <v>1833</v>
      </c>
      <c r="D875" s="26">
        <f>Source!BC169</f>
        <v>7.13</v>
      </c>
      <c r="F875" s="12"/>
      <c r="G875" s="12"/>
      <c r="H875" s="12"/>
    </row>
    <row r="876" spans="1:28" ht="28.5" x14ac:dyDescent="0.2">
      <c r="A876" s="50">
        <v>106</v>
      </c>
      <c r="B876" s="50" t="str">
        <f>Source!E170</f>
        <v>58,2</v>
      </c>
      <c r="C876" s="50" t="str">
        <f>Source!G170</f>
        <v>Светильник ЛСП 3902 2х36Вт IP65</v>
      </c>
      <c r="D876" s="50" t="str">
        <f>Source!F170</f>
        <v>20.3.03.04-0072</v>
      </c>
      <c r="E876" s="35" t="str">
        <f>Source!H170</f>
        <v>шт.</v>
      </c>
      <c r="F876" s="12">
        <f>Source!I170</f>
        <v>4</v>
      </c>
      <c r="G876" s="25">
        <f>Source!AB170</f>
        <v>101.96</v>
      </c>
      <c r="H876" s="25">
        <f>Source!O170</f>
        <v>2907.9</v>
      </c>
      <c r="T876">
        <f>Source!O170+Source!X170+Source!Y170</f>
        <v>2907.9</v>
      </c>
      <c r="U876">
        <f>Source!P170</f>
        <v>2907.9</v>
      </c>
      <c r="V876">
        <f>Source!S170</f>
        <v>0</v>
      </c>
      <c r="W876">
        <f>Source!Q170</f>
        <v>0</v>
      </c>
      <c r="X876">
        <f>Source!R170</f>
        <v>0</v>
      </c>
      <c r="Y876">
        <f>Source!U170</f>
        <v>0</v>
      </c>
      <c r="Z876">
        <f>Source!V170</f>
        <v>0</v>
      </c>
      <c r="AA876">
        <f>Source!X170</f>
        <v>0</v>
      </c>
      <c r="AB876">
        <f>Source!Y170</f>
        <v>0</v>
      </c>
    </row>
    <row r="877" spans="1:28" ht="14.25" x14ac:dyDescent="0.2">
      <c r="C877" s="26" t="s">
        <v>1833</v>
      </c>
      <c r="D877" s="26">
        <f>Source!BC170</f>
        <v>7.13</v>
      </c>
      <c r="F877" s="12"/>
      <c r="G877" s="12"/>
      <c r="H877" s="12"/>
    </row>
    <row r="878" spans="1:28" ht="57" x14ac:dyDescent="0.2">
      <c r="A878" s="50">
        <v>107</v>
      </c>
      <c r="B878" s="50" t="str">
        <f>Source!E171</f>
        <v>59</v>
      </c>
      <c r="C878" s="50" t="str">
        <f>Source!G171</f>
        <v>Установка светильников  отдельно устанавливаемых на подвесах (штангах) с количеством ламп в светильнике до 4</v>
      </c>
      <c r="D878" s="50" t="str">
        <f>Source!F171</f>
        <v>м08-03-594-08</v>
      </c>
      <c r="E878" s="35" t="str">
        <f>Source!H171</f>
        <v>100 ШТ</v>
      </c>
      <c r="F878" s="12">
        <f>Source!I171</f>
        <v>0.34</v>
      </c>
      <c r="G878" s="25">
        <f>Source!AB171</f>
        <v>1663.44</v>
      </c>
      <c r="H878" s="25">
        <f>Source!O171</f>
        <v>4032.5</v>
      </c>
      <c r="T878">
        <f>Source!O171+Source!X171+Source!Y171</f>
        <v>9756.27</v>
      </c>
      <c r="U878">
        <f>Source!P171</f>
        <v>344.16</v>
      </c>
      <c r="V878">
        <f>Source!S171</f>
        <v>3559.11</v>
      </c>
      <c r="W878">
        <f>Source!Q171</f>
        <v>129.22999999999999</v>
      </c>
      <c r="X878">
        <f>Source!R171</f>
        <v>18.25</v>
      </c>
      <c r="Y878">
        <f>Source!U171</f>
        <v>50.32</v>
      </c>
      <c r="Z878">
        <f>Source!V171</f>
        <v>0.20400000000000001</v>
      </c>
      <c r="AA878">
        <f>Source!X171</f>
        <v>3398.49</v>
      </c>
      <c r="AB878">
        <f>Source!Y171</f>
        <v>2325.2800000000002</v>
      </c>
    </row>
    <row r="879" spans="1:28" ht="14.25" x14ac:dyDescent="0.2">
      <c r="C879" s="26" t="str">
        <f>"Объем: "&amp;Source!I171&amp;"=34/"&amp;"100"</f>
        <v>Объем: 0,34=34/100</v>
      </c>
      <c r="F879" s="12"/>
      <c r="G879" s="12"/>
      <c r="H879" s="12"/>
    </row>
    <row r="880" spans="1:28" x14ac:dyDescent="0.2">
      <c r="C880" s="26" t="s">
        <v>1831</v>
      </c>
      <c r="D880" s="26">
        <f>Source!BA171</f>
        <v>7.13</v>
      </c>
    </row>
    <row r="881" spans="1:28" x14ac:dyDescent="0.2">
      <c r="C881" s="26" t="s">
        <v>1832</v>
      </c>
      <c r="D881" s="26">
        <f>Source!BB171</f>
        <v>7.13</v>
      </c>
    </row>
    <row r="882" spans="1:28" x14ac:dyDescent="0.2">
      <c r="C882" s="26" t="s">
        <v>1833</v>
      </c>
      <c r="D882" s="26">
        <f>Source!BC171</f>
        <v>7.13</v>
      </c>
    </row>
    <row r="883" spans="1:28" x14ac:dyDescent="0.2">
      <c r="C883" s="26" t="s">
        <v>1834</v>
      </c>
      <c r="D883" s="26">
        <f>Source!BS171</f>
        <v>7.13</v>
      </c>
    </row>
    <row r="884" spans="1:28" x14ac:dyDescent="0.2">
      <c r="C884" s="9" t="s">
        <v>1835</v>
      </c>
      <c r="D884" s="38"/>
      <c r="E884" s="38"/>
      <c r="F884" s="38">
        <f>Source!BZ171</f>
        <v>95</v>
      </c>
      <c r="G884" s="61">
        <f>(Source!AF171+Source!AE171)*Source!FX171/100</f>
        <v>1401.9055000000001</v>
      </c>
      <c r="H884" s="61">
        <f>Source!X171</f>
        <v>3398.49</v>
      </c>
    </row>
    <row r="885" spans="1:28" x14ac:dyDescent="0.2">
      <c r="C885" s="9" t="s">
        <v>1837</v>
      </c>
      <c r="D885" s="38"/>
      <c r="E885" s="38"/>
      <c r="F885" s="38">
        <f>Source!CA171</f>
        <v>65</v>
      </c>
      <c r="G885" s="61">
        <f>(Source!AF171+Source!AE171)*Source!FY171/100</f>
        <v>959.19850000000008</v>
      </c>
      <c r="H885" s="61">
        <f>Source!Y171</f>
        <v>2325.2800000000002</v>
      </c>
    </row>
    <row r="886" spans="1:28" x14ac:dyDescent="0.2">
      <c r="C886" s="9" t="s">
        <v>1839</v>
      </c>
      <c r="D886" s="38"/>
      <c r="E886" s="38"/>
      <c r="F886" s="38"/>
      <c r="G886" s="61">
        <f>((Source!AF171+Source!AE171)*Source!FX171/100)+((Source!AF171+Source!AE171)*Source!FY171/100)+Source!AB171</f>
        <v>4024.5440000000003</v>
      </c>
      <c r="H886" s="61">
        <f>Source!O171+Source!X171+Source!Y171</f>
        <v>9756.27</v>
      </c>
    </row>
    <row r="887" spans="1:28" ht="42.75" x14ac:dyDescent="0.2">
      <c r="A887" s="50">
        <v>108</v>
      </c>
      <c r="B887" s="50" t="str">
        <f>Source!E172</f>
        <v>59,1</v>
      </c>
      <c r="C887" s="50" t="str">
        <f>Source!G172</f>
        <v>Светильники люминесцентные с опаловым рассеивателем потолочные типа OPL/S 418 с ЭМПРА</v>
      </c>
      <c r="D887" s="50" t="str">
        <f>Source!F172</f>
        <v>20.3.03.04-0397</v>
      </c>
      <c r="E887" s="35" t="str">
        <f>Source!H172</f>
        <v>шт.</v>
      </c>
      <c r="F887" s="12">
        <f>Source!I172</f>
        <v>34</v>
      </c>
      <c r="G887" s="25">
        <f>Source!AB172</f>
        <v>341.02</v>
      </c>
      <c r="H887" s="25">
        <f>Source!O172</f>
        <v>82670.070000000007</v>
      </c>
      <c r="T887">
        <f>Source!O172+Source!X172+Source!Y172</f>
        <v>82670.070000000007</v>
      </c>
      <c r="U887">
        <f>Source!P172</f>
        <v>82670.070000000007</v>
      </c>
      <c r="V887">
        <f>Source!S172</f>
        <v>0</v>
      </c>
      <c r="W887">
        <f>Source!Q172</f>
        <v>0</v>
      </c>
      <c r="X887">
        <f>Source!R172</f>
        <v>0</v>
      </c>
      <c r="Y887">
        <f>Source!U172</f>
        <v>0</v>
      </c>
      <c r="Z887">
        <f>Source!V172</f>
        <v>0</v>
      </c>
      <c r="AA887">
        <f>Source!X172</f>
        <v>0</v>
      </c>
      <c r="AB887">
        <f>Source!Y172</f>
        <v>0</v>
      </c>
    </row>
    <row r="888" spans="1:28" ht="14.25" x14ac:dyDescent="0.2">
      <c r="C888" s="26" t="s">
        <v>1833</v>
      </c>
      <c r="D888" s="26">
        <f>Source!BC172</f>
        <v>7.13</v>
      </c>
      <c r="F888" s="12"/>
      <c r="G888" s="12"/>
      <c r="H888" s="12"/>
    </row>
    <row r="889" spans="1:28" ht="28.5" x14ac:dyDescent="0.2">
      <c r="A889" s="50">
        <v>109</v>
      </c>
      <c r="B889" s="50" t="str">
        <f>Source!E173</f>
        <v>60</v>
      </c>
      <c r="C889" s="50" t="str">
        <f>Source!G173</f>
        <v>Установка световых настенных указателей</v>
      </c>
      <c r="D889" s="50" t="str">
        <f>Source!F173</f>
        <v>м08-03-593-10</v>
      </c>
      <c r="E889" s="35" t="str">
        <f>Source!H173</f>
        <v>100 ШТ</v>
      </c>
      <c r="F889" s="12">
        <f>Source!I173</f>
        <v>0.03</v>
      </c>
      <c r="G889" s="25">
        <f>Source!AB173</f>
        <v>1335.26</v>
      </c>
      <c r="H889" s="25">
        <f>Source!O173</f>
        <v>285.61</v>
      </c>
      <c r="T889">
        <f>Source!O173+Source!X173+Source!Y173</f>
        <v>554.04</v>
      </c>
      <c r="U889">
        <f>Source!P173</f>
        <v>111.31</v>
      </c>
      <c r="V889">
        <f>Source!S173</f>
        <v>166.7</v>
      </c>
      <c r="W889">
        <f>Source!Q173</f>
        <v>7.6</v>
      </c>
      <c r="X889">
        <f>Source!R173</f>
        <v>1.07</v>
      </c>
      <c r="Y889">
        <f>Source!U173</f>
        <v>2.3567999999999998</v>
      </c>
      <c r="Z889">
        <f>Source!V173</f>
        <v>1.2E-2</v>
      </c>
      <c r="AA889">
        <f>Source!X173</f>
        <v>159.38</v>
      </c>
      <c r="AB889">
        <f>Source!Y173</f>
        <v>109.05</v>
      </c>
    </row>
    <row r="890" spans="1:28" ht="14.25" x14ac:dyDescent="0.2">
      <c r="C890" s="26" t="str">
        <f>"Объем: "&amp;Source!I173&amp;"=3/"&amp;"100"</f>
        <v>Объем: 0,03=3/100</v>
      </c>
      <c r="F890" s="12"/>
      <c r="G890" s="12"/>
      <c r="H890" s="12"/>
    </row>
    <row r="891" spans="1:28" x14ac:dyDescent="0.2">
      <c r="C891" s="26" t="s">
        <v>1831</v>
      </c>
      <c r="D891" s="26">
        <f>Source!BA173</f>
        <v>7.13</v>
      </c>
    </row>
    <row r="892" spans="1:28" x14ac:dyDescent="0.2">
      <c r="C892" s="26" t="s">
        <v>1832</v>
      </c>
      <c r="D892" s="26">
        <f>Source!BB173</f>
        <v>7.13</v>
      </c>
    </row>
    <row r="893" spans="1:28" x14ac:dyDescent="0.2">
      <c r="C893" s="26" t="s">
        <v>1833</v>
      </c>
      <c r="D893" s="26">
        <f>Source!BC173</f>
        <v>7.13</v>
      </c>
    </row>
    <row r="894" spans="1:28" x14ac:dyDescent="0.2">
      <c r="C894" s="26" t="s">
        <v>1834</v>
      </c>
      <c r="D894" s="26">
        <f>Source!BS173</f>
        <v>7.13</v>
      </c>
    </row>
    <row r="895" spans="1:28" x14ac:dyDescent="0.2">
      <c r="C895" s="9" t="s">
        <v>1835</v>
      </c>
      <c r="D895" s="38"/>
      <c r="E895" s="38"/>
      <c r="F895" s="38">
        <f>Source!BZ173</f>
        <v>95</v>
      </c>
      <c r="G895" s="61">
        <f>(Source!AF173+Source!AE173)*Source!FX173/100</f>
        <v>745.12300000000005</v>
      </c>
      <c r="H895" s="61">
        <f>Source!X173</f>
        <v>159.38</v>
      </c>
    </row>
    <row r="896" spans="1:28" x14ac:dyDescent="0.2">
      <c r="C896" s="9" t="s">
        <v>1837</v>
      </c>
      <c r="D896" s="38"/>
      <c r="E896" s="38"/>
      <c r="F896" s="38">
        <f>Source!CA173</f>
        <v>65</v>
      </c>
      <c r="G896" s="61">
        <f>(Source!AF173+Source!AE173)*Source!FY173/100</f>
        <v>509.82099999999997</v>
      </c>
      <c r="H896" s="61">
        <f>Source!Y173</f>
        <v>109.05</v>
      </c>
    </row>
    <row r="897" spans="1:28" x14ac:dyDescent="0.2">
      <c r="C897" s="9" t="s">
        <v>1839</v>
      </c>
      <c r="D897" s="38"/>
      <c r="E897" s="38"/>
      <c r="F897" s="38"/>
      <c r="G897" s="61">
        <f>((Source!AF173+Source!AE173)*Source!FX173/100)+((Source!AF173+Source!AE173)*Source!FY173/100)+Source!AB173</f>
        <v>2590.2039999999997</v>
      </c>
      <c r="H897" s="61">
        <f>Source!O173+Source!X173+Source!Y173</f>
        <v>554.04</v>
      </c>
    </row>
    <row r="898" spans="1:28" ht="28.5" x14ac:dyDescent="0.2">
      <c r="A898" s="50">
        <v>110</v>
      </c>
      <c r="B898" s="50" t="str">
        <f>Source!E174</f>
        <v>60,1</v>
      </c>
      <c r="C898" s="50" t="str">
        <f>Source!G174</f>
        <v>Указатель световой со светодиодами и аккумулятором, тип ДБО 02-1-005</v>
      </c>
      <c r="D898" s="50" t="str">
        <f>Source!F174</f>
        <v>20.3.04.07-0006</v>
      </c>
      <c r="E898" s="35" t="str">
        <f>Source!H174</f>
        <v>шт.</v>
      </c>
      <c r="F898" s="12">
        <f>Source!I174</f>
        <v>3</v>
      </c>
      <c r="G898" s="25">
        <f>Source!AB174</f>
        <v>331.38</v>
      </c>
      <c r="H898" s="25">
        <f>Source!O174</f>
        <v>7088.22</v>
      </c>
      <c r="T898">
        <f>Source!O174+Source!X174+Source!Y174</f>
        <v>7088.22</v>
      </c>
      <c r="U898">
        <f>Source!P174</f>
        <v>7088.22</v>
      </c>
      <c r="V898">
        <f>Source!S174</f>
        <v>0</v>
      </c>
      <c r="W898">
        <f>Source!Q174</f>
        <v>0</v>
      </c>
      <c r="X898">
        <f>Source!R174</f>
        <v>0</v>
      </c>
      <c r="Y898">
        <f>Source!U174</f>
        <v>0</v>
      </c>
      <c r="Z898">
        <f>Source!V174</f>
        <v>0</v>
      </c>
      <c r="AA898">
        <f>Source!X174</f>
        <v>0</v>
      </c>
      <c r="AB898">
        <f>Source!Y174</f>
        <v>0</v>
      </c>
    </row>
    <row r="899" spans="1:28" ht="14.25" x14ac:dyDescent="0.2">
      <c r="C899" s="26" t="s">
        <v>1833</v>
      </c>
      <c r="D899" s="26">
        <f>Source!BC174</f>
        <v>7.13</v>
      </c>
      <c r="F899" s="12"/>
      <c r="G899" s="12"/>
      <c r="H899" s="12"/>
    </row>
    <row r="900" spans="1:28" ht="42.75" x14ac:dyDescent="0.2">
      <c r="A900" s="50">
        <v>111</v>
      </c>
      <c r="B900" s="50" t="str">
        <f>Source!E175</f>
        <v>61</v>
      </c>
      <c r="C900" s="50" t="str">
        <f>Source!G175</f>
        <v>Установка розеток штепсельных неутопленного типа при открытой проводке</v>
      </c>
      <c r="D900" s="50" t="str">
        <f>Source!F175</f>
        <v>м08-03-591-08</v>
      </c>
      <c r="E900" s="35" t="str">
        <f>Source!H175</f>
        <v>100 ШТ</v>
      </c>
      <c r="F900" s="12">
        <f>Source!I175</f>
        <v>0.34</v>
      </c>
      <c r="G900" s="25">
        <f>Source!AB175</f>
        <v>453.93</v>
      </c>
      <c r="H900" s="25">
        <f>Source!O175</f>
        <v>1100.4100000000001</v>
      </c>
      <c r="T900">
        <f>Source!O175+Source!X175+Source!Y175</f>
        <v>2432.67</v>
      </c>
      <c r="U900">
        <f>Source!P175</f>
        <v>257.98</v>
      </c>
      <c r="V900">
        <f>Source!S175</f>
        <v>831.11</v>
      </c>
      <c r="W900">
        <f>Source!Q175</f>
        <v>11.32</v>
      </c>
      <c r="X900">
        <f>Source!R175</f>
        <v>1.55</v>
      </c>
      <c r="Y900">
        <f>Source!U175</f>
        <v>11.750400000000001</v>
      </c>
      <c r="Z900">
        <f>Source!V175</f>
        <v>1.7000000000000001E-2</v>
      </c>
      <c r="AA900">
        <f>Source!X175</f>
        <v>791.03</v>
      </c>
      <c r="AB900">
        <f>Source!Y175</f>
        <v>541.23</v>
      </c>
    </row>
    <row r="901" spans="1:28" ht="14.25" x14ac:dyDescent="0.2">
      <c r="C901" s="26" t="str">
        <f>"Объем: "&amp;Source!I175&amp;"=34/"&amp;"100"</f>
        <v>Объем: 0,34=34/100</v>
      </c>
      <c r="F901" s="12"/>
      <c r="G901" s="12"/>
      <c r="H901" s="12"/>
    </row>
    <row r="902" spans="1:28" x14ac:dyDescent="0.2">
      <c r="C902" s="26" t="s">
        <v>1831</v>
      </c>
      <c r="D902" s="26">
        <f>Source!BA175</f>
        <v>7.13</v>
      </c>
    </row>
    <row r="903" spans="1:28" x14ac:dyDescent="0.2">
      <c r="C903" s="26" t="s">
        <v>1832</v>
      </c>
      <c r="D903" s="26">
        <f>Source!BB175</f>
        <v>7.13</v>
      </c>
    </row>
    <row r="904" spans="1:28" x14ac:dyDescent="0.2">
      <c r="C904" s="26" t="s">
        <v>1833</v>
      </c>
      <c r="D904" s="26">
        <f>Source!BC175</f>
        <v>7.13</v>
      </c>
    </row>
    <row r="905" spans="1:28" x14ac:dyDescent="0.2">
      <c r="C905" s="26" t="s">
        <v>1834</v>
      </c>
      <c r="D905" s="26">
        <f>Source!BS175</f>
        <v>7.13</v>
      </c>
    </row>
    <row r="906" spans="1:28" x14ac:dyDescent="0.2">
      <c r="C906" s="9" t="s">
        <v>1835</v>
      </c>
      <c r="D906" s="38"/>
      <c r="E906" s="38"/>
      <c r="F906" s="38">
        <f>Source!BZ175</f>
        <v>95</v>
      </c>
      <c r="G906" s="61">
        <f>(Source!AF175+Source!AE175)*Source!FX175/100</f>
        <v>326.30599999999993</v>
      </c>
      <c r="H906" s="61">
        <f>Source!X175</f>
        <v>791.03</v>
      </c>
    </row>
    <row r="907" spans="1:28" x14ac:dyDescent="0.2">
      <c r="C907" s="9" t="s">
        <v>1837</v>
      </c>
      <c r="D907" s="38"/>
      <c r="E907" s="38"/>
      <c r="F907" s="38">
        <f>Source!CA175</f>
        <v>65</v>
      </c>
      <c r="G907" s="61">
        <f>(Source!AF175+Source!AE175)*Source!FY175/100</f>
        <v>223.26199999999997</v>
      </c>
      <c r="H907" s="61">
        <f>Source!Y175</f>
        <v>541.23</v>
      </c>
    </row>
    <row r="908" spans="1:28" x14ac:dyDescent="0.2">
      <c r="C908" s="9" t="s">
        <v>1839</v>
      </c>
      <c r="D908" s="38"/>
      <c r="E908" s="38"/>
      <c r="F908" s="38"/>
      <c r="G908" s="61">
        <f>((Source!AF175+Source!AE175)*Source!FX175/100)+((Source!AF175+Source!AE175)*Source!FY175/100)+Source!AB175</f>
        <v>1003.4979999999998</v>
      </c>
      <c r="H908" s="61">
        <f>Source!O175+Source!X175+Source!Y175</f>
        <v>2432.67</v>
      </c>
    </row>
    <row r="909" spans="1:28" ht="28.5" x14ac:dyDescent="0.2">
      <c r="A909" s="50">
        <v>112</v>
      </c>
      <c r="B909" s="50" t="str">
        <f>Source!E176</f>
        <v>61,1</v>
      </c>
      <c r="C909" s="50" t="str">
        <f>Source!G176</f>
        <v>Розетка открытой проводки двухгнездная с заземлением 16 А IP44</v>
      </c>
      <c r="D909" s="50" t="str">
        <f>Source!F176</f>
        <v>20.4.03.05-0003</v>
      </c>
      <c r="E909" s="35" t="str">
        <f>Source!H176</f>
        <v>100 шт.</v>
      </c>
      <c r="F909" s="12">
        <f>Source!I176</f>
        <v>0.08</v>
      </c>
      <c r="G909" s="25">
        <f>Source!AB176</f>
        <v>2202</v>
      </c>
      <c r="H909" s="25">
        <f>Source!O176</f>
        <v>1256.02</v>
      </c>
      <c r="T909">
        <f>Source!O176+Source!X176+Source!Y176</f>
        <v>1256.02</v>
      </c>
      <c r="U909">
        <f>Source!P176</f>
        <v>1256.02</v>
      </c>
      <c r="V909">
        <f>Source!S176</f>
        <v>0</v>
      </c>
      <c r="W909">
        <f>Source!Q176</f>
        <v>0</v>
      </c>
      <c r="X909">
        <f>Source!R176</f>
        <v>0</v>
      </c>
      <c r="Y909">
        <f>Source!U176</f>
        <v>0</v>
      </c>
      <c r="Z909">
        <f>Source!V176</f>
        <v>0</v>
      </c>
      <c r="AA909">
        <f>Source!X176</f>
        <v>0</v>
      </c>
      <c r="AB909">
        <f>Source!Y176</f>
        <v>0</v>
      </c>
    </row>
    <row r="910" spans="1:28" ht="14.25" x14ac:dyDescent="0.2">
      <c r="C910" s="26" t="s">
        <v>1833</v>
      </c>
      <c r="D910" s="26">
        <f>Source!BC176</f>
        <v>7.13</v>
      </c>
      <c r="F910" s="12"/>
      <c r="G910" s="12"/>
      <c r="H910" s="12"/>
    </row>
    <row r="911" spans="1:28" ht="28.5" x14ac:dyDescent="0.2">
      <c r="A911" s="50">
        <v>113</v>
      </c>
      <c r="B911" s="50" t="str">
        <f>Source!E177</f>
        <v>61,2</v>
      </c>
      <c r="C911" s="50" t="str">
        <f>Source!G177</f>
        <v>Розетка открытой проводки IP21</v>
      </c>
      <c r="D911" s="50" t="str">
        <f>Source!F177</f>
        <v>20.4.03.05-0001</v>
      </c>
      <c r="E911" s="35" t="str">
        <f>Source!H177</f>
        <v>100 шт.</v>
      </c>
      <c r="F911" s="12">
        <f>Source!I177</f>
        <v>0.24</v>
      </c>
      <c r="G911" s="25">
        <f>Source!AB177</f>
        <v>577</v>
      </c>
      <c r="H911" s="25">
        <f>Source!O177</f>
        <v>987.36</v>
      </c>
      <c r="T911">
        <f>Source!O177+Source!X177+Source!Y177</f>
        <v>987.36</v>
      </c>
      <c r="U911">
        <f>Source!P177</f>
        <v>987.36</v>
      </c>
      <c r="V911">
        <f>Source!S177</f>
        <v>0</v>
      </c>
      <c r="W911">
        <f>Source!Q177</f>
        <v>0</v>
      </c>
      <c r="X911">
        <f>Source!R177</f>
        <v>0</v>
      </c>
      <c r="Y911">
        <f>Source!U177</f>
        <v>0</v>
      </c>
      <c r="Z911">
        <f>Source!V177</f>
        <v>0</v>
      </c>
      <c r="AA911">
        <f>Source!X177</f>
        <v>0</v>
      </c>
      <c r="AB911">
        <f>Source!Y177</f>
        <v>0</v>
      </c>
    </row>
    <row r="912" spans="1:28" ht="14.25" x14ac:dyDescent="0.2">
      <c r="C912" s="26" t="s">
        <v>1833</v>
      </c>
      <c r="D912" s="26">
        <f>Source!BC177</f>
        <v>7.13</v>
      </c>
      <c r="F912" s="12"/>
      <c r="G912" s="12"/>
      <c r="H912" s="12"/>
    </row>
    <row r="913" spans="1:28" ht="28.5" x14ac:dyDescent="0.2">
      <c r="A913" s="50">
        <v>114</v>
      </c>
      <c r="B913" s="50" t="str">
        <f>Source!E178</f>
        <v>61,3</v>
      </c>
      <c r="C913" s="50" t="str">
        <f>Source!G178</f>
        <v>Розетка  трехфазная 3P+PE+N, 32А, 380, IP44</v>
      </c>
      <c r="D913" s="50" t="str">
        <f>Source!F178</f>
        <v>20.4.03.04-0005</v>
      </c>
      <c r="E913" s="35" t="str">
        <f>Source!H178</f>
        <v>100 шт.</v>
      </c>
      <c r="F913" s="12">
        <f>Source!I178</f>
        <v>0.02</v>
      </c>
      <c r="G913" s="25">
        <f>Source!AB178</f>
        <v>7615</v>
      </c>
      <c r="H913" s="25">
        <f>Source!O178</f>
        <v>1085.9000000000001</v>
      </c>
      <c r="T913">
        <f>Source!O178+Source!X178+Source!Y178</f>
        <v>1085.9000000000001</v>
      </c>
      <c r="U913">
        <f>Source!P178</f>
        <v>1085.9000000000001</v>
      </c>
      <c r="V913">
        <f>Source!S178</f>
        <v>0</v>
      </c>
      <c r="W913">
        <f>Source!Q178</f>
        <v>0</v>
      </c>
      <c r="X913">
        <f>Source!R178</f>
        <v>0</v>
      </c>
      <c r="Y913">
        <f>Source!U178</f>
        <v>0</v>
      </c>
      <c r="Z913">
        <f>Source!V178</f>
        <v>0</v>
      </c>
      <c r="AA913">
        <f>Source!X178</f>
        <v>0</v>
      </c>
      <c r="AB913">
        <f>Source!Y178</f>
        <v>0</v>
      </c>
    </row>
    <row r="914" spans="1:28" ht="14.25" x14ac:dyDescent="0.2">
      <c r="C914" s="26" t="s">
        <v>1833</v>
      </c>
      <c r="D914" s="26">
        <f>Source!BC178</f>
        <v>7.13</v>
      </c>
      <c r="F914" s="12"/>
      <c r="G914" s="12"/>
      <c r="H914" s="12"/>
    </row>
    <row r="915" spans="1:28" ht="28.5" x14ac:dyDescent="0.2">
      <c r="A915" s="50">
        <v>115</v>
      </c>
      <c r="B915" s="50" t="str">
        <f>Source!E179</f>
        <v>62</v>
      </c>
      <c r="C915" s="50" t="str">
        <f>Source!G179</f>
        <v>Прокладка короба пластмассового  шириной до 40 мм</v>
      </c>
      <c r="D915" s="50" t="str">
        <f>Source!F179</f>
        <v>м08-02-390-01</v>
      </c>
      <c r="E915" s="35" t="str">
        <f>Source!H179</f>
        <v>100 м</v>
      </c>
      <c r="F915" s="12">
        <f>Source!I179</f>
        <v>4.2</v>
      </c>
      <c r="G915" s="25">
        <f>Source!AB179</f>
        <v>206.76</v>
      </c>
      <c r="H915" s="25">
        <f>Source!O179</f>
        <v>6191.63</v>
      </c>
      <c r="T915">
        <f>Source!O179+Source!X179+Source!Y179</f>
        <v>13621.1</v>
      </c>
      <c r="U915">
        <f>Source!P179</f>
        <v>1543.12</v>
      </c>
      <c r="V915">
        <f>Source!S179</f>
        <v>4639.2299999999996</v>
      </c>
      <c r="W915">
        <f>Source!Q179</f>
        <v>9.2799999999999994</v>
      </c>
      <c r="X915">
        <f>Source!R179</f>
        <v>4.1900000000000004</v>
      </c>
      <c r="Y915">
        <f>Source!U179</f>
        <v>68.418000000000006</v>
      </c>
      <c r="Z915">
        <f>Source!V179</f>
        <v>4.2000000000000003E-2</v>
      </c>
      <c r="AA915">
        <f>Source!X179</f>
        <v>4411.25</v>
      </c>
      <c r="AB915">
        <f>Source!Y179</f>
        <v>3018.22</v>
      </c>
    </row>
    <row r="916" spans="1:28" ht="14.25" x14ac:dyDescent="0.2">
      <c r="C916" s="26" t="str">
        <f>"Объем: "&amp;Source!I179&amp;"=420/"&amp;"100"</f>
        <v>Объем: 4,2=420/100</v>
      </c>
      <c r="F916" s="12"/>
      <c r="G916" s="12"/>
      <c r="H916" s="12"/>
    </row>
    <row r="917" spans="1:28" x14ac:dyDescent="0.2">
      <c r="C917" s="26" t="s">
        <v>1831</v>
      </c>
      <c r="D917" s="26">
        <f>Source!BA179</f>
        <v>7.13</v>
      </c>
    </row>
    <row r="918" spans="1:28" x14ac:dyDescent="0.2">
      <c r="C918" s="26" t="s">
        <v>1832</v>
      </c>
      <c r="D918" s="26">
        <f>Source!BB179</f>
        <v>7.13</v>
      </c>
    </row>
    <row r="919" spans="1:28" x14ac:dyDescent="0.2">
      <c r="C919" s="26" t="s">
        <v>1833</v>
      </c>
      <c r="D919" s="26">
        <f>Source!BC179</f>
        <v>7.13</v>
      </c>
    </row>
    <row r="920" spans="1:28" x14ac:dyDescent="0.2">
      <c r="C920" s="26" t="s">
        <v>1834</v>
      </c>
      <c r="D920" s="26">
        <f>Source!BS179</f>
        <v>7.13</v>
      </c>
    </row>
    <row r="921" spans="1:28" x14ac:dyDescent="0.2">
      <c r="C921" s="9" t="s">
        <v>1835</v>
      </c>
      <c r="D921" s="38"/>
      <c r="E921" s="38"/>
      <c r="F921" s="38">
        <f>Source!BZ179</f>
        <v>95</v>
      </c>
      <c r="G921" s="61">
        <f>(Source!AF179+Source!AE179)*Source!FX179/100</f>
        <v>147.30699999999996</v>
      </c>
      <c r="H921" s="61">
        <f>Source!X179</f>
        <v>4411.25</v>
      </c>
    </row>
    <row r="922" spans="1:28" x14ac:dyDescent="0.2">
      <c r="C922" s="9" t="s">
        <v>1837</v>
      </c>
      <c r="D922" s="38"/>
      <c r="E922" s="38"/>
      <c r="F922" s="38">
        <f>Source!CA179</f>
        <v>65</v>
      </c>
      <c r="G922" s="61">
        <f>(Source!AF179+Source!AE179)*Source!FY179/100</f>
        <v>100.78899999999997</v>
      </c>
      <c r="H922" s="61">
        <f>Source!Y179</f>
        <v>3018.22</v>
      </c>
    </row>
    <row r="923" spans="1:28" x14ac:dyDescent="0.2">
      <c r="C923" s="9" t="s">
        <v>1839</v>
      </c>
      <c r="D923" s="38"/>
      <c r="E923" s="38"/>
      <c r="F923" s="38"/>
      <c r="G923" s="61">
        <f>((Source!AF179+Source!AE179)*Source!FX179/100)+((Source!AF179+Source!AE179)*Source!FY179/100)+Source!AB179</f>
        <v>454.85599999999994</v>
      </c>
      <c r="H923" s="61">
        <f>Source!O179+Source!X179+Source!Y179</f>
        <v>13621.1</v>
      </c>
    </row>
    <row r="924" spans="1:28" ht="28.5" x14ac:dyDescent="0.2">
      <c r="A924" s="50">
        <v>116</v>
      </c>
      <c r="B924" s="50" t="str">
        <f>Source!E180</f>
        <v>62,1</v>
      </c>
      <c r="C924" s="50" t="str">
        <f>Source!G180</f>
        <v>Кабель-канал (короб) "Электропласт" 20x12,5 мм</v>
      </c>
      <c r="D924" s="50" t="str">
        <f>Source!F180</f>
        <v>20.2.05.04-0024</v>
      </c>
      <c r="E924" s="35" t="str">
        <f>Source!H180</f>
        <v>100 м</v>
      </c>
      <c r="F924" s="12">
        <f>Source!I180</f>
        <v>3.09</v>
      </c>
      <c r="G924" s="25">
        <f>Source!AB180</f>
        <v>119</v>
      </c>
      <c r="H924" s="25">
        <f>Source!O180</f>
        <v>2621.77</v>
      </c>
      <c r="T924">
        <f>Source!O180+Source!X180+Source!Y180</f>
        <v>2621.77</v>
      </c>
      <c r="U924">
        <f>Source!P180</f>
        <v>2621.77</v>
      </c>
      <c r="V924">
        <f>Source!S180</f>
        <v>0</v>
      </c>
      <c r="W924">
        <f>Source!Q180</f>
        <v>0</v>
      </c>
      <c r="X924">
        <f>Source!R180</f>
        <v>0</v>
      </c>
      <c r="Y924">
        <f>Source!U180</f>
        <v>0</v>
      </c>
      <c r="Z924">
        <f>Source!V180</f>
        <v>0</v>
      </c>
      <c r="AA924">
        <f>Source!X180</f>
        <v>0</v>
      </c>
      <c r="AB924">
        <f>Source!Y180</f>
        <v>0</v>
      </c>
    </row>
    <row r="925" spans="1:28" ht="14.25" x14ac:dyDescent="0.2">
      <c r="C925" s="26" t="s">
        <v>1833</v>
      </c>
      <c r="D925" s="26">
        <f>Source!BC180</f>
        <v>7.13</v>
      </c>
      <c r="F925" s="12"/>
      <c r="G925" s="12"/>
      <c r="H925" s="12"/>
    </row>
    <row r="926" spans="1:28" ht="28.5" x14ac:dyDescent="0.2">
      <c r="A926" s="50">
        <v>117</v>
      </c>
      <c r="B926" s="50" t="str">
        <f>Source!E181</f>
        <v>62,2</v>
      </c>
      <c r="C926" s="50" t="str">
        <f>Source!G181</f>
        <v>Кабель-канал (короб) "Электропласт" 40x25 мм</v>
      </c>
      <c r="D926" s="50" t="str">
        <f>Source!F181</f>
        <v>20.2.05.04-0028</v>
      </c>
      <c r="E926" s="35" t="str">
        <f>Source!H181</f>
        <v>100 м</v>
      </c>
      <c r="F926" s="12">
        <f>Source!I181</f>
        <v>1.1100000000000001</v>
      </c>
      <c r="G926" s="25">
        <f>Source!AB181</f>
        <v>330</v>
      </c>
      <c r="H926" s="25">
        <f>Source!O181</f>
        <v>2611.7199999999998</v>
      </c>
      <c r="T926">
        <f>Source!O181+Source!X181+Source!Y181</f>
        <v>2611.7199999999998</v>
      </c>
      <c r="U926">
        <f>Source!P181</f>
        <v>2611.7199999999998</v>
      </c>
      <c r="V926">
        <f>Source!S181</f>
        <v>0</v>
      </c>
      <c r="W926">
        <f>Source!Q181</f>
        <v>0</v>
      </c>
      <c r="X926">
        <f>Source!R181</f>
        <v>0</v>
      </c>
      <c r="Y926">
        <f>Source!U181</f>
        <v>0</v>
      </c>
      <c r="Z926">
        <f>Source!V181</f>
        <v>0</v>
      </c>
      <c r="AA926">
        <f>Source!X181</f>
        <v>0</v>
      </c>
      <c r="AB926">
        <f>Source!Y181</f>
        <v>0</v>
      </c>
    </row>
    <row r="927" spans="1:28" ht="14.25" x14ac:dyDescent="0.2">
      <c r="C927" s="26" t="s">
        <v>1833</v>
      </c>
      <c r="D927" s="26">
        <f>Source!BC181</f>
        <v>7.13</v>
      </c>
      <c r="F927" s="12"/>
      <c r="G927" s="12"/>
      <c r="H927" s="12"/>
    </row>
    <row r="928" spans="1:28" ht="57" x14ac:dyDescent="0.2">
      <c r="A928" s="50">
        <v>118</v>
      </c>
      <c r="B928" s="50" t="str">
        <f>Source!E182</f>
        <v>63</v>
      </c>
      <c r="C928" s="50" t="str">
        <f>Source!G182</f>
        <v>Сверление отверстий в кирпичных стенах электроперфоратором диаметром до 50 мм, толщина стен  400мм</v>
      </c>
      <c r="D928" s="50" t="str">
        <f>Source!F182</f>
        <v>69-2-1</v>
      </c>
      <c r="E928" s="35" t="str">
        <f>Source!H182</f>
        <v>100 ШТ</v>
      </c>
      <c r="F928" s="12">
        <f>Source!I182</f>
        <v>0.17</v>
      </c>
      <c r="G928" s="25">
        <f>Source!AB182</f>
        <v>46.83</v>
      </c>
      <c r="H928" s="25">
        <f>Source!O182</f>
        <v>56.76</v>
      </c>
      <c r="T928">
        <f>Source!O182+Source!X182+Source!Y182</f>
        <v>129.41</v>
      </c>
      <c r="U928">
        <f>Source!P182</f>
        <v>0</v>
      </c>
      <c r="V928">
        <f>Source!S182</f>
        <v>56.76</v>
      </c>
      <c r="W928">
        <f>Source!Q182</f>
        <v>0</v>
      </c>
      <c r="X928">
        <f>Source!R182</f>
        <v>0</v>
      </c>
      <c r="Y928">
        <f>Source!U182</f>
        <v>0.93330000000000013</v>
      </c>
      <c r="Z928">
        <f>Source!V182</f>
        <v>0</v>
      </c>
      <c r="AA928">
        <f>Source!X182</f>
        <v>44.27</v>
      </c>
      <c r="AB928">
        <f>Source!Y182</f>
        <v>28.38</v>
      </c>
    </row>
    <row r="929" spans="1:28" ht="14.25" x14ac:dyDescent="0.2">
      <c r="C929" s="26" t="str">
        <f>"Объем: "&amp;Source!I182&amp;"=17/"&amp;"100"</f>
        <v>Объем: 0,17=17/100</v>
      </c>
      <c r="F929" s="12"/>
      <c r="G929" s="12"/>
      <c r="H929" s="12"/>
    </row>
    <row r="930" spans="1:28" x14ac:dyDescent="0.2">
      <c r="C930" s="26" t="s">
        <v>1831</v>
      </c>
      <c r="D930" s="26">
        <f>Source!BA182</f>
        <v>7.13</v>
      </c>
    </row>
    <row r="931" spans="1:28" x14ac:dyDescent="0.2">
      <c r="C931" s="26" t="s">
        <v>1832</v>
      </c>
      <c r="D931" s="26">
        <f>Source!BB182</f>
        <v>7.13</v>
      </c>
    </row>
    <row r="932" spans="1:28" x14ac:dyDescent="0.2">
      <c r="C932" s="26" t="s">
        <v>1833</v>
      </c>
      <c r="D932" s="26">
        <f>Source!BC182</f>
        <v>7.13</v>
      </c>
    </row>
    <row r="933" spans="1:28" x14ac:dyDescent="0.2">
      <c r="C933" s="26" t="s">
        <v>1834</v>
      </c>
      <c r="D933" s="26">
        <f>Source!BS182</f>
        <v>7.13</v>
      </c>
    </row>
    <row r="934" spans="1:28" x14ac:dyDescent="0.2">
      <c r="C934" s="9" t="s">
        <v>1835</v>
      </c>
      <c r="D934" s="38"/>
      <c r="E934" s="38"/>
      <c r="F934" s="38">
        <f>Source!BZ182</f>
        <v>78</v>
      </c>
      <c r="G934" s="61">
        <f>(Source!AF182+Source!AE182)*Source!FX182/100</f>
        <v>36.5274</v>
      </c>
      <c r="H934" s="61">
        <f>Source!X182</f>
        <v>44.27</v>
      </c>
    </row>
    <row r="935" spans="1:28" x14ac:dyDescent="0.2">
      <c r="C935" s="9" t="s">
        <v>1837</v>
      </c>
      <c r="D935" s="38"/>
      <c r="E935" s="38"/>
      <c r="F935" s="38">
        <f>Source!CA182</f>
        <v>50</v>
      </c>
      <c r="G935" s="61">
        <f>(Source!AF182+Source!AE182)*Source!FY182/100</f>
        <v>23.414999999999999</v>
      </c>
      <c r="H935" s="61">
        <f>Source!Y182</f>
        <v>28.38</v>
      </c>
    </row>
    <row r="936" spans="1:28" x14ac:dyDescent="0.2">
      <c r="C936" s="9" t="s">
        <v>1839</v>
      </c>
      <c r="D936" s="38"/>
      <c r="E936" s="38"/>
      <c r="F936" s="38"/>
      <c r="G936" s="61">
        <f>((Source!AF182+Source!AE182)*Source!FX182/100)+((Source!AF182+Source!AE182)*Source!FY182/100)+Source!AB182</f>
        <v>106.7724</v>
      </c>
      <c r="H936" s="61">
        <f>Source!O182+Source!X182+Source!Y182</f>
        <v>129.41</v>
      </c>
    </row>
    <row r="937" spans="1:28" ht="28.5" x14ac:dyDescent="0.2">
      <c r="A937" s="50">
        <v>119</v>
      </c>
      <c r="B937" s="50" t="str">
        <f>Source!E183</f>
        <v>64</v>
      </c>
      <c r="C937" s="50" t="str">
        <f>Source!G183</f>
        <v>Прокладка  гильз из труб полиэтиленовых , диаметр до 25 мм</v>
      </c>
      <c r="D937" s="50" t="str">
        <f>Source!F183</f>
        <v>м08-02-410-01</v>
      </c>
      <c r="E937" s="35" t="str">
        <f>Source!H183</f>
        <v>100 м</v>
      </c>
      <c r="F937" s="12">
        <f>Source!I183</f>
        <v>3.5999999999999997E-2</v>
      </c>
      <c r="G937" s="25">
        <f>Source!AB183</f>
        <v>223.79</v>
      </c>
      <c r="H937" s="25">
        <f>Source!O183</f>
        <v>57.43</v>
      </c>
      <c r="T937">
        <f>Source!O183+Source!X183+Source!Y183</f>
        <v>109.92999999999999</v>
      </c>
      <c r="U937">
        <f>Source!P183</f>
        <v>21.1</v>
      </c>
      <c r="V937">
        <f>Source!S183</f>
        <v>32.229999999999997</v>
      </c>
      <c r="W937">
        <f>Source!Q183</f>
        <v>4.0999999999999996</v>
      </c>
      <c r="X937">
        <f>Source!R183</f>
        <v>0.57999999999999996</v>
      </c>
      <c r="Y937">
        <f>Source!U183</f>
        <v>0.48095999999999994</v>
      </c>
      <c r="Z937">
        <f>Source!V183</f>
        <v>6.4799999999999996E-3</v>
      </c>
      <c r="AA937">
        <f>Source!X183</f>
        <v>31.17</v>
      </c>
      <c r="AB937">
        <f>Source!Y183</f>
        <v>21.33</v>
      </c>
    </row>
    <row r="938" spans="1:28" ht="14.25" x14ac:dyDescent="0.2">
      <c r="C938" s="26" t="str">
        <f>"Объем: "&amp;Source!I183&amp;"=3,6/"&amp;"100"</f>
        <v>Объем: 0,036=3,6/100</v>
      </c>
      <c r="F938" s="12"/>
      <c r="G938" s="12"/>
      <c r="H938" s="12"/>
    </row>
    <row r="939" spans="1:28" x14ac:dyDescent="0.2">
      <c r="C939" s="26" t="s">
        <v>1831</v>
      </c>
      <c r="D939" s="26">
        <f>Source!BA183</f>
        <v>7.13</v>
      </c>
    </row>
    <row r="940" spans="1:28" x14ac:dyDescent="0.2">
      <c r="C940" s="26" t="s">
        <v>1832</v>
      </c>
      <c r="D940" s="26">
        <f>Source!BB183</f>
        <v>7.13</v>
      </c>
    </row>
    <row r="941" spans="1:28" x14ac:dyDescent="0.2">
      <c r="C941" s="26" t="s">
        <v>1833</v>
      </c>
      <c r="D941" s="26">
        <f>Source!BC183</f>
        <v>7.13</v>
      </c>
    </row>
    <row r="942" spans="1:28" x14ac:dyDescent="0.2">
      <c r="C942" s="26" t="s">
        <v>1834</v>
      </c>
      <c r="D942" s="26">
        <f>Source!BS183</f>
        <v>7.13</v>
      </c>
    </row>
    <row r="943" spans="1:28" x14ac:dyDescent="0.2">
      <c r="C943" s="9" t="s">
        <v>1835</v>
      </c>
      <c r="D943" s="38"/>
      <c r="E943" s="38"/>
      <c r="F943" s="38">
        <f>Source!BZ183</f>
        <v>95</v>
      </c>
      <c r="G943" s="61">
        <f>(Source!AF183+Source!AE183)*Source!FX183/100</f>
        <v>121.44800000000001</v>
      </c>
      <c r="H943" s="61">
        <f>Source!X183</f>
        <v>31.17</v>
      </c>
    </row>
    <row r="944" spans="1:28" x14ac:dyDescent="0.2">
      <c r="C944" s="9" t="s">
        <v>1837</v>
      </c>
      <c r="D944" s="38"/>
      <c r="E944" s="38"/>
      <c r="F944" s="38">
        <f>Source!CA183</f>
        <v>65</v>
      </c>
      <c r="G944" s="61">
        <f>(Source!AF183+Source!AE183)*Source!FY183/100</f>
        <v>83.096000000000004</v>
      </c>
      <c r="H944" s="61">
        <f>Source!Y183</f>
        <v>21.33</v>
      </c>
    </row>
    <row r="945" spans="1:28" x14ac:dyDescent="0.2">
      <c r="C945" s="9" t="s">
        <v>1839</v>
      </c>
      <c r="D945" s="38"/>
      <c r="E945" s="38"/>
      <c r="F945" s="38"/>
      <c r="G945" s="61">
        <f>((Source!AF183+Source!AE183)*Source!FX183/100)+((Source!AF183+Source!AE183)*Source!FY183/100)+Source!AB183</f>
        <v>428.334</v>
      </c>
      <c r="H945" s="61">
        <f>Source!O183+Source!X183+Source!Y183</f>
        <v>109.92999999999999</v>
      </c>
    </row>
    <row r="946" spans="1:28" ht="28.5" x14ac:dyDescent="0.2">
      <c r="A946" s="50">
        <v>120</v>
      </c>
      <c r="B946" s="50" t="str">
        <f>Source!E184</f>
        <v>64,1</v>
      </c>
      <c r="C946" s="50" t="str">
        <f>Source!G184</f>
        <v>Гильзы  для прокладки кабеля  диаметром 25-27 мм</v>
      </c>
      <c r="D946" s="50" t="str">
        <f>Source!F184</f>
        <v>20.5.01.01-0001</v>
      </c>
      <c r="E946" s="35" t="str">
        <f>Source!H184</f>
        <v>шт.</v>
      </c>
      <c r="F946" s="12">
        <f>Source!I184</f>
        <v>3</v>
      </c>
      <c r="G946" s="25">
        <f>Source!AB184</f>
        <v>38.21</v>
      </c>
      <c r="H946" s="25">
        <f>Source!O184</f>
        <v>817.31</v>
      </c>
      <c r="T946">
        <f>Source!O184+Source!X184+Source!Y184</f>
        <v>817.31</v>
      </c>
      <c r="U946">
        <f>Source!P184</f>
        <v>817.31</v>
      </c>
      <c r="V946">
        <f>Source!S184</f>
        <v>0</v>
      </c>
      <c r="W946">
        <f>Source!Q184</f>
        <v>0</v>
      </c>
      <c r="X946">
        <f>Source!R184</f>
        <v>0</v>
      </c>
      <c r="Y946">
        <f>Source!U184</f>
        <v>0</v>
      </c>
      <c r="Z946">
        <f>Source!V184</f>
        <v>0</v>
      </c>
      <c r="AA946">
        <f>Source!X184</f>
        <v>0</v>
      </c>
      <c r="AB946">
        <f>Source!Y184</f>
        <v>0</v>
      </c>
    </row>
    <row r="947" spans="1:28" ht="14.25" x14ac:dyDescent="0.2">
      <c r="C947" s="26" t="s">
        <v>1833</v>
      </c>
      <c r="D947" s="26">
        <f>Source!BC184</f>
        <v>7.13</v>
      </c>
      <c r="F947" s="12"/>
      <c r="G947" s="12"/>
      <c r="H947" s="12"/>
    </row>
    <row r="948" spans="1:28" ht="28.5" x14ac:dyDescent="0.2">
      <c r="A948" s="50">
        <v>121</v>
      </c>
      <c r="B948" s="50" t="str">
        <f>Source!E185</f>
        <v>65</v>
      </c>
      <c r="C948" s="50" t="str">
        <f>Source!G185</f>
        <v>Прокладка  гильз из труб полиэтиленовых , диаметр до 50 мм</v>
      </c>
      <c r="D948" s="50" t="str">
        <f>Source!F185</f>
        <v>м08-02-410-02</v>
      </c>
      <c r="E948" s="35" t="str">
        <f>Source!H185</f>
        <v>100 м</v>
      </c>
      <c r="F948" s="12">
        <f>Source!I185</f>
        <v>1.6E-2</v>
      </c>
      <c r="G948" s="25">
        <f>Source!AB185</f>
        <v>250.92</v>
      </c>
      <c r="H948" s="25">
        <f>Source!O185</f>
        <v>28.63</v>
      </c>
      <c r="T948">
        <f>Source!O185+Source!X185+Source!Y185</f>
        <v>55.36</v>
      </c>
      <c r="U948">
        <f>Source!P185</f>
        <v>10.01</v>
      </c>
      <c r="V948">
        <f>Source!S185</f>
        <v>16.39</v>
      </c>
      <c r="W948">
        <f>Source!Q185</f>
        <v>2.23</v>
      </c>
      <c r="X948">
        <f>Source!R185</f>
        <v>0.32</v>
      </c>
      <c r="Y948">
        <f>Source!U185</f>
        <v>0.24448</v>
      </c>
      <c r="Z948">
        <f>Source!V185</f>
        <v>3.5200000000000001E-3</v>
      </c>
      <c r="AA948">
        <f>Source!X185</f>
        <v>15.87</v>
      </c>
      <c r="AB948">
        <f>Source!Y185</f>
        <v>10.86</v>
      </c>
    </row>
    <row r="949" spans="1:28" ht="14.25" x14ac:dyDescent="0.2">
      <c r="C949" s="26" t="str">
        <f>"Объем: "&amp;Source!I185&amp;"=1,6/"&amp;"100"</f>
        <v>Объем: 0,016=1,6/100</v>
      </c>
      <c r="F949" s="12"/>
      <c r="G949" s="12"/>
      <c r="H949" s="12"/>
    </row>
    <row r="950" spans="1:28" x14ac:dyDescent="0.2">
      <c r="C950" s="26" t="s">
        <v>1831</v>
      </c>
      <c r="D950" s="26">
        <f>Source!BA185</f>
        <v>7.13</v>
      </c>
    </row>
    <row r="951" spans="1:28" x14ac:dyDescent="0.2">
      <c r="C951" s="26" t="s">
        <v>1832</v>
      </c>
      <c r="D951" s="26">
        <f>Source!BB185</f>
        <v>7.13</v>
      </c>
    </row>
    <row r="952" spans="1:28" x14ac:dyDescent="0.2">
      <c r="C952" s="26" t="s">
        <v>1833</v>
      </c>
      <c r="D952" s="26">
        <f>Source!BC185</f>
        <v>7.13</v>
      </c>
    </row>
    <row r="953" spans="1:28" x14ac:dyDescent="0.2">
      <c r="C953" s="26" t="s">
        <v>1834</v>
      </c>
      <c r="D953" s="26">
        <f>Source!BS185</f>
        <v>7.13</v>
      </c>
    </row>
    <row r="954" spans="1:28" x14ac:dyDescent="0.2">
      <c r="C954" s="9" t="s">
        <v>1835</v>
      </c>
      <c r="D954" s="38"/>
      <c r="E954" s="38"/>
      <c r="F954" s="38">
        <f>Source!BZ185</f>
        <v>95</v>
      </c>
      <c r="G954" s="61">
        <f>(Source!AF185+Source!AE185)*Source!FX185/100</f>
        <v>139.08000000000001</v>
      </c>
      <c r="H954" s="61">
        <f>Source!X185</f>
        <v>15.87</v>
      </c>
    </row>
    <row r="955" spans="1:28" x14ac:dyDescent="0.2">
      <c r="C955" s="9" t="s">
        <v>1837</v>
      </c>
      <c r="D955" s="38"/>
      <c r="E955" s="38"/>
      <c r="F955" s="38">
        <f>Source!CA185</f>
        <v>65</v>
      </c>
      <c r="G955" s="61">
        <f>(Source!AF185+Source!AE185)*Source!FY185/100</f>
        <v>95.16</v>
      </c>
      <c r="H955" s="61">
        <f>Source!Y185</f>
        <v>10.86</v>
      </c>
    </row>
    <row r="956" spans="1:28" x14ac:dyDescent="0.2">
      <c r="C956" s="9" t="s">
        <v>1839</v>
      </c>
      <c r="D956" s="38"/>
      <c r="E956" s="38"/>
      <c r="F956" s="38"/>
      <c r="G956" s="61">
        <f>((Source!AF185+Source!AE185)*Source!FX185/100)+((Source!AF185+Source!AE185)*Source!FY185/100)+Source!AB185</f>
        <v>485.15999999999997</v>
      </c>
      <c r="H956" s="61">
        <f>Source!O185+Source!X185+Source!Y185</f>
        <v>55.36</v>
      </c>
    </row>
    <row r="957" spans="1:28" ht="28.5" x14ac:dyDescent="0.2">
      <c r="A957" s="50">
        <v>122</v>
      </c>
      <c r="B957" s="50" t="str">
        <f>Source!E186</f>
        <v>65,1</v>
      </c>
      <c r="C957" s="50" t="str">
        <f>Source!G186</f>
        <v>Гильзы  для  прокладки  кабеля  диаметром 47-50 мм</v>
      </c>
      <c r="D957" s="50" t="str">
        <f>Source!F186</f>
        <v>20.5.01.01-0007</v>
      </c>
      <c r="E957" s="35" t="str">
        <f>Source!H186</f>
        <v>шт.</v>
      </c>
      <c r="F957" s="12">
        <f>Source!I186</f>
        <v>3</v>
      </c>
      <c r="G957" s="25">
        <f>Source!AB186</f>
        <v>74.91</v>
      </c>
      <c r="H957" s="25">
        <f>Source!O186</f>
        <v>1602.32</v>
      </c>
      <c r="T957">
        <f>Source!O186+Source!X186+Source!Y186</f>
        <v>1602.32</v>
      </c>
      <c r="U957">
        <f>Source!P186</f>
        <v>1602.32</v>
      </c>
      <c r="V957">
        <f>Source!S186</f>
        <v>0</v>
      </c>
      <c r="W957">
        <f>Source!Q186</f>
        <v>0</v>
      </c>
      <c r="X957">
        <f>Source!R186</f>
        <v>0</v>
      </c>
      <c r="Y957">
        <f>Source!U186</f>
        <v>0</v>
      </c>
      <c r="Z957">
        <f>Source!V186</f>
        <v>0</v>
      </c>
      <c r="AA957">
        <f>Source!X186</f>
        <v>0</v>
      </c>
      <c r="AB957">
        <f>Source!Y186</f>
        <v>0</v>
      </c>
    </row>
    <row r="958" spans="1:28" ht="14.25" x14ac:dyDescent="0.2">
      <c r="C958" s="26" t="s">
        <v>1833</v>
      </c>
      <c r="D958" s="26">
        <f>Source!BC186</f>
        <v>7.13</v>
      </c>
      <c r="F958" s="12"/>
      <c r="G958" s="12"/>
      <c r="H958" s="12"/>
    </row>
    <row r="959" spans="1:28" ht="28.5" x14ac:dyDescent="0.2">
      <c r="A959" s="50">
        <v>123</v>
      </c>
      <c r="B959" s="50" t="str">
        <f>Source!E187</f>
        <v>66</v>
      </c>
      <c r="C959" s="50" t="str">
        <f>Source!G187</f>
        <v>Установка коробок ответвительная на стене</v>
      </c>
      <c r="D959" s="50" t="str">
        <f>Source!F187</f>
        <v>м10-08-019-01</v>
      </c>
      <c r="E959" s="35" t="str">
        <f>Source!H187</f>
        <v>ШТ</v>
      </c>
      <c r="F959" s="12">
        <f>Source!I187</f>
        <v>29</v>
      </c>
      <c r="G959" s="25">
        <f>Source!AB187</f>
        <v>5.29</v>
      </c>
      <c r="H959" s="25">
        <f>Source!O187</f>
        <v>1093.82</v>
      </c>
      <c r="T959">
        <f>Source!O187+Source!X187+Source!Y187</f>
        <v>2506.4699999999998</v>
      </c>
      <c r="U959">
        <f>Source!P187</f>
        <v>84.78</v>
      </c>
      <c r="V959">
        <f>Source!S187</f>
        <v>1009.04</v>
      </c>
      <c r="W959">
        <f>Source!Q187</f>
        <v>0</v>
      </c>
      <c r="X959">
        <f>Source!R187</f>
        <v>0</v>
      </c>
      <c r="Y959">
        <f>Source!U187</f>
        <v>14.5</v>
      </c>
      <c r="Z959">
        <f>Source!V187</f>
        <v>0</v>
      </c>
      <c r="AA959">
        <f>Source!X187</f>
        <v>807.23</v>
      </c>
      <c r="AB959">
        <f>Source!Y187</f>
        <v>605.41999999999996</v>
      </c>
    </row>
    <row r="960" spans="1:28" ht="14.25" x14ac:dyDescent="0.2">
      <c r="C960" s="26" t="s">
        <v>1831</v>
      </c>
      <c r="D960" s="26">
        <f>Source!BA187</f>
        <v>7.13</v>
      </c>
      <c r="F960" s="12"/>
      <c r="G960" s="12"/>
      <c r="H960" s="12"/>
    </row>
    <row r="961" spans="1:28" x14ac:dyDescent="0.2">
      <c r="C961" s="26" t="s">
        <v>1832</v>
      </c>
      <c r="D961" s="26">
        <f>Source!BB187</f>
        <v>7.13</v>
      </c>
    </row>
    <row r="962" spans="1:28" x14ac:dyDescent="0.2">
      <c r="C962" s="26" t="s">
        <v>1833</v>
      </c>
      <c r="D962" s="26">
        <f>Source!BC187</f>
        <v>7.13</v>
      </c>
    </row>
    <row r="963" spans="1:28" x14ac:dyDescent="0.2">
      <c r="C963" s="26" t="s">
        <v>1834</v>
      </c>
      <c r="D963" s="26">
        <f>Source!BS187</f>
        <v>7.13</v>
      </c>
    </row>
    <row r="964" spans="1:28" x14ac:dyDescent="0.2">
      <c r="C964" s="9" t="s">
        <v>1835</v>
      </c>
      <c r="D964" s="38"/>
      <c r="E964" s="38"/>
      <c r="F964" s="38">
        <f>Source!BZ187</f>
        <v>80</v>
      </c>
      <c r="G964" s="61">
        <f>(Source!AF187+Source!AE187)*Source!FX187/100</f>
        <v>3.9039999999999999</v>
      </c>
      <c r="H964" s="61">
        <f>Source!X187</f>
        <v>807.23</v>
      </c>
    </row>
    <row r="965" spans="1:28" x14ac:dyDescent="0.2">
      <c r="C965" s="9" t="s">
        <v>1837</v>
      </c>
      <c r="D965" s="38"/>
      <c r="E965" s="38"/>
      <c r="F965" s="38">
        <f>Source!CA187</f>
        <v>60</v>
      </c>
      <c r="G965" s="61">
        <f>(Source!AF187+Source!AE187)*Source!FY187/100</f>
        <v>2.9279999999999999</v>
      </c>
      <c r="H965" s="61">
        <f>Source!Y187</f>
        <v>605.41999999999996</v>
      </c>
    </row>
    <row r="966" spans="1:28" x14ac:dyDescent="0.2">
      <c r="C966" s="9" t="s">
        <v>1839</v>
      </c>
      <c r="D966" s="38"/>
      <c r="E966" s="38"/>
      <c r="F966" s="38"/>
      <c r="G966" s="61">
        <f>((Source!AF187+Source!AE187)*Source!FX187/100)+((Source!AF187+Source!AE187)*Source!FY187/100)+Source!AB187</f>
        <v>12.122</v>
      </c>
      <c r="H966" s="61">
        <f>Source!O187+Source!X187+Source!Y187</f>
        <v>2506.4699999999998</v>
      </c>
    </row>
    <row r="967" spans="1:28" ht="57" x14ac:dyDescent="0.2">
      <c r="A967" s="50">
        <v>124</v>
      </c>
      <c r="B967" s="50" t="str">
        <f>Source!E188</f>
        <v>66,1</v>
      </c>
      <c r="C967" s="50" t="str">
        <f>Source!G188</f>
        <v>Коробка ответвительная с кабельными вводами (6 выводов диаметром 20 мм), размером 80х80х40 мм, цвет серый</v>
      </c>
      <c r="D967" s="50" t="str">
        <f>Source!F188</f>
        <v>20.5.02.04-0008</v>
      </c>
      <c r="E967" s="35" t="str">
        <f>Source!H188</f>
        <v>10 шт.</v>
      </c>
      <c r="F967" s="12">
        <f>Source!I188</f>
        <v>2.9</v>
      </c>
      <c r="G967" s="25">
        <f>Source!AB188</f>
        <v>132.24</v>
      </c>
      <c r="H967" s="25">
        <f>Source!O188</f>
        <v>2734.33</v>
      </c>
      <c r="T967">
        <f>Source!O188+Source!X188+Source!Y188</f>
        <v>2734.33</v>
      </c>
      <c r="U967">
        <f>Source!P188</f>
        <v>2734.33</v>
      </c>
      <c r="V967">
        <f>Source!S188</f>
        <v>0</v>
      </c>
      <c r="W967">
        <f>Source!Q188</f>
        <v>0</v>
      </c>
      <c r="X967">
        <f>Source!R188</f>
        <v>0</v>
      </c>
      <c r="Y967">
        <f>Source!U188</f>
        <v>0</v>
      </c>
      <c r="Z967">
        <f>Source!V188</f>
        <v>0</v>
      </c>
      <c r="AA967">
        <f>Source!X188</f>
        <v>0</v>
      </c>
      <c r="AB967">
        <f>Source!Y188</f>
        <v>0</v>
      </c>
    </row>
    <row r="968" spans="1:28" ht="14.25" x14ac:dyDescent="0.2">
      <c r="C968" s="26" t="s">
        <v>1833</v>
      </c>
      <c r="D968" s="26">
        <f>Source!BC188</f>
        <v>7.13</v>
      </c>
      <c r="F968" s="12"/>
      <c r="G968" s="12"/>
      <c r="H968" s="12"/>
    </row>
    <row r="969" spans="1:28" ht="28.5" x14ac:dyDescent="0.2">
      <c r="A969" s="50">
        <v>125</v>
      </c>
      <c r="B969" s="50" t="str">
        <f>Source!E189</f>
        <v>67</v>
      </c>
      <c r="C969" s="50" t="str">
        <f>Source!G189</f>
        <v>Прокладка кабеля в коробах, сечением до 35 мм2</v>
      </c>
      <c r="D969" s="50" t="str">
        <f>Source!F189</f>
        <v>м08-02-399-02</v>
      </c>
      <c r="E969" s="35" t="str">
        <f>Source!H189</f>
        <v>100 м</v>
      </c>
      <c r="F969" s="12">
        <f>Source!I189</f>
        <v>2.73</v>
      </c>
      <c r="G969" s="25">
        <f>Source!AB189</f>
        <v>50.72</v>
      </c>
      <c r="H969" s="25">
        <f>Source!O189</f>
        <v>987.26</v>
      </c>
      <c r="T969">
        <f>Source!O189+Source!X189+Source!Y189</f>
        <v>2095.98</v>
      </c>
      <c r="U969">
        <f>Source!P189</f>
        <v>264.72000000000003</v>
      </c>
      <c r="V969">
        <f>Source!S189</f>
        <v>687.89</v>
      </c>
      <c r="W969">
        <f>Source!Q189</f>
        <v>34.65</v>
      </c>
      <c r="X969">
        <f>Source!R189</f>
        <v>5.0599999999999996</v>
      </c>
      <c r="Y969">
        <f>Source!U189</f>
        <v>10.264799999999999</v>
      </c>
      <c r="Z969">
        <f>Source!V189</f>
        <v>5.4600000000000003E-2</v>
      </c>
      <c r="AA969">
        <f>Source!X189</f>
        <v>658.3</v>
      </c>
      <c r="AB969">
        <f>Source!Y189</f>
        <v>450.42</v>
      </c>
    </row>
    <row r="970" spans="1:28" ht="14.25" x14ac:dyDescent="0.2">
      <c r="C970" s="26" t="str">
        <f>"Объем: "&amp;Source!I189&amp;"=273/"&amp;"100"</f>
        <v>Объем: 2,73=273/100</v>
      </c>
      <c r="F970" s="12"/>
      <c r="G970" s="12"/>
      <c r="H970" s="12"/>
    </row>
    <row r="971" spans="1:28" x14ac:dyDescent="0.2">
      <c r="C971" s="26" t="s">
        <v>1831</v>
      </c>
      <c r="D971" s="26">
        <f>Source!BA189</f>
        <v>7.13</v>
      </c>
    </row>
    <row r="972" spans="1:28" x14ac:dyDescent="0.2">
      <c r="C972" s="26" t="s">
        <v>1832</v>
      </c>
      <c r="D972" s="26">
        <f>Source!BB189</f>
        <v>7.13</v>
      </c>
    </row>
    <row r="973" spans="1:28" x14ac:dyDescent="0.2">
      <c r="C973" s="26" t="s">
        <v>1833</v>
      </c>
      <c r="D973" s="26">
        <f>Source!BC189</f>
        <v>7.13</v>
      </c>
    </row>
    <row r="974" spans="1:28" x14ac:dyDescent="0.2">
      <c r="C974" s="26" t="s">
        <v>1834</v>
      </c>
      <c r="D974" s="26">
        <f>Source!BS189</f>
        <v>7.13</v>
      </c>
    </row>
    <row r="975" spans="1:28" x14ac:dyDescent="0.2">
      <c r="C975" s="9" t="s">
        <v>1835</v>
      </c>
      <c r="D975" s="38"/>
      <c r="E975" s="38"/>
      <c r="F975" s="38">
        <f>Source!BZ189</f>
        <v>95</v>
      </c>
      <c r="G975" s="61">
        <f>(Source!AF189+Source!AE189)*Source!FX189/100</f>
        <v>33.82</v>
      </c>
      <c r="H975" s="61">
        <f>Source!X189</f>
        <v>658.3</v>
      </c>
    </row>
    <row r="976" spans="1:28" x14ac:dyDescent="0.2">
      <c r="C976" s="9" t="s">
        <v>1837</v>
      </c>
      <c r="D976" s="38"/>
      <c r="E976" s="38"/>
      <c r="F976" s="38">
        <f>Source!CA189</f>
        <v>65</v>
      </c>
      <c r="G976" s="61">
        <f>(Source!AF189+Source!AE189)*Source!FY189/100</f>
        <v>23.14</v>
      </c>
      <c r="H976" s="61">
        <f>Source!Y189</f>
        <v>450.42</v>
      </c>
    </row>
    <row r="977" spans="1:28" x14ac:dyDescent="0.2">
      <c r="C977" s="9" t="s">
        <v>1839</v>
      </c>
      <c r="D977" s="38"/>
      <c r="E977" s="38"/>
      <c r="F977" s="38"/>
      <c r="G977" s="61">
        <f>((Source!AF189+Source!AE189)*Source!FX189/100)+((Source!AF189+Source!AE189)*Source!FY189/100)+Source!AB189</f>
        <v>107.68</v>
      </c>
      <c r="H977" s="61">
        <f>Source!O189+Source!X189+Source!Y189</f>
        <v>2095.98</v>
      </c>
    </row>
    <row r="978" spans="1:28" ht="85.5" x14ac:dyDescent="0.2">
      <c r="A978" s="50">
        <v>126</v>
      </c>
      <c r="B978" s="50" t="str">
        <f>Source!E190</f>
        <v>67,1</v>
      </c>
      <c r="C978" s="50" t="str">
        <f>Source!G190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978" s="50" t="str">
        <f>Source!F190</f>
        <v>21.1.06.09-0152</v>
      </c>
      <c r="E978" s="35" t="str">
        <f>Source!H190</f>
        <v>1000 м</v>
      </c>
      <c r="F978" s="12">
        <f>Source!I190</f>
        <v>0.23100000000000001</v>
      </c>
      <c r="G978" s="25">
        <f>Source!AB190</f>
        <v>6920.41</v>
      </c>
      <c r="H978" s="25">
        <f>Source!O190</f>
        <v>11398.12</v>
      </c>
      <c r="T978">
        <f>Source!O190+Source!X190+Source!Y190</f>
        <v>11398.12</v>
      </c>
      <c r="U978">
        <f>Source!P190</f>
        <v>11398.12</v>
      </c>
      <c r="V978">
        <f>Source!S190</f>
        <v>0</v>
      </c>
      <c r="W978">
        <f>Source!Q190</f>
        <v>0</v>
      </c>
      <c r="X978">
        <f>Source!R190</f>
        <v>0</v>
      </c>
      <c r="Y978">
        <f>Source!U190</f>
        <v>0</v>
      </c>
      <c r="Z978">
        <f>Source!V190</f>
        <v>0</v>
      </c>
      <c r="AA978">
        <f>Source!X190</f>
        <v>0</v>
      </c>
      <c r="AB978">
        <f>Source!Y190</f>
        <v>0</v>
      </c>
    </row>
    <row r="979" spans="1:28" ht="14.25" x14ac:dyDescent="0.2">
      <c r="C979" s="26" t="s">
        <v>1833</v>
      </c>
      <c r="D979" s="26">
        <f>Source!BC190</f>
        <v>7.13</v>
      </c>
      <c r="F979" s="12"/>
      <c r="G979" s="12"/>
      <c r="H979" s="12"/>
    </row>
    <row r="980" spans="1:28" ht="85.5" x14ac:dyDescent="0.2">
      <c r="A980" s="50">
        <v>127</v>
      </c>
      <c r="B980" s="50" t="str">
        <f>Source!E191</f>
        <v>67,2</v>
      </c>
      <c r="C980" s="50" t="str">
        <f>Source!G191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6 мм2</v>
      </c>
      <c r="D980" s="50" t="str">
        <f>Source!F191</f>
        <v>21.1.06.09-0154</v>
      </c>
      <c r="E980" s="35" t="str">
        <f>Source!H191</f>
        <v>1000 м</v>
      </c>
      <c r="F980" s="12">
        <f>Source!I191</f>
        <v>0.02</v>
      </c>
      <c r="G980" s="25">
        <f>Source!AB191</f>
        <v>15727.78</v>
      </c>
      <c r="H980" s="25">
        <f>Source!O191</f>
        <v>2242.7800000000002</v>
      </c>
      <c r="T980">
        <f>Source!O191+Source!X191+Source!Y191</f>
        <v>2242.7800000000002</v>
      </c>
      <c r="U980">
        <f>Source!P191</f>
        <v>2242.7800000000002</v>
      </c>
      <c r="V980">
        <f>Source!S191</f>
        <v>0</v>
      </c>
      <c r="W980">
        <f>Source!Q191</f>
        <v>0</v>
      </c>
      <c r="X980">
        <f>Source!R191</f>
        <v>0</v>
      </c>
      <c r="Y980">
        <f>Source!U191</f>
        <v>0</v>
      </c>
      <c r="Z980">
        <f>Source!V191</f>
        <v>0</v>
      </c>
      <c r="AA980">
        <f>Source!X191</f>
        <v>0</v>
      </c>
      <c r="AB980">
        <f>Source!Y191</f>
        <v>0</v>
      </c>
    </row>
    <row r="981" spans="1:28" ht="14.25" x14ac:dyDescent="0.2">
      <c r="C981" s="26" t="s">
        <v>1833</v>
      </c>
      <c r="D981" s="26">
        <f>Source!BC191</f>
        <v>7.13</v>
      </c>
      <c r="F981" s="12"/>
      <c r="G981" s="12"/>
      <c r="H981" s="12"/>
    </row>
    <row r="982" spans="1:28" ht="85.5" x14ac:dyDescent="0.2">
      <c r="A982" s="50">
        <v>128</v>
      </c>
      <c r="B982" s="50" t="str">
        <f>Source!E192</f>
        <v>67,3</v>
      </c>
      <c r="C982" s="50" t="str">
        <f>Source!G192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10 мм2</v>
      </c>
      <c r="D982" s="50" t="str">
        <f>Source!F192</f>
        <v>21.1.06.09-0155</v>
      </c>
      <c r="E982" s="35" t="str">
        <f>Source!H192</f>
        <v>1000 м</v>
      </c>
      <c r="F982" s="12">
        <f>Source!I192</f>
        <v>2.1999999999999999E-2</v>
      </c>
      <c r="G982" s="25">
        <f>Source!AB192</f>
        <v>27843.17</v>
      </c>
      <c r="H982" s="25">
        <f>Source!O192</f>
        <v>4367.4799999999996</v>
      </c>
      <c r="T982">
        <f>Source!O192+Source!X192+Source!Y192</f>
        <v>4367.4799999999996</v>
      </c>
      <c r="U982">
        <f>Source!P192</f>
        <v>4367.4799999999996</v>
      </c>
      <c r="V982">
        <f>Source!S192</f>
        <v>0</v>
      </c>
      <c r="W982">
        <f>Source!Q192</f>
        <v>0</v>
      </c>
      <c r="X982">
        <f>Source!R192</f>
        <v>0</v>
      </c>
      <c r="Y982">
        <f>Source!U192</f>
        <v>0</v>
      </c>
      <c r="Z982">
        <f>Source!V192</f>
        <v>0</v>
      </c>
      <c r="AA982">
        <f>Source!X192</f>
        <v>0</v>
      </c>
      <c r="AB982">
        <f>Source!Y192</f>
        <v>0</v>
      </c>
    </row>
    <row r="983" spans="1:28" ht="14.25" x14ac:dyDescent="0.2">
      <c r="C983" s="26" t="s">
        <v>1833</v>
      </c>
      <c r="D983" s="26">
        <f>Source!BC192</f>
        <v>7.13</v>
      </c>
      <c r="F983" s="12"/>
      <c r="G983" s="12"/>
      <c r="H983" s="12"/>
    </row>
    <row r="984" spans="1:28" ht="28.5" x14ac:dyDescent="0.2">
      <c r="A984" s="50">
        <v>129</v>
      </c>
      <c r="B984" s="50" t="str">
        <f>Source!E193</f>
        <v>68</v>
      </c>
      <c r="C984" s="50" t="str">
        <f>Source!G193</f>
        <v>Прокладка  кабеля  в коробах, сечением до 6 мм2</v>
      </c>
      <c r="D984" s="50" t="str">
        <f>Source!F193</f>
        <v>м08-02-399-01</v>
      </c>
      <c r="E984" s="35" t="str">
        <f>Source!H193</f>
        <v>100 м</v>
      </c>
      <c r="F984" s="12">
        <f>Source!I193</f>
        <v>1.665</v>
      </c>
      <c r="G984" s="25">
        <f>Source!AB193</f>
        <v>41.11</v>
      </c>
      <c r="H984" s="25">
        <f>Source!O193</f>
        <v>488.03</v>
      </c>
      <c r="T984">
        <f>Source!O193+Source!X193+Source!Y193</f>
        <v>996.51</v>
      </c>
      <c r="U984">
        <f>Source!P193</f>
        <v>152.19</v>
      </c>
      <c r="V984">
        <f>Source!S193</f>
        <v>314.70999999999998</v>
      </c>
      <c r="W984">
        <f>Source!Q193</f>
        <v>21.13</v>
      </c>
      <c r="X984">
        <f>Source!R193</f>
        <v>3.09</v>
      </c>
      <c r="Y984">
        <f>Source!U193</f>
        <v>4.6952999999999996</v>
      </c>
      <c r="Z984">
        <f>Source!V193</f>
        <v>3.3300000000000003E-2</v>
      </c>
      <c r="AA984">
        <f>Source!X193</f>
        <v>301.91000000000003</v>
      </c>
      <c r="AB984">
        <f>Source!Y193</f>
        <v>206.57</v>
      </c>
    </row>
    <row r="985" spans="1:28" ht="14.25" x14ac:dyDescent="0.2">
      <c r="C985" s="26" t="str">
        <f>"Объем: "&amp;Source!I193&amp;"=166,5/"&amp;"100"</f>
        <v>Объем: 1,665=166,5/100</v>
      </c>
      <c r="F985" s="12"/>
      <c r="G985" s="12"/>
      <c r="H985" s="12"/>
    </row>
    <row r="986" spans="1:28" x14ac:dyDescent="0.2">
      <c r="C986" s="26" t="s">
        <v>1831</v>
      </c>
      <c r="D986" s="26">
        <f>Source!BA193</f>
        <v>7.13</v>
      </c>
    </row>
    <row r="987" spans="1:28" x14ac:dyDescent="0.2">
      <c r="C987" s="26" t="s">
        <v>1832</v>
      </c>
      <c r="D987" s="26">
        <f>Source!BB193</f>
        <v>7.13</v>
      </c>
    </row>
    <row r="988" spans="1:28" x14ac:dyDescent="0.2">
      <c r="C988" s="26" t="s">
        <v>1833</v>
      </c>
      <c r="D988" s="26">
        <f>Source!BC193</f>
        <v>7.13</v>
      </c>
    </row>
    <row r="989" spans="1:28" x14ac:dyDescent="0.2">
      <c r="C989" s="26" t="s">
        <v>1834</v>
      </c>
      <c r="D989" s="26">
        <f>Source!BS193</f>
        <v>7.13</v>
      </c>
    </row>
    <row r="990" spans="1:28" x14ac:dyDescent="0.2">
      <c r="C990" s="9" t="s">
        <v>1835</v>
      </c>
      <c r="D990" s="38"/>
      <c r="E990" s="38"/>
      <c r="F990" s="38">
        <f>Source!BZ193</f>
        <v>95</v>
      </c>
      <c r="G990" s="61">
        <f>(Source!AF193+Source!AE193)*Source!FX193/100</f>
        <v>25.4315</v>
      </c>
      <c r="H990" s="61">
        <f>Source!X193</f>
        <v>301.91000000000003</v>
      </c>
    </row>
    <row r="991" spans="1:28" x14ac:dyDescent="0.2">
      <c r="C991" s="9" t="s">
        <v>1837</v>
      </c>
      <c r="D991" s="38"/>
      <c r="E991" s="38"/>
      <c r="F991" s="38">
        <f>Source!CA193</f>
        <v>65</v>
      </c>
      <c r="G991" s="61">
        <f>(Source!AF193+Source!AE193)*Source!FY193/100</f>
        <v>17.400500000000001</v>
      </c>
      <c r="H991" s="61">
        <f>Source!Y193</f>
        <v>206.57</v>
      </c>
    </row>
    <row r="992" spans="1:28" x14ac:dyDescent="0.2">
      <c r="C992" s="9" t="s">
        <v>1839</v>
      </c>
      <c r="D992" s="38"/>
      <c r="E992" s="38"/>
      <c r="F992" s="38"/>
      <c r="G992" s="61">
        <f>((Source!AF193+Source!AE193)*Source!FX193/100)+((Source!AF193+Source!AE193)*Source!FY193/100)+Source!AB193</f>
        <v>83.942000000000007</v>
      </c>
      <c r="H992" s="61">
        <f>Source!O193+Source!X193+Source!Y193</f>
        <v>996.51</v>
      </c>
    </row>
    <row r="993" spans="1:28" ht="85.5" x14ac:dyDescent="0.2">
      <c r="A993" s="50">
        <v>130</v>
      </c>
      <c r="B993" s="50" t="str">
        <f>Source!E194</f>
        <v>68,1</v>
      </c>
      <c r="C993" s="50" t="str">
        <f>Source!G194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v>
      </c>
      <c r="D993" s="50" t="str">
        <f>Source!F194</f>
        <v>21.1.06.09-0151</v>
      </c>
      <c r="E993" s="35" t="str">
        <f>Source!H194</f>
        <v>1000 м</v>
      </c>
      <c r="F993" s="12">
        <f>Source!I194</f>
        <v>0.16650000000000001</v>
      </c>
      <c r="G993" s="25">
        <f>Source!AB194</f>
        <v>4832.12</v>
      </c>
      <c r="H993" s="25">
        <f>Source!O194</f>
        <v>5736.43</v>
      </c>
      <c r="T993">
        <f>Source!O194+Source!X194+Source!Y194</f>
        <v>5736.43</v>
      </c>
      <c r="U993">
        <f>Source!P194</f>
        <v>5736.43</v>
      </c>
      <c r="V993">
        <f>Source!S194</f>
        <v>0</v>
      </c>
      <c r="W993">
        <f>Source!Q194</f>
        <v>0</v>
      </c>
      <c r="X993">
        <f>Source!R194</f>
        <v>0</v>
      </c>
      <c r="Y993">
        <f>Source!U194</f>
        <v>0</v>
      </c>
      <c r="Z993">
        <f>Source!V194</f>
        <v>0</v>
      </c>
      <c r="AA993">
        <f>Source!X194</f>
        <v>0</v>
      </c>
      <c r="AB993">
        <f>Source!Y194</f>
        <v>0</v>
      </c>
    </row>
    <row r="994" spans="1:28" ht="14.25" x14ac:dyDescent="0.2">
      <c r="C994" s="26" t="s">
        <v>1833</v>
      </c>
      <c r="D994" s="26">
        <f>Source!BC194</f>
        <v>7.13</v>
      </c>
      <c r="F994" s="12"/>
      <c r="G994" s="12"/>
      <c r="H994" s="12"/>
    </row>
    <row r="995" spans="1:28" ht="42.75" x14ac:dyDescent="0.2">
      <c r="A995" s="50">
        <v>131</v>
      </c>
      <c r="B995" s="50" t="str">
        <f>Source!E195</f>
        <v>69</v>
      </c>
      <c r="C995" s="50" t="str">
        <f>Source!G195</f>
        <v>Установка  выключателей одноклавишных неутопленного типа при открытой проводке</v>
      </c>
      <c r="D995" s="50" t="str">
        <f>Source!F195</f>
        <v>м08-03-591-01</v>
      </c>
      <c r="E995" s="35" t="str">
        <f>Source!H195</f>
        <v>100 ШТ</v>
      </c>
      <c r="F995" s="12">
        <f>Source!I195</f>
        <v>0.25</v>
      </c>
      <c r="G995" s="25">
        <f>Source!AB195</f>
        <v>423.97</v>
      </c>
      <c r="H995" s="25">
        <f>Source!O195</f>
        <v>755.72</v>
      </c>
      <c r="T995">
        <f>Source!O195+Source!X195+Source!Y195</f>
        <v>1651.5700000000002</v>
      </c>
      <c r="U995">
        <f>Source!P195</f>
        <v>188.64</v>
      </c>
      <c r="V995">
        <f>Source!S195</f>
        <v>558.76</v>
      </c>
      <c r="W995">
        <f>Source!Q195</f>
        <v>8.32</v>
      </c>
      <c r="X995">
        <f>Source!R195</f>
        <v>1.1399999999999999</v>
      </c>
      <c r="Y995">
        <f>Source!U195</f>
        <v>7.9</v>
      </c>
      <c r="Z995">
        <f>Source!V195</f>
        <v>1.2500000000000001E-2</v>
      </c>
      <c r="AA995">
        <f>Source!X195</f>
        <v>531.91</v>
      </c>
      <c r="AB995">
        <f>Source!Y195</f>
        <v>363.94</v>
      </c>
    </row>
    <row r="996" spans="1:28" ht="14.25" x14ac:dyDescent="0.2">
      <c r="C996" s="26" t="str">
        <f>"Объем: "&amp;Source!I195&amp;"=25/"&amp;"100"</f>
        <v>Объем: 0,25=25/100</v>
      </c>
      <c r="F996" s="12"/>
      <c r="G996" s="12"/>
      <c r="H996" s="12"/>
    </row>
    <row r="997" spans="1:28" x14ac:dyDescent="0.2">
      <c r="C997" s="26" t="s">
        <v>1831</v>
      </c>
      <c r="D997" s="26">
        <f>Source!BA195</f>
        <v>7.13</v>
      </c>
    </row>
    <row r="998" spans="1:28" x14ac:dyDescent="0.2">
      <c r="C998" s="26" t="s">
        <v>1832</v>
      </c>
      <c r="D998" s="26">
        <f>Source!BB195</f>
        <v>7.13</v>
      </c>
    </row>
    <row r="999" spans="1:28" x14ac:dyDescent="0.2">
      <c r="C999" s="26" t="s">
        <v>1833</v>
      </c>
      <c r="D999" s="26">
        <f>Source!BC195</f>
        <v>7.13</v>
      </c>
    </row>
    <row r="1000" spans="1:28" x14ac:dyDescent="0.2">
      <c r="C1000" s="26" t="s">
        <v>1834</v>
      </c>
      <c r="D1000" s="26">
        <f>Source!BS195</f>
        <v>7.13</v>
      </c>
    </row>
    <row r="1001" spans="1:28" x14ac:dyDescent="0.2">
      <c r="C1001" s="9" t="s">
        <v>1835</v>
      </c>
      <c r="D1001" s="38"/>
      <c r="E1001" s="38"/>
      <c r="F1001" s="38">
        <f>Source!BZ195</f>
        <v>95</v>
      </c>
      <c r="G1001" s="61">
        <f>(Source!AF195+Source!AE195)*Source!FX195/100</f>
        <v>298.40449999999998</v>
      </c>
      <c r="H1001" s="61">
        <f>Source!X195</f>
        <v>531.91</v>
      </c>
    </row>
    <row r="1002" spans="1:28" x14ac:dyDescent="0.2">
      <c r="C1002" s="9" t="s">
        <v>1837</v>
      </c>
      <c r="D1002" s="38"/>
      <c r="E1002" s="38"/>
      <c r="F1002" s="38">
        <f>Source!CA195</f>
        <v>65</v>
      </c>
      <c r="G1002" s="61">
        <f>(Source!AF195+Source!AE195)*Source!FY195/100</f>
        <v>204.17150000000001</v>
      </c>
      <c r="H1002" s="61">
        <f>Source!Y195</f>
        <v>363.94</v>
      </c>
    </row>
    <row r="1003" spans="1:28" x14ac:dyDescent="0.2">
      <c r="C1003" s="9" t="s">
        <v>1839</v>
      </c>
      <c r="D1003" s="38"/>
      <c r="E1003" s="38"/>
      <c r="F1003" s="38"/>
      <c r="G1003" s="61">
        <f>((Source!AF195+Source!AE195)*Source!FX195/100)+((Source!AF195+Source!AE195)*Source!FY195/100)+Source!AB195</f>
        <v>926.54600000000005</v>
      </c>
      <c r="H1003" s="61">
        <f>Source!O195+Source!X195+Source!Y195</f>
        <v>1651.5700000000002</v>
      </c>
    </row>
    <row r="1004" spans="1:28" ht="57" x14ac:dyDescent="0.2">
      <c r="A1004" s="50">
        <v>132</v>
      </c>
      <c r="B1004" s="50" t="str">
        <f>Source!E196</f>
        <v>69,1</v>
      </c>
      <c r="C1004" s="50" t="str">
        <f>Source!G196</f>
        <v>Выключатель одноклавишный для открытой проводки серии "Прима", марка А16-046-с с подсветкой, цвет бежевый</v>
      </c>
      <c r="D1004" s="50" t="str">
        <f>Source!F196</f>
        <v>20.4.01.01-0041</v>
      </c>
      <c r="E1004" s="35" t="str">
        <f>Source!H196</f>
        <v>10 шт.</v>
      </c>
      <c r="F1004" s="12">
        <f>Source!I196</f>
        <v>2.5</v>
      </c>
      <c r="G1004" s="25">
        <f>Source!AB196</f>
        <v>96.2</v>
      </c>
      <c r="H1004" s="25">
        <f>Source!O196</f>
        <v>1714.77</v>
      </c>
      <c r="T1004">
        <f>Source!O196+Source!X196+Source!Y196</f>
        <v>1714.77</v>
      </c>
      <c r="U1004">
        <f>Source!P196</f>
        <v>1714.77</v>
      </c>
      <c r="V1004">
        <f>Source!S196</f>
        <v>0</v>
      </c>
      <c r="W1004">
        <f>Source!Q196</f>
        <v>0</v>
      </c>
      <c r="X1004">
        <f>Source!R196</f>
        <v>0</v>
      </c>
      <c r="Y1004">
        <f>Source!U196</f>
        <v>0</v>
      </c>
      <c r="Z1004">
        <f>Source!V196</f>
        <v>0</v>
      </c>
      <c r="AA1004">
        <f>Source!X196</f>
        <v>0</v>
      </c>
      <c r="AB1004">
        <f>Source!Y196</f>
        <v>0</v>
      </c>
    </row>
    <row r="1005" spans="1:28" ht="14.25" x14ac:dyDescent="0.2">
      <c r="C1005" s="26" t="s">
        <v>1833</v>
      </c>
      <c r="D1005" s="26">
        <f>Source!BC196</f>
        <v>7.13</v>
      </c>
      <c r="F1005" s="12"/>
      <c r="G1005" s="12"/>
      <c r="H1005" s="12"/>
    </row>
    <row r="1006" spans="1:28" ht="42.75" x14ac:dyDescent="0.2">
      <c r="A1006" s="50">
        <v>133</v>
      </c>
      <c r="B1006" s="50" t="str">
        <f>Source!E197</f>
        <v>70</v>
      </c>
      <c r="C1006" s="50" t="str">
        <f>Source!G197</f>
        <v>Установка щитков  до трех групп, устанавливаемый в нише цоколя (Бокс )</v>
      </c>
      <c r="D1006" s="50" t="str">
        <f>Source!F197</f>
        <v>м08-02-370-02</v>
      </c>
      <c r="E1006" s="35" t="str">
        <f>Source!H197</f>
        <v>ШТ</v>
      </c>
      <c r="F1006" s="12">
        <f>Source!I197</f>
        <v>2</v>
      </c>
      <c r="G1006" s="25">
        <f>Source!AB197</f>
        <v>33.42</v>
      </c>
      <c r="H1006" s="25">
        <f>Source!O197</f>
        <v>476.57</v>
      </c>
      <c r="T1006">
        <f>Source!O197+Source!X197+Source!Y197</f>
        <v>749.45</v>
      </c>
      <c r="U1006">
        <f>Source!P197</f>
        <v>88.41</v>
      </c>
      <c r="V1006">
        <f>Source!S197</f>
        <v>134.76</v>
      </c>
      <c r="W1006">
        <f>Source!Q197</f>
        <v>253.4</v>
      </c>
      <c r="X1006">
        <f>Source!R197</f>
        <v>35.79</v>
      </c>
      <c r="Y1006">
        <f>Source!U197</f>
        <v>1.8</v>
      </c>
      <c r="Z1006">
        <f>Source!V197</f>
        <v>0.4</v>
      </c>
      <c r="AA1006">
        <f>Source!X197</f>
        <v>162.02000000000001</v>
      </c>
      <c r="AB1006">
        <f>Source!Y197</f>
        <v>110.86</v>
      </c>
    </row>
    <row r="1007" spans="1:28" ht="14.25" x14ac:dyDescent="0.2">
      <c r="C1007" s="26" t="s">
        <v>1831</v>
      </c>
      <c r="D1007" s="26">
        <f>Source!BA197</f>
        <v>7.13</v>
      </c>
      <c r="F1007" s="12"/>
      <c r="G1007" s="12"/>
      <c r="H1007" s="12"/>
    </row>
    <row r="1008" spans="1:28" x14ac:dyDescent="0.2">
      <c r="C1008" s="26" t="s">
        <v>1832</v>
      </c>
      <c r="D1008" s="26">
        <f>Source!BB197</f>
        <v>7.13</v>
      </c>
    </row>
    <row r="1009" spans="1:28" x14ac:dyDescent="0.2">
      <c r="C1009" s="26" t="s">
        <v>1833</v>
      </c>
      <c r="D1009" s="26">
        <f>Source!BC197</f>
        <v>7.13</v>
      </c>
    </row>
    <row r="1010" spans="1:28" x14ac:dyDescent="0.2">
      <c r="C1010" s="26" t="s">
        <v>1834</v>
      </c>
      <c r="D1010" s="26">
        <f>Source!BS197</f>
        <v>7.13</v>
      </c>
    </row>
    <row r="1011" spans="1:28" x14ac:dyDescent="0.2">
      <c r="C1011" s="9" t="s">
        <v>1835</v>
      </c>
      <c r="D1011" s="38"/>
      <c r="E1011" s="38"/>
      <c r="F1011" s="38">
        <f>Source!BZ197</f>
        <v>95</v>
      </c>
      <c r="G1011" s="61">
        <f>(Source!AF197+Source!AE197)*Source!FX197/100</f>
        <v>11.361999999999998</v>
      </c>
      <c r="H1011" s="61">
        <f>Source!X197</f>
        <v>162.02000000000001</v>
      </c>
    </row>
    <row r="1012" spans="1:28" x14ac:dyDescent="0.2">
      <c r="C1012" s="9" t="s">
        <v>1837</v>
      </c>
      <c r="D1012" s="38"/>
      <c r="E1012" s="38"/>
      <c r="F1012" s="38">
        <f>Source!CA197</f>
        <v>65</v>
      </c>
      <c r="G1012" s="61">
        <f>(Source!AF197+Source!AE197)*Source!FY197/100</f>
        <v>7.774</v>
      </c>
      <c r="H1012" s="61">
        <f>Source!Y197</f>
        <v>110.86</v>
      </c>
    </row>
    <row r="1013" spans="1:28" x14ac:dyDescent="0.2">
      <c r="C1013" s="9" t="s">
        <v>1839</v>
      </c>
      <c r="D1013" s="38"/>
      <c r="E1013" s="38"/>
      <c r="F1013" s="38"/>
      <c r="G1013" s="61">
        <f>((Source!AF197+Source!AE197)*Source!FX197/100)+((Source!AF197+Source!AE197)*Source!FY197/100)+Source!AB197</f>
        <v>52.555999999999997</v>
      </c>
      <c r="H1013" s="61">
        <f>Source!O197+Source!X197+Source!Y197</f>
        <v>749.45</v>
      </c>
    </row>
    <row r="1014" spans="1:28" ht="42.75" x14ac:dyDescent="0.2">
      <c r="A1014" s="50">
        <v>134</v>
      </c>
      <c r="B1014" s="50" t="str">
        <f>Source!E198</f>
        <v>70,1</v>
      </c>
      <c r="C1014" s="50" t="str">
        <f>Source!G198</f>
        <v>Бокс встраиваемый пластиковый с прозрачной дверцей на 24 модуля, размером 300х395х90 мм АВВ Unibox</v>
      </c>
      <c r="D1014" s="50" t="str">
        <f>Source!F198</f>
        <v>22.1.01.01-0013</v>
      </c>
      <c r="E1014" s="35" t="str">
        <f>Source!H198</f>
        <v>шт.</v>
      </c>
      <c r="F1014" s="12">
        <f>Source!I198</f>
        <v>2</v>
      </c>
      <c r="G1014" s="25">
        <f>Source!AB198</f>
        <v>163.69999999999999</v>
      </c>
      <c r="H1014" s="25">
        <f>Source!O198</f>
        <v>2334.36</v>
      </c>
      <c r="T1014">
        <f>Source!O198+Source!X198+Source!Y198</f>
        <v>2334.36</v>
      </c>
      <c r="U1014">
        <f>Source!P198</f>
        <v>2334.36</v>
      </c>
      <c r="V1014">
        <f>Source!S198</f>
        <v>0</v>
      </c>
      <c r="W1014">
        <f>Source!Q198</f>
        <v>0</v>
      </c>
      <c r="X1014">
        <f>Source!R198</f>
        <v>0</v>
      </c>
      <c r="Y1014">
        <f>Source!U198</f>
        <v>0</v>
      </c>
      <c r="Z1014">
        <f>Source!V198</f>
        <v>0</v>
      </c>
      <c r="AA1014">
        <f>Source!X198</f>
        <v>0</v>
      </c>
      <c r="AB1014">
        <f>Source!Y198</f>
        <v>0</v>
      </c>
    </row>
    <row r="1015" spans="1:28" ht="14.25" x14ac:dyDescent="0.2">
      <c r="C1015" s="26" t="s">
        <v>1833</v>
      </c>
      <c r="D1015" s="26">
        <f>Source!BC198</f>
        <v>7.13</v>
      </c>
      <c r="F1015" s="12"/>
      <c r="G1015" s="12"/>
      <c r="H1015" s="12"/>
    </row>
    <row r="1016" spans="1:28" ht="57" x14ac:dyDescent="0.2">
      <c r="A1016" s="50">
        <v>135</v>
      </c>
      <c r="B1016" s="50" t="str">
        <f>Source!E199</f>
        <v>71</v>
      </c>
      <c r="C1016" s="50" t="str">
        <f>Source!G199</f>
        <v>Установка автоматов  одно-, двух-, трехполюсных, устанавливаемый на конструкции на стене или колонне, на ток до 25 А</v>
      </c>
      <c r="D1016" s="50" t="str">
        <f>Source!F199</f>
        <v>м08-03-526-01</v>
      </c>
      <c r="E1016" s="35" t="str">
        <f>Source!H199</f>
        <v>ШТ</v>
      </c>
      <c r="F1016" s="12">
        <f>Source!I199</f>
        <v>18</v>
      </c>
      <c r="G1016" s="25">
        <f>Source!AB199</f>
        <v>35.979999999999997</v>
      </c>
      <c r="H1016" s="25">
        <f>Source!O199</f>
        <v>4617.68</v>
      </c>
      <c r="T1016">
        <f>Source!O199+Source!X199+Source!Y199</f>
        <v>7664.9900000000007</v>
      </c>
      <c r="U1016">
        <f>Source!P199</f>
        <v>2578.35</v>
      </c>
      <c r="V1016">
        <f>Source!S199</f>
        <v>1904.57</v>
      </c>
      <c r="W1016">
        <f>Source!Q199</f>
        <v>134.76</v>
      </c>
      <c r="X1016">
        <f>Source!R199</f>
        <v>0</v>
      </c>
      <c r="Y1016">
        <f>Source!U199</f>
        <v>28.080000000000002</v>
      </c>
      <c r="Z1016">
        <f>Source!V199</f>
        <v>0</v>
      </c>
      <c r="AA1016">
        <f>Source!X199</f>
        <v>1809.34</v>
      </c>
      <c r="AB1016">
        <f>Source!Y199</f>
        <v>1237.97</v>
      </c>
    </row>
    <row r="1017" spans="1:28" ht="14.25" x14ac:dyDescent="0.2">
      <c r="C1017" s="26" t="s">
        <v>1831</v>
      </c>
      <c r="D1017" s="26">
        <f>Source!BA199</f>
        <v>7.13</v>
      </c>
      <c r="F1017" s="12"/>
      <c r="G1017" s="12"/>
      <c r="H1017" s="12"/>
    </row>
    <row r="1018" spans="1:28" x14ac:dyDescent="0.2">
      <c r="C1018" s="26" t="s">
        <v>1832</v>
      </c>
      <c r="D1018" s="26">
        <f>Source!BB199</f>
        <v>7.13</v>
      </c>
    </row>
    <row r="1019" spans="1:28" x14ac:dyDescent="0.2">
      <c r="C1019" s="26" t="s">
        <v>1833</v>
      </c>
      <c r="D1019" s="26">
        <f>Source!BC199</f>
        <v>7.13</v>
      </c>
    </row>
    <row r="1020" spans="1:28" x14ac:dyDescent="0.2">
      <c r="C1020" s="26" t="s">
        <v>1834</v>
      </c>
      <c r="D1020" s="26">
        <f>Source!BS199</f>
        <v>7.13</v>
      </c>
    </row>
    <row r="1021" spans="1:28" x14ac:dyDescent="0.2">
      <c r="C1021" s="9" t="s">
        <v>1835</v>
      </c>
      <c r="D1021" s="38"/>
      <c r="E1021" s="38"/>
      <c r="F1021" s="38">
        <f>Source!BZ199</f>
        <v>95</v>
      </c>
      <c r="G1021" s="61">
        <f>(Source!AF199+Source!AE199)*Source!FX199/100</f>
        <v>14.097999999999999</v>
      </c>
      <c r="H1021" s="61">
        <f>Source!X199</f>
        <v>1809.34</v>
      </c>
    </row>
    <row r="1022" spans="1:28" x14ac:dyDescent="0.2">
      <c r="C1022" s="9" t="s">
        <v>1837</v>
      </c>
      <c r="D1022" s="38"/>
      <c r="E1022" s="38"/>
      <c r="F1022" s="38">
        <f>Source!CA199</f>
        <v>65</v>
      </c>
      <c r="G1022" s="61">
        <f>(Source!AF199+Source!AE199)*Source!FY199/100</f>
        <v>9.6460000000000008</v>
      </c>
      <c r="H1022" s="61">
        <f>Source!Y199</f>
        <v>1237.97</v>
      </c>
    </row>
    <row r="1023" spans="1:28" x14ac:dyDescent="0.2">
      <c r="C1023" s="9" t="s">
        <v>1839</v>
      </c>
      <c r="D1023" s="38"/>
      <c r="E1023" s="38"/>
      <c r="F1023" s="38"/>
      <c r="G1023" s="61">
        <f>((Source!AF199+Source!AE199)*Source!FX199/100)+((Source!AF199+Source!AE199)*Source!FY199/100)+Source!AB199</f>
        <v>59.723999999999997</v>
      </c>
      <c r="H1023" s="61">
        <f>Source!O199+Source!X199+Source!Y199</f>
        <v>7664.9900000000007</v>
      </c>
    </row>
    <row r="1024" spans="1:28" ht="28.5" x14ac:dyDescent="0.2">
      <c r="A1024" s="50">
        <v>136</v>
      </c>
      <c r="B1024" s="50" t="str">
        <f>Source!E200</f>
        <v>71,1</v>
      </c>
      <c r="C1024" s="50" t="str">
        <f>Source!G200</f>
        <v>Выключатели автоматические  АВВ 1Р 16А</v>
      </c>
      <c r="D1024" s="50" t="str">
        <f>Source!F200</f>
        <v>62.1.01.09-0050</v>
      </c>
      <c r="E1024" s="35" t="str">
        <f>Source!H200</f>
        <v>шт.</v>
      </c>
      <c r="F1024" s="12">
        <f>Source!I200</f>
        <v>14</v>
      </c>
      <c r="G1024" s="25">
        <f>Source!AB200</f>
        <v>66.48</v>
      </c>
      <c r="H1024" s="25">
        <f>Source!O200</f>
        <v>6636.03</v>
      </c>
      <c r="T1024">
        <f>Source!O200+Source!X200+Source!Y200</f>
        <v>6636.03</v>
      </c>
      <c r="U1024">
        <f>Source!P200</f>
        <v>6636.03</v>
      </c>
      <c r="V1024">
        <f>Source!S200</f>
        <v>0</v>
      </c>
      <c r="W1024">
        <f>Source!Q200</f>
        <v>0</v>
      </c>
      <c r="X1024">
        <f>Source!R200</f>
        <v>0</v>
      </c>
      <c r="Y1024">
        <f>Source!U200</f>
        <v>0</v>
      </c>
      <c r="Z1024">
        <f>Source!V200</f>
        <v>0</v>
      </c>
      <c r="AA1024">
        <f>Source!X200</f>
        <v>0</v>
      </c>
      <c r="AB1024">
        <f>Source!Y200</f>
        <v>0</v>
      </c>
    </row>
    <row r="1025" spans="1:28" ht="14.25" x14ac:dyDescent="0.2">
      <c r="C1025" s="26" t="s">
        <v>1833</v>
      </c>
      <c r="D1025" s="26">
        <f>Source!BC200</f>
        <v>7.13</v>
      </c>
      <c r="F1025" s="12"/>
      <c r="G1025" s="12"/>
      <c r="H1025" s="12"/>
    </row>
    <row r="1026" spans="1:28" ht="28.5" x14ac:dyDescent="0.2">
      <c r="A1026" s="50">
        <v>137</v>
      </c>
      <c r="B1026" s="50" t="str">
        <f>Source!E201</f>
        <v>71,2</v>
      </c>
      <c r="C1026" s="50" t="str">
        <f>Source!G201</f>
        <v>Выключатели автоматические  АВВ 1Р 10А</v>
      </c>
      <c r="D1026" s="50" t="str">
        <f>Source!F201</f>
        <v>62.1.01.09-0049</v>
      </c>
      <c r="E1026" s="35" t="str">
        <f>Source!H201</f>
        <v>шт.</v>
      </c>
      <c r="F1026" s="12">
        <f>Source!I201</f>
        <v>2</v>
      </c>
      <c r="G1026" s="25">
        <f>Source!AB201</f>
        <v>73.63</v>
      </c>
      <c r="H1026" s="25">
        <f>Source!O201</f>
        <v>1049.96</v>
      </c>
      <c r="T1026">
        <f>Source!O201+Source!X201+Source!Y201</f>
        <v>1049.96</v>
      </c>
      <c r="U1026">
        <f>Source!P201</f>
        <v>1049.96</v>
      </c>
      <c r="V1026">
        <f>Source!S201</f>
        <v>0</v>
      </c>
      <c r="W1026">
        <f>Source!Q201</f>
        <v>0</v>
      </c>
      <c r="X1026">
        <f>Source!R201</f>
        <v>0</v>
      </c>
      <c r="Y1026">
        <f>Source!U201</f>
        <v>0</v>
      </c>
      <c r="Z1026">
        <f>Source!V201</f>
        <v>0</v>
      </c>
      <c r="AA1026">
        <f>Source!X201</f>
        <v>0</v>
      </c>
      <c r="AB1026">
        <f>Source!Y201</f>
        <v>0</v>
      </c>
    </row>
    <row r="1027" spans="1:28" ht="14.25" x14ac:dyDescent="0.2">
      <c r="C1027" s="26" t="s">
        <v>1833</v>
      </c>
      <c r="D1027" s="26">
        <f>Source!BC201</f>
        <v>7.13</v>
      </c>
      <c r="F1027" s="12"/>
      <c r="G1027" s="12"/>
      <c r="H1027" s="12"/>
    </row>
    <row r="1028" spans="1:28" ht="42.75" x14ac:dyDescent="0.2">
      <c r="A1028" s="50">
        <v>138</v>
      </c>
      <c r="B1028" s="50" t="str">
        <f>Source!E202</f>
        <v>71,3</v>
      </c>
      <c r="C1028" s="50" t="str">
        <f>Source!G202</f>
        <v>Выключатели автоматические дифференциального тока АВВ DS941 1P+N 16А 30мА</v>
      </c>
      <c r="D1028" s="50" t="str">
        <f>Source!F202</f>
        <v>62.1.01.02-0017</v>
      </c>
      <c r="E1028" s="35" t="str">
        <f>Source!H202</f>
        <v>шт.</v>
      </c>
      <c r="F1028" s="12">
        <f>Source!I202</f>
        <v>2</v>
      </c>
      <c r="G1028" s="25">
        <f>Source!AB202</f>
        <v>142.63999999999999</v>
      </c>
      <c r="H1028" s="25">
        <f>Source!O202</f>
        <v>2034.05</v>
      </c>
      <c r="T1028">
        <f>Source!O202+Source!X202+Source!Y202</f>
        <v>2034.05</v>
      </c>
      <c r="U1028">
        <f>Source!P202</f>
        <v>2034.05</v>
      </c>
      <c r="V1028">
        <f>Source!S202</f>
        <v>0</v>
      </c>
      <c r="W1028">
        <f>Source!Q202</f>
        <v>0</v>
      </c>
      <c r="X1028">
        <f>Source!R202</f>
        <v>0</v>
      </c>
      <c r="Y1028">
        <f>Source!U202</f>
        <v>0</v>
      </c>
      <c r="Z1028">
        <f>Source!V202</f>
        <v>0</v>
      </c>
      <c r="AA1028">
        <f>Source!X202</f>
        <v>0</v>
      </c>
      <c r="AB1028">
        <f>Source!Y202</f>
        <v>0</v>
      </c>
    </row>
    <row r="1029" spans="1:28" ht="14.25" x14ac:dyDescent="0.2">
      <c r="C1029" s="26" t="s">
        <v>1833</v>
      </c>
      <c r="D1029" s="26">
        <f>Source!BC202</f>
        <v>7.13</v>
      </c>
      <c r="F1029" s="12"/>
      <c r="G1029" s="12"/>
      <c r="H1029" s="12"/>
    </row>
    <row r="1030" spans="1:28" ht="57" x14ac:dyDescent="0.2">
      <c r="A1030" s="50">
        <v>139</v>
      </c>
      <c r="B1030" s="50" t="str">
        <f>Source!E203</f>
        <v>72</v>
      </c>
      <c r="C1030" s="50" t="str">
        <f>Source!G203</f>
        <v>Установка автоматов  одно-, двух-, трехполюсных, устанавливаемый на конструкции на стене или колонне, на ток до 100 А</v>
      </c>
      <c r="D1030" s="50" t="str">
        <f>Source!F203</f>
        <v>м08-03-526-02</v>
      </c>
      <c r="E1030" s="35" t="str">
        <f>Source!H203</f>
        <v>ШТ</v>
      </c>
      <c r="F1030" s="12">
        <f>Source!I203</f>
        <v>4</v>
      </c>
      <c r="G1030" s="25">
        <f>Source!AB203</f>
        <v>61.48</v>
      </c>
      <c r="H1030" s="25">
        <f>Source!O203</f>
        <v>1753.41</v>
      </c>
      <c r="T1030">
        <f>Source!O203+Source!X203+Source!Y203</f>
        <v>2771.92</v>
      </c>
      <c r="U1030">
        <f>Source!P203</f>
        <v>1037.27</v>
      </c>
      <c r="V1030">
        <f>Source!S203</f>
        <v>629.15</v>
      </c>
      <c r="W1030">
        <f>Source!Q203</f>
        <v>86.99</v>
      </c>
      <c r="X1030">
        <f>Source!R203</f>
        <v>7.42</v>
      </c>
      <c r="Y1030">
        <f>Source!U203</f>
        <v>9.2799999999999994</v>
      </c>
      <c r="Z1030">
        <f>Source!V203</f>
        <v>0.08</v>
      </c>
      <c r="AA1030">
        <f>Source!X203</f>
        <v>604.74</v>
      </c>
      <c r="AB1030">
        <f>Source!Y203</f>
        <v>413.77</v>
      </c>
    </row>
    <row r="1031" spans="1:28" ht="14.25" x14ac:dyDescent="0.2">
      <c r="C1031" s="26" t="s">
        <v>1831</v>
      </c>
      <c r="D1031" s="26">
        <f>Source!BA203</f>
        <v>7.13</v>
      </c>
      <c r="F1031" s="12"/>
      <c r="G1031" s="12"/>
      <c r="H1031" s="12"/>
    </row>
    <row r="1032" spans="1:28" x14ac:dyDescent="0.2">
      <c r="C1032" s="26" t="s">
        <v>1832</v>
      </c>
      <c r="D1032" s="26">
        <f>Source!BB203</f>
        <v>7.13</v>
      </c>
    </row>
    <row r="1033" spans="1:28" x14ac:dyDescent="0.2">
      <c r="C1033" s="26" t="s">
        <v>1833</v>
      </c>
      <c r="D1033" s="26">
        <f>Source!BC203</f>
        <v>7.13</v>
      </c>
    </row>
    <row r="1034" spans="1:28" x14ac:dyDescent="0.2">
      <c r="C1034" s="26" t="s">
        <v>1834</v>
      </c>
      <c r="D1034" s="26">
        <f>Source!BS203</f>
        <v>7.13</v>
      </c>
    </row>
    <row r="1035" spans="1:28" x14ac:dyDescent="0.2">
      <c r="C1035" s="9" t="s">
        <v>1835</v>
      </c>
      <c r="D1035" s="38"/>
      <c r="E1035" s="38"/>
      <c r="F1035" s="38">
        <f>Source!BZ203</f>
        <v>95</v>
      </c>
      <c r="G1035" s="61">
        <f>(Source!AF203+Source!AE203)*Source!FX203/100</f>
        <v>21.204000000000001</v>
      </c>
      <c r="H1035" s="61">
        <f>Source!X203</f>
        <v>604.74</v>
      </c>
    </row>
    <row r="1036" spans="1:28" x14ac:dyDescent="0.2">
      <c r="C1036" s="9" t="s">
        <v>1837</v>
      </c>
      <c r="D1036" s="38"/>
      <c r="E1036" s="38"/>
      <c r="F1036" s="38">
        <f>Source!CA203</f>
        <v>65</v>
      </c>
      <c r="G1036" s="61">
        <f>(Source!AF203+Source!AE203)*Source!FY203/100</f>
        <v>14.507999999999999</v>
      </c>
      <c r="H1036" s="61">
        <f>Source!Y203</f>
        <v>413.77</v>
      </c>
    </row>
    <row r="1037" spans="1:28" x14ac:dyDescent="0.2">
      <c r="C1037" s="9" t="s">
        <v>1839</v>
      </c>
      <c r="D1037" s="38"/>
      <c r="E1037" s="38"/>
      <c r="F1037" s="38"/>
      <c r="G1037" s="61">
        <f>((Source!AF203+Source!AE203)*Source!FX203/100)+((Source!AF203+Source!AE203)*Source!FY203/100)+Source!AB203</f>
        <v>97.192000000000007</v>
      </c>
      <c r="H1037" s="61">
        <f>Source!O203+Source!X203+Source!Y203</f>
        <v>2771.92</v>
      </c>
    </row>
    <row r="1038" spans="1:28" ht="28.5" x14ac:dyDescent="0.2">
      <c r="A1038" s="50">
        <v>140</v>
      </c>
      <c r="B1038" s="50" t="str">
        <f>Source!E204</f>
        <v>72,1</v>
      </c>
      <c r="C1038" s="50" t="str">
        <f>Source!G204</f>
        <v>Выключатели автоматические  АВВ 1Р 32А</v>
      </c>
      <c r="D1038" s="50" t="str">
        <f>Source!F204</f>
        <v>62.1.01.09-0052</v>
      </c>
      <c r="E1038" s="35" t="str">
        <f>Source!H204</f>
        <v>шт.</v>
      </c>
      <c r="F1038" s="12">
        <f>Source!I204</f>
        <v>4</v>
      </c>
      <c r="G1038" s="25">
        <f>Source!AB204</f>
        <v>76.89</v>
      </c>
      <c r="H1038" s="25">
        <f>Source!O204</f>
        <v>2192.9</v>
      </c>
      <c r="T1038">
        <f>Source!O204+Source!X204+Source!Y204</f>
        <v>2192.9</v>
      </c>
      <c r="U1038">
        <f>Source!P204</f>
        <v>2192.9</v>
      </c>
      <c r="V1038">
        <f>Source!S204</f>
        <v>0</v>
      </c>
      <c r="W1038">
        <f>Source!Q204</f>
        <v>0</v>
      </c>
      <c r="X1038">
        <f>Source!R204</f>
        <v>0</v>
      </c>
      <c r="Y1038">
        <f>Source!U204</f>
        <v>0</v>
      </c>
      <c r="Z1038">
        <f>Source!V204</f>
        <v>0</v>
      </c>
      <c r="AA1038">
        <f>Source!X204</f>
        <v>0</v>
      </c>
      <c r="AB1038">
        <f>Source!Y204</f>
        <v>0</v>
      </c>
    </row>
    <row r="1039" spans="1:28" ht="14.25" x14ac:dyDescent="0.2">
      <c r="C1039" s="26" t="s">
        <v>1833</v>
      </c>
      <c r="D1039" s="26">
        <f>Source!BC204</f>
        <v>7.13</v>
      </c>
      <c r="F1039" s="12"/>
      <c r="G1039" s="12"/>
      <c r="H1039" s="12"/>
    </row>
    <row r="1040" spans="1:28" ht="28.5" x14ac:dyDescent="0.2">
      <c r="A1040" s="50">
        <v>141</v>
      </c>
      <c r="B1040" s="50" t="str">
        <f>Source!E205</f>
        <v>73</v>
      </c>
      <c r="C1040" s="50" t="str">
        <f>Source!G205</f>
        <v>Установка счетчика учета электроэнергии</v>
      </c>
      <c r="D1040" s="50" t="str">
        <f>Source!F205</f>
        <v>м08-01-080-03</v>
      </c>
      <c r="E1040" s="35" t="str">
        <f>Source!H205</f>
        <v>ШТ</v>
      </c>
      <c r="F1040" s="12">
        <f>Source!I205</f>
        <v>2</v>
      </c>
      <c r="G1040" s="25">
        <f>Source!AB205</f>
        <v>36.659999999999997</v>
      </c>
      <c r="H1040" s="25">
        <f>Source!O205</f>
        <v>522.78</v>
      </c>
      <c r="T1040">
        <f>Source!O205+Source!X205+Source!Y205</f>
        <v>1062.5999999999999</v>
      </c>
      <c r="U1040">
        <f>Source!P205</f>
        <v>11.27</v>
      </c>
      <c r="V1040">
        <f>Source!S205</f>
        <v>308.73</v>
      </c>
      <c r="W1040">
        <f>Source!Q205</f>
        <v>202.78</v>
      </c>
      <c r="X1040">
        <f>Source!R205</f>
        <v>28.66</v>
      </c>
      <c r="Y1040">
        <f>Source!U205</f>
        <v>4.5</v>
      </c>
      <c r="Z1040">
        <f>Source!V205</f>
        <v>0.32</v>
      </c>
      <c r="AA1040">
        <f>Source!X205</f>
        <v>320.52</v>
      </c>
      <c r="AB1040">
        <f>Source!Y205</f>
        <v>219.3</v>
      </c>
    </row>
    <row r="1041" spans="1:28" ht="14.25" x14ac:dyDescent="0.2">
      <c r="C1041" s="26" t="s">
        <v>1831</v>
      </c>
      <c r="D1041" s="26">
        <f>Source!BA205</f>
        <v>7.13</v>
      </c>
      <c r="F1041" s="12"/>
      <c r="G1041" s="12"/>
      <c r="H1041" s="12"/>
    </row>
    <row r="1042" spans="1:28" x14ac:dyDescent="0.2">
      <c r="C1042" s="26" t="s">
        <v>1832</v>
      </c>
      <c r="D1042" s="26">
        <f>Source!BB205</f>
        <v>7.13</v>
      </c>
    </row>
    <row r="1043" spans="1:28" x14ac:dyDescent="0.2">
      <c r="C1043" s="26" t="s">
        <v>1833</v>
      </c>
      <c r="D1043" s="26">
        <f>Source!BC205</f>
        <v>7.13</v>
      </c>
    </row>
    <row r="1044" spans="1:28" x14ac:dyDescent="0.2">
      <c r="C1044" s="26" t="s">
        <v>1834</v>
      </c>
      <c r="D1044" s="26">
        <f>Source!BS205</f>
        <v>7.13</v>
      </c>
    </row>
    <row r="1045" spans="1:28" x14ac:dyDescent="0.2">
      <c r="C1045" s="9" t="s">
        <v>1835</v>
      </c>
      <c r="D1045" s="38"/>
      <c r="E1045" s="38"/>
      <c r="F1045" s="38">
        <f>Source!BZ205</f>
        <v>95</v>
      </c>
      <c r="G1045" s="61">
        <f>(Source!AF205+Source!AE205)*Source!FX205/100</f>
        <v>22.476999999999997</v>
      </c>
      <c r="H1045" s="61">
        <f>Source!X205</f>
        <v>320.52</v>
      </c>
    </row>
    <row r="1046" spans="1:28" x14ac:dyDescent="0.2">
      <c r="C1046" s="9" t="s">
        <v>1837</v>
      </c>
      <c r="D1046" s="38"/>
      <c r="E1046" s="38"/>
      <c r="F1046" s="38">
        <f>Source!CA205</f>
        <v>65</v>
      </c>
      <c r="G1046" s="61">
        <f>(Source!AF205+Source!AE205)*Source!FY205/100</f>
        <v>15.378999999999998</v>
      </c>
      <c r="H1046" s="61">
        <f>Source!Y205</f>
        <v>219.3</v>
      </c>
    </row>
    <row r="1047" spans="1:28" x14ac:dyDescent="0.2">
      <c r="C1047" s="9" t="s">
        <v>1839</v>
      </c>
      <c r="D1047" s="38"/>
      <c r="E1047" s="38"/>
      <c r="F1047" s="38"/>
      <c r="G1047" s="61">
        <f>((Source!AF205+Source!AE205)*Source!FX205/100)+((Source!AF205+Source!AE205)*Source!FY205/100)+Source!AB205</f>
        <v>74.515999999999991</v>
      </c>
      <c r="H1047" s="61">
        <f>Source!O205+Source!X205+Source!Y205</f>
        <v>1062.5999999999999</v>
      </c>
    </row>
    <row r="1048" spans="1:28" ht="42.75" x14ac:dyDescent="0.2">
      <c r="A1048" s="50">
        <v>142</v>
      </c>
      <c r="B1048" s="50" t="str">
        <f>Source!E206</f>
        <v>73,1</v>
      </c>
      <c r="C1048" s="50" t="str">
        <f>Source!G206</f>
        <v>Счетчик электрической энергии электронный, однофазный Меркурий 201.02, 5(60)А</v>
      </c>
      <c r="D1048" s="50" t="str">
        <f>Source!F206</f>
        <v>62.5.01.04-0014</v>
      </c>
      <c r="E1048" s="35" t="str">
        <f>Source!H206</f>
        <v>шт.</v>
      </c>
      <c r="F1048" s="12">
        <f>Source!I206</f>
        <v>2</v>
      </c>
      <c r="G1048" s="25">
        <f>Source!AB206</f>
        <v>85.54</v>
      </c>
      <c r="H1048" s="25">
        <f>Source!O206</f>
        <v>1219.8</v>
      </c>
      <c r="T1048">
        <f>Source!O206+Source!X206+Source!Y206</f>
        <v>1219.8</v>
      </c>
      <c r="U1048">
        <f>Source!P206</f>
        <v>1219.8</v>
      </c>
      <c r="V1048">
        <f>Source!S206</f>
        <v>0</v>
      </c>
      <c r="W1048">
        <f>Source!Q206</f>
        <v>0</v>
      </c>
      <c r="X1048">
        <f>Source!R206</f>
        <v>0</v>
      </c>
      <c r="Y1048">
        <f>Source!U206</f>
        <v>0</v>
      </c>
      <c r="Z1048">
        <f>Source!V206</f>
        <v>0</v>
      </c>
      <c r="AA1048">
        <f>Source!X206</f>
        <v>0</v>
      </c>
      <c r="AB1048">
        <f>Source!Y206</f>
        <v>0</v>
      </c>
    </row>
    <row r="1049" spans="1:28" ht="14.25" x14ac:dyDescent="0.2">
      <c r="C1049" s="26" t="s">
        <v>1833</v>
      </c>
      <c r="D1049" s="26">
        <f>Source!BC206</f>
        <v>7.13</v>
      </c>
      <c r="F1049" s="12"/>
      <c r="G1049" s="12"/>
      <c r="H1049" s="12"/>
    </row>
    <row r="1050" spans="1:28" ht="114" x14ac:dyDescent="0.2">
      <c r="A1050" s="50">
        <v>143</v>
      </c>
      <c r="B1050" s="50" t="str">
        <f>Source!E207</f>
        <v>74</v>
      </c>
      <c r="C1050" s="50" t="str">
        <f>Source!G207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1050" s="50" t="str">
        <f>Source!F207</f>
        <v>п01-11-028-01</v>
      </c>
      <c r="E1050" s="35" t="str">
        <f>Source!H207</f>
        <v>ШТ</v>
      </c>
      <c r="F1050" s="12">
        <f>Source!I207</f>
        <v>22</v>
      </c>
      <c r="G1050" s="25">
        <f>Source!AB207</f>
        <v>4.0999999999999996</v>
      </c>
      <c r="H1050" s="25">
        <f>Source!O207</f>
        <v>1132.9100000000001</v>
      </c>
      <c r="T1050">
        <f>Source!O207+Source!X207+Source!Y207</f>
        <v>2322.46</v>
      </c>
      <c r="U1050">
        <f>Source!P207</f>
        <v>0</v>
      </c>
      <c r="V1050">
        <f>Source!S207</f>
        <v>1132.9100000000001</v>
      </c>
      <c r="W1050">
        <f>Source!Q207</f>
        <v>0</v>
      </c>
      <c r="X1050">
        <f>Source!R207</f>
        <v>0</v>
      </c>
      <c r="Y1050">
        <f>Source!U207</f>
        <v>7.04</v>
      </c>
      <c r="Z1050">
        <f>Source!V207</f>
        <v>0</v>
      </c>
      <c r="AA1050">
        <f>Source!X207</f>
        <v>736.39</v>
      </c>
      <c r="AB1050">
        <f>Source!Y207</f>
        <v>453.16</v>
      </c>
    </row>
    <row r="1051" spans="1:28" ht="14.25" x14ac:dyDescent="0.2">
      <c r="C1051" s="26" t="s">
        <v>1831</v>
      </c>
      <c r="D1051" s="26">
        <f>Source!BA207</f>
        <v>12.56</v>
      </c>
      <c r="F1051" s="12"/>
      <c r="G1051" s="12"/>
      <c r="H1051" s="12"/>
    </row>
    <row r="1052" spans="1:28" x14ac:dyDescent="0.2">
      <c r="C1052" s="9" t="s">
        <v>1835</v>
      </c>
      <c r="D1052" s="38"/>
      <c r="E1052" s="38"/>
      <c r="F1052" s="38">
        <f>Source!BZ207</f>
        <v>65</v>
      </c>
      <c r="G1052" s="61">
        <f>(Source!AF207+Source!AE207)*Source!FX207/100</f>
        <v>2.665</v>
      </c>
      <c r="H1052" s="61">
        <f>Source!X207</f>
        <v>736.39</v>
      </c>
    </row>
    <row r="1053" spans="1:28" x14ac:dyDescent="0.2">
      <c r="C1053" s="9" t="s">
        <v>1837</v>
      </c>
      <c r="D1053" s="38"/>
      <c r="E1053" s="38"/>
      <c r="F1053" s="38">
        <f>Source!CA207</f>
        <v>40</v>
      </c>
      <c r="G1053" s="61">
        <f>(Source!AF207+Source!AE207)*Source!FY207/100</f>
        <v>1.64</v>
      </c>
      <c r="H1053" s="61">
        <f>Source!Y207</f>
        <v>453.16</v>
      </c>
    </row>
    <row r="1054" spans="1:28" x14ac:dyDescent="0.2">
      <c r="C1054" s="9" t="s">
        <v>1839</v>
      </c>
      <c r="D1054" s="38"/>
      <c r="E1054" s="38"/>
      <c r="F1054" s="38"/>
      <c r="G1054" s="61">
        <f>((Source!AF207+Source!AE207)*Source!FX207/100)+((Source!AF207+Source!AE207)*Source!FY207/100)+Source!AB207</f>
        <v>8.4049999999999994</v>
      </c>
      <c r="H1054" s="61">
        <f>Source!O207+Source!X207+Source!Y207</f>
        <v>2322.46</v>
      </c>
    </row>
    <row r="1055" spans="1:28" ht="42.75" x14ac:dyDescent="0.2">
      <c r="A1055" s="50">
        <v>144</v>
      </c>
      <c r="B1055" s="50" t="str">
        <f>Source!E208</f>
        <v>75</v>
      </c>
      <c r="C1055" s="50" t="str">
        <f>Source!G208</f>
        <v>Проверка наличия цепи между заземлителями и заземленными элементами</v>
      </c>
      <c r="D1055" s="50" t="str">
        <f>Source!F208</f>
        <v>п01-11-011-01</v>
      </c>
      <c r="E1055" s="35" t="str">
        <f>Source!H208</f>
        <v>100 измерений</v>
      </c>
      <c r="F1055" s="12">
        <f>Source!I208</f>
        <v>0.32</v>
      </c>
      <c r="G1055" s="25">
        <f>Source!AB208</f>
        <v>165.95</v>
      </c>
      <c r="H1055" s="25">
        <f>Source!O208</f>
        <v>666.99</v>
      </c>
      <c r="T1055">
        <f>Source!O208+Source!X208+Source!Y208</f>
        <v>1367.33</v>
      </c>
      <c r="U1055">
        <f>Source!P208</f>
        <v>0</v>
      </c>
      <c r="V1055">
        <f>Source!S208</f>
        <v>666.99</v>
      </c>
      <c r="W1055">
        <f>Source!Q208</f>
        <v>0</v>
      </c>
      <c r="X1055">
        <f>Source!R208</f>
        <v>0</v>
      </c>
      <c r="Y1055">
        <f>Source!U208</f>
        <v>4.1472000000000007</v>
      </c>
      <c r="Z1055">
        <f>Source!V208</f>
        <v>0</v>
      </c>
      <c r="AA1055">
        <f>Source!X208</f>
        <v>433.54</v>
      </c>
      <c r="AB1055">
        <f>Source!Y208</f>
        <v>266.8</v>
      </c>
    </row>
    <row r="1056" spans="1:28" ht="14.25" x14ac:dyDescent="0.2">
      <c r="C1056" s="26" t="str">
        <f>"Объем: "&amp;Source!I208&amp;"=32/"&amp;"100"</f>
        <v>Объем: 0,32=32/100</v>
      </c>
      <c r="F1056" s="12"/>
      <c r="G1056" s="12"/>
      <c r="H1056" s="12"/>
    </row>
    <row r="1057" spans="1:28" x14ac:dyDescent="0.2">
      <c r="C1057" s="26" t="s">
        <v>1831</v>
      </c>
      <c r="D1057" s="26">
        <f>Source!BA208</f>
        <v>12.56</v>
      </c>
    </row>
    <row r="1058" spans="1:28" x14ac:dyDescent="0.2">
      <c r="C1058" s="9" t="s">
        <v>1835</v>
      </c>
      <c r="D1058" s="38"/>
      <c r="E1058" s="38"/>
      <c r="F1058" s="38">
        <f>Source!BZ208</f>
        <v>65</v>
      </c>
      <c r="G1058" s="61">
        <f>(Source!AF208+Source!AE208)*Source!FX208/100</f>
        <v>107.86750000000001</v>
      </c>
      <c r="H1058" s="61">
        <f>Source!X208</f>
        <v>433.54</v>
      </c>
    </row>
    <row r="1059" spans="1:28" x14ac:dyDescent="0.2">
      <c r="C1059" s="9" t="s">
        <v>1837</v>
      </c>
      <c r="D1059" s="38"/>
      <c r="E1059" s="38"/>
      <c r="F1059" s="38">
        <f>Source!CA208</f>
        <v>40</v>
      </c>
      <c r="G1059" s="61">
        <f>(Source!AF208+Source!AE208)*Source!FY208/100</f>
        <v>66.38</v>
      </c>
      <c r="H1059" s="61">
        <f>Source!Y208</f>
        <v>266.8</v>
      </c>
    </row>
    <row r="1060" spans="1:28" x14ac:dyDescent="0.2">
      <c r="C1060" s="9" t="s">
        <v>1839</v>
      </c>
      <c r="D1060" s="38"/>
      <c r="E1060" s="38"/>
      <c r="F1060" s="38"/>
      <c r="G1060" s="61">
        <f>((Source!AF208+Source!AE208)*Source!FX208/100)+((Source!AF208+Source!AE208)*Source!FY208/100)+Source!AB208</f>
        <v>340.19749999999999</v>
      </c>
      <c r="H1060" s="61">
        <f>Source!O208+Source!X208+Source!Y208</f>
        <v>1367.33</v>
      </c>
    </row>
    <row r="1061" spans="1:28" ht="28.5" x14ac:dyDescent="0.2">
      <c r="A1061" s="50">
        <v>145</v>
      </c>
      <c r="B1061" s="50" t="str">
        <f>Source!E209</f>
        <v>76</v>
      </c>
      <c r="C1061" s="50" t="str">
        <f>Source!G209</f>
        <v>Замер полного сопротивления цепи "фаза-нуль"</v>
      </c>
      <c r="D1061" s="50" t="str">
        <f>Source!F209</f>
        <v>п01-11-013-01</v>
      </c>
      <c r="E1061" s="35" t="str">
        <f>Source!H209</f>
        <v>ШТ</v>
      </c>
      <c r="F1061" s="12">
        <f>Source!I209</f>
        <v>2</v>
      </c>
      <c r="G1061" s="25">
        <f>Source!AB209</f>
        <v>15.62</v>
      </c>
      <c r="H1061" s="25">
        <f>Source!O209</f>
        <v>392.37</v>
      </c>
      <c r="T1061">
        <f>Source!O209+Source!X209+Source!Y209</f>
        <v>804.3599999999999</v>
      </c>
      <c r="U1061">
        <f>Source!P209</f>
        <v>0</v>
      </c>
      <c r="V1061">
        <f>Source!S209</f>
        <v>392.37</v>
      </c>
      <c r="W1061">
        <f>Source!Q209</f>
        <v>0</v>
      </c>
      <c r="X1061">
        <f>Source!R209</f>
        <v>0</v>
      </c>
      <c r="Y1061">
        <f>Source!U209</f>
        <v>2.44</v>
      </c>
      <c r="Z1061">
        <f>Source!V209</f>
        <v>0</v>
      </c>
      <c r="AA1061">
        <f>Source!X209</f>
        <v>255.04</v>
      </c>
      <c r="AB1061">
        <f>Source!Y209</f>
        <v>156.94999999999999</v>
      </c>
    </row>
    <row r="1062" spans="1:28" ht="14.25" x14ac:dyDescent="0.2">
      <c r="C1062" s="26" t="s">
        <v>1831</v>
      </c>
      <c r="D1062" s="26">
        <f>Source!BA209</f>
        <v>12.56</v>
      </c>
      <c r="F1062" s="12"/>
      <c r="G1062" s="12"/>
      <c r="H1062" s="12"/>
    </row>
    <row r="1063" spans="1:28" x14ac:dyDescent="0.2">
      <c r="C1063" s="9" t="s">
        <v>1835</v>
      </c>
      <c r="D1063" s="38"/>
      <c r="E1063" s="38"/>
      <c r="F1063" s="38">
        <f>Source!BZ209</f>
        <v>65</v>
      </c>
      <c r="G1063" s="61">
        <f>(Source!AF209+Source!AE209)*Source!FX209/100</f>
        <v>10.152999999999999</v>
      </c>
      <c r="H1063" s="61">
        <f>Source!X209</f>
        <v>255.04</v>
      </c>
    </row>
    <row r="1064" spans="1:28" x14ac:dyDescent="0.2">
      <c r="C1064" s="9" t="s">
        <v>1837</v>
      </c>
      <c r="D1064" s="38"/>
      <c r="E1064" s="38"/>
      <c r="F1064" s="38">
        <f>Source!CA209</f>
        <v>40</v>
      </c>
      <c r="G1064" s="61">
        <f>(Source!AF209+Source!AE209)*Source!FY209/100</f>
        <v>6.2479999999999993</v>
      </c>
      <c r="H1064" s="61">
        <f>Source!Y209</f>
        <v>156.94999999999999</v>
      </c>
    </row>
    <row r="1065" spans="1:28" x14ac:dyDescent="0.2">
      <c r="C1065" s="9" t="s">
        <v>1839</v>
      </c>
      <c r="D1065" s="38"/>
      <c r="E1065" s="38"/>
      <c r="F1065" s="38"/>
      <c r="G1065" s="61">
        <f>((Source!AF209+Source!AE209)*Source!FX209/100)+((Source!AF209+Source!AE209)*Source!FY209/100)+Source!AB209</f>
        <v>32.020999999999994</v>
      </c>
      <c r="H1065" s="61">
        <f>Source!O209+Source!X209+Source!Y209</f>
        <v>804.3599999999999</v>
      </c>
    </row>
    <row r="1066" spans="1:28" ht="57" x14ac:dyDescent="0.2">
      <c r="A1066" s="50">
        <v>146</v>
      </c>
      <c r="B1066" s="50" t="str">
        <f>Source!E210</f>
        <v>77</v>
      </c>
      <c r="C1066" s="50" t="str">
        <f>Source!G210</f>
        <v>Выключатель однополюсный напряжением до 1 кВ с электромагнитным, тепловым или комбинированным расцепителем</v>
      </c>
      <c r="D1066" s="50" t="str">
        <f>Source!F210</f>
        <v>п01-03-001-01</v>
      </c>
      <c r="E1066" s="35" t="str">
        <f>Source!H210</f>
        <v>ШТ</v>
      </c>
      <c r="F1066" s="12">
        <f>Source!I210</f>
        <v>22</v>
      </c>
      <c r="G1066" s="25">
        <f>Source!AB210</f>
        <v>12.78</v>
      </c>
      <c r="H1066" s="25">
        <f>Source!O210</f>
        <v>3531.37</v>
      </c>
      <c r="T1066">
        <f>Source!O210+Source!X210+Source!Y210</f>
        <v>7239.31</v>
      </c>
      <c r="U1066">
        <f>Source!P210</f>
        <v>0</v>
      </c>
      <c r="V1066">
        <f>Source!S210</f>
        <v>3531.37</v>
      </c>
      <c r="W1066">
        <f>Source!Q210</f>
        <v>0</v>
      </c>
      <c r="X1066">
        <f>Source!R210</f>
        <v>0</v>
      </c>
      <c r="Y1066">
        <f>Source!U210</f>
        <v>29.92</v>
      </c>
      <c r="Z1066">
        <f>Source!V210</f>
        <v>0</v>
      </c>
      <c r="AA1066">
        <f>Source!X210</f>
        <v>2295.39</v>
      </c>
      <c r="AB1066">
        <f>Source!Y210</f>
        <v>1412.55</v>
      </c>
    </row>
    <row r="1067" spans="1:28" ht="14.25" x14ac:dyDescent="0.2">
      <c r="C1067" s="26" t="s">
        <v>1831</v>
      </c>
      <c r="D1067" s="26">
        <f>Source!BA210</f>
        <v>12.56</v>
      </c>
      <c r="F1067" s="12"/>
      <c r="G1067" s="12"/>
      <c r="H1067" s="12"/>
    </row>
    <row r="1068" spans="1:28" x14ac:dyDescent="0.2">
      <c r="C1068" s="9" t="s">
        <v>1835</v>
      </c>
      <c r="D1068" s="38"/>
      <c r="E1068" s="38"/>
      <c r="F1068" s="38">
        <f>Source!BZ210</f>
        <v>65</v>
      </c>
      <c r="G1068" s="61">
        <f>(Source!AF210+Source!AE210)*Source!FX210/100</f>
        <v>8.3069999999999986</v>
      </c>
      <c r="H1068" s="61">
        <f>Source!X210</f>
        <v>2295.39</v>
      </c>
    </row>
    <row r="1069" spans="1:28" x14ac:dyDescent="0.2">
      <c r="C1069" s="9" t="s">
        <v>1837</v>
      </c>
      <c r="D1069" s="38"/>
      <c r="E1069" s="38"/>
      <c r="F1069" s="38">
        <f>Source!CA210</f>
        <v>40</v>
      </c>
      <c r="G1069" s="61">
        <f>(Source!AF210+Source!AE210)*Source!FY210/100</f>
        <v>5.1120000000000001</v>
      </c>
      <c r="H1069" s="61">
        <f>Source!Y210</f>
        <v>1412.55</v>
      </c>
    </row>
    <row r="1070" spans="1:28" x14ac:dyDescent="0.2">
      <c r="C1070" s="9" t="s">
        <v>1839</v>
      </c>
      <c r="D1070" s="38"/>
      <c r="E1070" s="38"/>
      <c r="F1070" s="38"/>
      <c r="G1070" s="61">
        <f>((Source!AF210+Source!AE210)*Source!FX210/100)+((Source!AF210+Source!AE210)*Source!FY210/100)+Source!AB210</f>
        <v>26.198999999999998</v>
      </c>
      <c r="H1070" s="61">
        <f>Source!O210+Source!X210+Source!Y210</f>
        <v>7239.31</v>
      </c>
    </row>
    <row r="1072" spans="1:28" ht="15" x14ac:dyDescent="0.25">
      <c r="A1072" s="62"/>
      <c r="B1072" s="62"/>
      <c r="C1072" s="91" t="str">
        <f>CONCATENATE("Итого по разделу: ",IF(Source!G212&lt;&gt;"Новый раздел", Source!G212, ""))</f>
        <v>Итого по разделу: Система электроснабжения</v>
      </c>
      <c r="D1072" s="91"/>
      <c r="E1072" s="91"/>
      <c r="F1072" s="91"/>
      <c r="G1072" s="62"/>
      <c r="H1072" s="63">
        <f>IF(SUM(T763:T1071)=0, "-", SUM(T763:T1071))</f>
        <v>229258.16999999993</v>
      </c>
    </row>
    <row r="1073" spans="1:28" ht="15" x14ac:dyDescent="0.25">
      <c r="A1073" s="62"/>
      <c r="B1073" s="62"/>
      <c r="C1073" s="62"/>
      <c r="D1073" s="62"/>
      <c r="E1073" s="62"/>
      <c r="F1073" s="62"/>
      <c r="G1073" s="62"/>
      <c r="H1073" s="62"/>
    </row>
    <row r="1075" spans="1:28" ht="14.25" x14ac:dyDescent="0.2">
      <c r="C1075" s="117" t="str">
        <f>Source!H240</f>
        <v>Всего</v>
      </c>
      <c r="D1075" s="117"/>
      <c r="E1075" s="117"/>
      <c r="F1075" s="117"/>
      <c r="G1075" s="83">
        <f>IF(Source!F240=0, "", Source!F240)</f>
        <v>229258.17</v>
      </c>
      <c r="H1075" s="83"/>
    </row>
    <row r="1076" spans="1:28" ht="14.25" x14ac:dyDescent="0.2">
      <c r="C1076" s="117" t="str">
        <f>Source!H241</f>
        <v>Итого НДС 18%</v>
      </c>
      <c r="D1076" s="117"/>
      <c r="E1076" s="117"/>
      <c r="F1076" s="117"/>
      <c r="G1076" s="83">
        <f>IF(Source!F241=0, "", Source!F241)</f>
        <v>41266.47</v>
      </c>
      <c r="H1076" s="83"/>
    </row>
    <row r="1077" spans="1:28" ht="14.25" x14ac:dyDescent="0.2">
      <c r="C1077" s="117" t="str">
        <f>Source!H242</f>
        <v>Всего по смете</v>
      </c>
      <c r="D1077" s="117"/>
      <c r="E1077" s="117"/>
      <c r="F1077" s="117"/>
      <c r="G1077" s="83">
        <f>IF(Source!F242=0, "", Source!F242)</f>
        <v>270524.64</v>
      </c>
      <c r="H1077" s="83"/>
    </row>
    <row r="1079" spans="1:28" ht="16.5" x14ac:dyDescent="0.25">
      <c r="A1079" s="89" t="str">
        <f>CONCATENATE("Раздел: ",IF(Source!G244&lt;&gt;"Новый раздел", Source!G244, ""))</f>
        <v>Раздел: Отопление и вентиляция</v>
      </c>
      <c r="B1079" s="89"/>
      <c r="C1079" s="89"/>
      <c r="D1079" s="89"/>
      <c r="E1079" s="89"/>
      <c r="F1079" s="89"/>
      <c r="G1079" s="89"/>
      <c r="H1079" s="89"/>
    </row>
    <row r="1080" spans="1:28" ht="42.75" x14ac:dyDescent="0.2">
      <c r="A1080" s="50">
        <v>147</v>
      </c>
      <c r="B1080" s="50" t="str">
        <f>Source!E248</f>
        <v>78</v>
      </c>
      <c r="C1080" s="50" t="str">
        <f>Source!G248</f>
        <v>Разборка трубопроводов из водогазопроводных труб диаметром до 32 мм</v>
      </c>
      <c r="D1080" s="50" t="str">
        <f>Source!F248</f>
        <v>65-1-1</v>
      </c>
      <c r="E1080" s="35" t="str">
        <f>Source!H248</f>
        <v>100 м</v>
      </c>
      <c r="F1080" s="12">
        <f>Source!I248</f>
        <v>0.89500000000000002</v>
      </c>
      <c r="G1080" s="25">
        <f>Source!AB248</f>
        <v>295.11</v>
      </c>
      <c r="H1080" s="25">
        <f>Source!O248</f>
        <v>1883.2</v>
      </c>
      <c r="T1080">
        <f>Source!O248+Source!X248+Source!Y248</f>
        <v>4172.95</v>
      </c>
      <c r="U1080">
        <f>Source!P248</f>
        <v>0</v>
      </c>
      <c r="V1080">
        <f>Source!S248</f>
        <v>1837.96</v>
      </c>
      <c r="W1080">
        <f>Source!Q248</f>
        <v>45.24</v>
      </c>
      <c r="X1080">
        <f>Source!R248</f>
        <v>8.61</v>
      </c>
      <c r="Y1080">
        <f>Source!U248</f>
        <v>31.020699999999998</v>
      </c>
      <c r="Z1080">
        <f>Source!V248</f>
        <v>8.950000000000001E-2</v>
      </c>
      <c r="AA1080">
        <f>Source!X248</f>
        <v>1366.46</v>
      </c>
      <c r="AB1080">
        <f>Source!Y248</f>
        <v>923.29</v>
      </c>
    </row>
    <row r="1081" spans="1:28" ht="14.25" x14ac:dyDescent="0.2">
      <c r="C1081" s="26" t="str">
        <f>"Объем: "&amp;Source!I248&amp;"=89,5/"&amp;"100"</f>
        <v>Объем: 0,895=89,5/100</v>
      </c>
      <c r="F1081" s="12"/>
      <c r="G1081" s="12"/>
      <c r="H1081" s="12"/>
    </row>
    <row r="1082" spans="1:28" x14ac:dyDescent="0.2">
      <c r="C1082" s="26" t="s">
        <v>1831</v>
      </c>
      <c r="D1082" s="26">
        <f>Source!BA248</f>
        <v>7.13</v>
      </c>
    </row>
    <row r="1083" spans="1:28" x14ac:dyDescent="0.2">
      <c r="C1083" s="26" t="s">
        <v>1832</v>
      </c>
      <c r="D1083" s="26">
        <f>Source!BB248</f>
        <v>7.13</v>
      </c>
    </row>
    <row r="1084" spans="1:28" x14ac:dyDescent="0.2">
      <c r="C1084" s="26" t="s">
        <v>1833</v>
      </c>
      <c r="D1084" s="26">
        <f>Source!BC248</f>
        <v>7.13</v>
      </c>
    </row>
    <row r="1085" spans="1:28" x14ac:dyDescent="0.2">
      <c r="C1085" s="26" t="s">
        <v>1834</v>
      </c>
      <c r="D1085" s="26">
        <f>Source!BS248</f>
        <v>7.13</v>
      </c>
    </row>
    <row r="1086" spans="1:28" x14ac:dyDescent="0.2">
      <c r="C1086" s="26" t="s">
        <v>1840</v>
      </c>
      <c r="D1086" s="116" t="s">
        <v>30</v>
      </c>
      <c r="E1086" s="116"/>
      <c r="F1086" s="116"/>
      <c r="G1086" s="116"/>
      <c r="H1086" s="116"/>
    </row>
    <row r="1087" spans="1:28" x14ac:dyDescent="0.2">
      <c r="C1087" s="9" t="s">
        <v>1835</v>
      </c>
      <c r="D1087" s="38"/>
      <c r="E1087" s="38"/>
      <c r="F1087" s="38">
        <f>Source!BZ248</f>
        <v>74</v>
      </c>
      <c r="G1087" s="61">
        <f>(Source!AF248+Source!AE248)*Source!FX248/100</f>
        <v>214.13380000000001</v>
      </c>
      <c r="H1087" s="61">
        <f>Source!X248</f>
        <v>1366.46</v>
      </c>
    </row>
    <row r="1088" spans="1:28" x14ac:dyDescent="0.2">
      <c r="C1088" s="9" t="s">
        <v>1837</v>
      </c>
      <c r="D1088" s="38"/>
      <c r="E1088" s="38"/>
      <c r="F1088" s="38">
        <f>Source!CA248</f>
        <v>50</v>
      </c>
      <c r="G1088" s="61">
        <f>(Source!AF248+Source!AE248)*Source!FY248/100</f>
        <v>144.685</v>
      </c>
      <c r="H1088" s="61">
        <f>Source!Y248</f>
        <v>923.29</v>
      </c>
    </row>
    <row r="1089" spans="1:28" x14ac:dyDescent="0.2">
      <c r="C1089" s="9" t="s">
        <v>1839</v>
      </c>
      <c r="D1089" s="38"/>
      <c r="E1089" s="38"/>
      <c r="F1089" s="38"/>
      <c r="G1089" s="61">
        <f>((Source!AF248+Source!AE248)*Source!FX248/100)+((Source!AF248+Source!AE248)*Source!FY248/100)+Source!AB248</f>
        <v>653.92880000000002</v>
      </c>
      <c r="H1089" s="61">
        <f>Source!O248+Source!X248+Source!Y248</f>
        <v>4172.95</v>
      </c>
    </row>
    <row r="1090" spans="1:28" ht="28.5" x14ac:dyDescent="0.2">
      <c r="A1090" s="50">
        <v>148</v>
      </c>
      <c r="B1090" s="50" t="str">
        <f>Source!E249</f>
        <v>79</v>
      </c>
      <c r="C1090" s="50" t="str">
        <f>Source!G249</f>
        <v>Прокладка гильз из трубы ПНД, диаметр до 50 мм (40 мм)</v>
      </c>
      <c r="D1090" s="50" t="str">
        <f>Source!F249</f>
        <v>м08-02-410-02</v>
      </c>
      <c r="E1090" s="35" t="str">
        <f>Source!H249</f>
        <v>100 м</v>
      </c>
      <c r="F1090" s="12">
        <f>Source!I249</f>
        <v>0.21199999999999999</v>
      </c>
      <c r="G1090" s="25">
        <f>Source!AB249</f>
        <v>250.92</v>
      </c>
      <c r="H1090" s="25">
        <f>Source!O249</f>
        <v>379.28</v>
      </c>
      <c r="T1090">
        <f>Source!O249+Source!X249+Source!Y249</f>
        <v>733.37</v>
      </c>
      <c r="U1090">
        <f>Source!P249</f>
        <v>132.62</v>
      </c>
      <c r="V1090">
        <f>Source!S249</f>
        <v>217.11</v>
      </c>
      <c r="W1090">
        <f>Source!Q249</f>
        <v>29.55</v>
      </c>
      <c r="X1090">
        <f>Source!R249</f>
        <v>4.1900000000000004</v>
      </c>
      <c r="Y1090">
        <f>Source!U249</f>
        <v>3.2393599999999996</v>
      </c>
      <c r="Z1090">
        <f>Source!V249</f>
        <v>4.6640000000000001E-2</v>
      </c>
      <c r="AA1090">
        <f>Source!X249</f>
        <v>210.24</v>
      </c>
      <c r="AB1090">
        <f>Source!Y249</f>
        <v>143.85</v>
      </c>
    </row>
    <row r="1091" spans="1:28" ht="14.25" x14ac:dyDescent="0.2">
      <c r="C1091" s="26" t="str">
        <f>"Объем: "&amp;Source!I249&amp;"=21,2/"&amp;"100"</f>
        <v>Объем: 0,212=21,2/100</v>
      </c>
      <c r="F1091" s="12"/>
      <c r="G1091" s="12"/>
      <c r="H1091" s="12"/>
    </row>
    <row r="1092" spans="1:28" x14ac:dyDescent="0.2">
      <c r="C1092" s="26" t="s">
        <v>1831</v>
      </c>
      <c r="D1092" s="26">
        <f>Source!BA249</f>
        <v>7.13</v>
      </c>
    </row>
    <row r="1093" spans="1:28" x14ac:dyDescent="0.2">
      <c r="C1093" s="26" t="s">
        <v>1832</v>
      </c>
      <c r="D1093" s="26">
        <f>Source!BB249</f>
        <v>7.13</v>
      </c>
    </row>
    <row r="1094" spans="1:28" x14ac:dyDescent="0.2">
      <c r="C1094" s="26" t="s">
        <v>1833</v>
      </c>
      <c r="D1094" s="26">
        <f>Source!BC249</f>
        <v>7.13</v>
      </c>
    </row>
    <row r="1095" spans="1:28" x14ac:dyDescent="0.2">
      <c r="C1095" s="26" t="s">
        <v>1834</v>
      </c>
      <c r="D1095" s="26">
        <f>Source!BS249</f>
        <v>7.13</v>
      </c>
    </row>
    <row r="1096" spans="1:28" x14ac:dyDescent="0.2">
      <c r="C1096" s="9" t="s">
        <v>1835</v>
      </c>
      <c r="D1096" s="38"/>
      <c r="E1096" s="38"/>
      <c r="F1096" s="38">
        <f>Source!BZ249</f>
        <v>95</v>
      </c>
      <c r="G1096" s="61">
        <f>(Source!AF249+Source!AE249)*Source!FX249/100</f>
        <v>139.08000000000001</v>
      </c>
      <c r="H1096" s="61">
        <f>Source!X249</f>
        <v>210.24</v>
      </c>
    </row>
    <row r="1097" spans="1:28" x14ac:dyDescent="0.2">
      <c r="C1097" s="9" t="s">
        <v>1837</v>
      </c>
      <c r="D1097" s="38"/>
      <c r="E1097" s="38"/>
      <c r="F1097" s="38">
        <f>Source!CA249</f>
        <v>65</v>
      </c>
      <c r="G1097" s="61">
        <f>(Source!AF249+Source!AE249)*Source!FY249/100</f>
        <v>95.16</v>
      </c>
      <c r="H1097" s="61">
        <f>Source!Y249</f>
        <v>143.85</v>
      </c>
    </row>
    <row r="1098" spans="1:28" x14ac:dyDescent="0.2">
      <c r="C1098" s="9" t="s">
        <v>1839</v>
      </c>
      <c r="D1098" s="38"/>
      <c r="E1098" s="38"/>
      <c r="F1098" s="38"/>
      <c r="G1098" s="61">
        <f>((Source!AF249+Source!AE249)*Source!FX249/100)+((Source!AF249+Source!AE249)*Source!FY249/100)+Source!AB249</f>
        <v>485.15999999999997</v>
      </c>
      <c r="H1098" s="61">
        <f>Source!O249+Source!X249+Source!Y249</f>
        <v>733.37</v>
      </c>
    </row>
    <row r="1099" spans="1:28" ht="28.5" x14ac:dyDescent="0.2">
      <c r="A1099" s="50">
        <v>149</v>
      </c>
      <c r="B1099" s="50" t="str">
        <f>Source!E250</f>
        <v>79,1</v>
      </c>
      <c r="C1099" s="50" t="str">
        <f>Source!G250</f>
        <v>Трубы гладкие одностенные легкие из ПНД, диаметром 40 мм</v>
      </c>
      <c r="D1099" s="50" t="str">
        <f>Source!F250</f>
        <v>24.3.03.13-0305</v>
      </c>
      <c r="E1099" s="35" t="str">
        <f>Source!H250</f>
        <v>10 м</v>
      </c>
      <c r="F1099" s="12">
        <f>Source!I250</f>
        <v>2.12</v>
      </c>
      <c r="G1099" s="25">
        <f>Source!AB250</f>
        <v>149.84</v>
      </c>
      <c r="H1099" s="25">
        <f>Source!O250</f>
        <v>2264.92</v>
      </c>
      <c r="T1099">
        <f>Source!O250+Source!X250+Source!Y250</f>
        <v>2264.92</v>
      </c>
      <c r="U1099">
        <f>Source!P250</f>
        <v>2264.92</v>
      </c>
      <c r="V1099">
        <f>Source!S250</f>
        <v>0</v>
      </c>
      <c r="W1099">
        <f>Source!Q250</f>
        <v>0</v>
      </c>
      <c r="X1099">
        <f>Source!R250</f>
        <v>0</v>
      </c>
      <c r="Y1099">
        <f>Source!U250</f>
        <v>0</v>
      </c>
      <c r="Z1099">
        <f>Source!V250</f>
        <v>0</v>
      </c>
      <c r="AA1099">
        <f>Source!X250</f>
        <v>0</v>
      </c>
      <c r="AB1099">
        <f>Source!Y250</f>
        <v>0</v>
      </c>
    </row>
    <row r="1100" spans="1:28" ht="14.25" x14ac:dyDescent="0.2">
      <c r="C1100" s="26" t="s">
        <v>1833</v>
      </c>
      <c r="D1100" s="26">
        <f>Source!BC250</f>
        <v>7.13</v>
      </c>
      <c r="F1100" s="12"/>
      <c r="G1100" s="12"/>
      <c r="H1100" s="12"/>
    </row>
    <row r="1101" spans="1:28" ht="14.25" x14ac:dyDescent="0.2">
      <c r="A1101" s="50">
        <v>150</v>
      </c>
      <c r="B1101" s="50" t="str">
        <f>Source!E251</f>
        <v>80</v>
      </c>
      <c r="C1101" s="50" t="str">
        <f>Source!G251</f>
        <v>Демонтаж конвекторов</v>
      </c>
      <c r="D1101" s="50" t="str">
        <f>Source!F251</f>
        <v>65-19-5</v>
      </c>
      <c r="E1101" s="35" t="str">
        <f>Source!H251</f>
        <v>100 экм</v>
      </c>
      <c r="F1101" s="12">
        <f>Source!I251</f>
        <v>0.37108000000000002</v>
      </c>
      <c r="G1101" s="25">
        <f>Source!AB251</f>
        <v>150.27000000000001</v>
      </c>
      <c r="H1101" s="25">
        <f>Source!O251</f>
        <v>397.59</v>
      </c>
      <c r="T1101">
        <f>Source!O251+Source!X251+Source!Y251</f>
        <v>878.94999999999993</v>
      </c>
      <c r="U1101">
        <f>Source!P251</f>
        <v>0</v>
      </c>
      <c r="V1101">
        <f>Source!S251</f>
        <v>381.05</v>
      </c>
      <c r="W1101">
        <f>Source!Q251</f>
        <v>16.54</v>
      </c>
      <c r="X1101">
        <f>Source!R251</f>
        <v>7.14</v>
      </c>
      <c r="Y1101">
        <f>Source!U251</f>
        <v>6.7907640000000002</v>
      </c>
      <c r="Z1101">
        <f>Source!V251</f>
        <v>7.4216000000000004E-2</v>
      </c>
      <c r="AA1101">
        <f>Source!X251</f>
        <v>287.26</v>
      </c>
      <c r="AB1101">
        <f>Source!Y251</f>
        <v>194.1</v>
      </c>
    </row>
    <row r="1102" spans="1:28" ht="14.25" x14ac:dyDescent="0.2">
      <c r="C1102" s="26" t="str">
        <f>"Объем: "&amp;Source!I251&amp;"=37,108/"&amp;"100"</f>
        <v>Объем: 0,37108=37,108/100</v>
      </c>
      <c r="F1102" s="12"/>
      <c r="G1102" s="12"/>
      <c r="H1102" s="12"/>
    </row>
    <row r="1103" spans="1:28" x14ac:dyDescent="0.2">
      <c r="C1103" s="26" t="s">
        <v>1831</v>
      </c>
      <c r="D1103" s="26">
        <f>Source!BA251</f>
        <v>7.13</v>
      </c>
    </row>
    <row r="1104" spans="1:28" x14ac:dyDescent="0.2">
      <c r="C1104" s="26" t="s">
        <v>1832</v>
      </c>
      <c r="D1104" s="26">
        <f>Source!BB251</f>
        <v>7.13</v>
      </c>
    </row>
    <row r="1105" spans="1:28" x14ac:dyDescent="0.2">
      <c r="C1105" s="26" t="s">
        <v>1833</v>
      </c>
      <c r="D1105" s="26">
        <f>Source!BC251</f>
        <v>7.13</v>
      </c>
    </row>
    <row r="1106" spans="1:28" x14ac:dyDescent="0.2">
      <c r="C1106" s="26" t="s">
        <v>1834</v>
      </c>
      <c r="D1106" s="26">
        <f>Source!BS251</f>
        <v>7.13</v>
      </c>
    </row>
    <row r="1107" spans="1:28" x14ac:dyDescent="0.2">
      <c r="C1107" s="9" t="s">
        <v>1835</v>
      </c>
      <c r="D1107" s="38"/>
      <c r="E1107" s="38"/>
      <c r="F1107" s="38">
        <f>Source!BZ251</f>
        <v>74</v>
      </c>
      <c r="G1107" s="61">
        <f>(Source!AF251+Source!AE251)*Source!FX251/100</f>
        <v>108.5728</v>
      </c>
      <c r="H1107" s="61">
        <f>Source!X251</f>
        <v>287.26</v>
      </c>
    </row>
    <row r="1108" spans="1:28" x14ac:dyDescent="0.2">
      <c r="C1108" s="9" t="s">
        <v>1837</v>
      </c>
      <c r="D1108" s="38"/>
      <c r="E1108" s="38"/>
      <c r="F1108" s="38">
        <f>Source!CA251</f>
        <v>50</v>
      </c>
      <c r="G1108" s="61">
        <f>(Source!AF251+Source!AE251)*Source!FY251/100</f>
        <v>73.36</v>
      </c>
      <c r="H1108" s="61">
        <f>Source!Y251</f>
        <v>194.1</v>
      </c>
    </row>
    <row r="1109" spans="1:28" x14ac:dyDescent="0.2">
      <c r="C1109" s="9" t="s">
        <v>1839</v>
      </c>
      <c r="D1109" s="38"/>
      <c r="E1109" s="38"/>
      <c r="F1109" s="38"/>
      <c r="G1109" s="61">
        <f>((Source!AF251+Source!AE251)*Source!FX251/100)+((Source!AF251+Source!AE251)*Source!FY251/100)+Source!AB251</f>
        <v>332.20280000000002</v>
      </c>
      <c r="H1109" s="61">
        <f>Source!O251+Source!X251+Source!Y251</f>
        <v>878.94999999999993</v>
      </c>
    </row>
    <row r="1110" spans="1:28" ht="57" x14ac:dyDescent="0.2">
      <c r="A1110" s="50">
        <v>151</v>
      </c>
      <c r="B1110" s="50" t="str">
        <f>Source!E252</f>
        <v>81</v>
      </c>
      <c r="C1110" s="50" t="str">
        <f>Source!G252</f>
        <v>Прокладка трубопроводов отопления из стальных водогазопроводных неоцинкованных труб диаметром 25 мм</v>
      </c>
      <c r="D1110" s="50" t="str">
        <f>Source!F252</f>
        <v>16-02-001-03</v>
      </c>
      <c r="E1110" s="35" t="str">
        <f>Source!H252</f>
        <v>100 м</v>
      </c>
      <c r="F1110" s="12">
        <f>Source!I252</f>
        <v>0.66900000000000004</v>
      </c>
      <c r="G1110" s="25">
        <f>Source!AB252</f>
        <v>441.55</v>
      </c>
      <c r="H1110" s="25">
        <f>Source!O252</f>
        <v>2106.1799999999998</v>
      </c>
      <c r="T1110">
        <f>Source!O252+Source!X252+Source!Y252</f>
        <v>5409.82</v>
      </c>
      <c r="U1110">
        <f>Source!P252</f>
        <v>133.03</v>
      </c>
      <c r="V1110">
        <f>Source!S252</f>
        <v>1739.85</v>
      </c>
      <c r="W1110">
        <f>Source!Q252</f>
        <v>233.3</v>
      </c>
      <c r="X1110">
        <f>Source!R252</f>
        <v>36.299999999999997</v>
      </c>
      <c r="Y1110">
        <f>Source!U252</f>
        <v>25.365469499999996</v>
      </c>
      <c r="Z1110">
        <f>Source!V252</f>
        <v>0.41812500000000002</v>
      </c>
      <c r="AA1110">
        <f>Source!X252</f>
        <v>2042.57</v>
      </c>
      <c r="AB1110">
        <f>Source!Y252</f>
        <v>1261.07</v>
      </c>
    </row>
    <row r="1111" spans="1:28" ht="14.25" x14ac:dyDescent="0.2">
      <c r="C1111" s="26" t="str">
        <f>"Объем: "&amp;Source!I252&amp;"=66,9/"&amp;"100"</f>
        <v>Объем: 0,669=66,9/100</v>
      </c>
      <c r="F1111" s="12"/>
      <c r="G1111" s="12"/>
      <c r="H1111" s="12"/>
    </row>
    <row r="1112" spans="1:28" x14ac:dyDescent="0.2">
      <c r="C1112" s="26" t="s">
        <v>1831</v>
      </c>
      <c r="D1112" s="26">
        <f>Source!BA252</f>
        <v>7.13</v>
      </c>
    </row>
    <row r="1113" spans="1:28" x14ac:dyDescent="0.2">
      <c r="C1113" s="26" t="s">
        <v>1832</v>
      </c>
      <c r="D1113" s="26">
        <f>Source!BB252</f>
        <v>7.13</v>
      </c>
    </row>
    <row r="1114" spans="1:28" x14ac:dyDescent="0.2">
      <c r="C1114" s="26" t="s">
        <v>1833</v>
      </c>
      <c r="D1114" s="26">
        <f>Source!BC252</f>
        <v>7.13</v>
      </c>
    </row>
    <row r="1115" spans="1:28" x14ac:dyDescent="0.2">
      <c r="C1115" s="26" t="s">
        <v>1834</v>
      </c>
      <c r="D1115" s="26">
        <f>Source!BS252</f>
        <v>7.13</v>
      </c>
    </row>
    <row r="1116" spans="1:28" x14ac:dyDescent="0.2">
      <c r="C1116" s="26" t="s">
        <v>1841</v>
      </c>
      <c r="D1116" s="116" t="s">
        <v>81</v>
      </c>
      <c r="E1116" s="116"/>
      <c r="F1116" s="116"/>
      <c r="G1116" s="116"/>
      <c r="H1116" s="116"/>
    </row>
    <row r="1117" spans="1:28" x14ac:dyDescent="0.2">
      <c r="C1117" s="26" t="s">
        <v>1842</v>
      </c>
      <c r="D1117" s="116" t="s">
        <v>81</v>
      </c>
      <c r="E1117" s="116"/>
      <c r="F1117" s="116"/>
      <c r="G1117" s="116"/>
      <c r="H1117" s="116"/>
    </row>
    <row r="1118" spans="1:28" x14ac:dyDescent="0.2">
      <c r="C1118" s="26" t="s">
        <v>1843</v>
      </c>
      <c r="D1118" s="116" t="s">
        <v>82</v>
      </c>
      <c r="E1118" s="116"/>
      <c r="F1118" s="116"/>
      <c r="G1118" s="116"/>
      <c r="H1118" s="116"/>
    </row>
    <row r="1119" spans="1:28" x14ac:dyDescent="0.2">
      <c r="C1119" s="26" t="s">
        <v>1844</v>
      </c>
      <c r="D1119" s="116" t="s">
        <v>82</v>
      </c>
      <c r="E1119" s="116"/>
      <c r="F1119" s="116"/>
      <c r="G1119" s="116"/>
      <c r="H1119" s="116"/>
    </row>
    <row r="1120" spans="1:28" x14ac:dyDescent="0.2">
      <c r="C1120" s="26" t="s">
        <v>1845</v>
      </c>
      <c r="D1120" s="116" t="s">
        <v>81</v>
      </c>
      <c r="E1120" s="116"/>
      <c r="F1120" s="116"/>
      <c r="G1120" s="116"/>
      <c r="H1120" s="116"/>
    </row>
    <row r="1121" spans="1:28" x14ac:dyDescent="0.2">
      <c r="C1121" s="9" t="s">
        <v>1835</v>
      </c>
      <c r="D1121" s="38"/>
      <c r="E1121" s="38"/>
      <c r="F1121" s="38">
        <f>Source!BZ252</f>
        <v>128</v>
      </c>
      <c r="G1121" s="61">
        <f>(Source!AF252+Source!AE252)*Source!FX252/100</f>
        <v>428.95872000000003</v>
      </c>
      <c r="H1121" s="61">
        <f>Source!X252</f>
        <v>2042.57</v>
      </c>
    </row>
    <row r="1122" spans="1:28" x14ac:dyDescent="0.2">
      <c r="C1122" s="9" t="s">
        <v>1836</v>
      </c>
      <c r="D1122" s="38"/>
      <c r="E1122" s="38"/>
      <c r="F1122" s="38"/>
      <c r="G1122" s="38" t="str">
        <f>CONCATENATE(Source!DL252,Source!FT252, "=", Source!FX252, "%")</f>
        <v>*0,9=115,2%</v>
      </c>
      <c r="H1122" s="38" t="str">
        <f>CONCATENATE(Source!AT252)</f>
        <v>115</v>
      </c>
    </row>
    <row r="1123" spans="1:28" x14ac:dyDescent="0.2">
      <c r="C1123" s="9" t="s">
        <v>1837</v>
      </c>
      <c r="D1123" s="38"/>
      <c r="E1123" s="38"/>
      <c r="F1123" s="38">
        <f>Source!CA252</f>
        <v>83</v>
      </c>
      <c r="G1123" s="61">
        <f>(Source!AF252+Source!AE252)*Source!FY252/100</f>
        <v>262.69997999999998</v>
      </c>
      <c r="H1123" s="61">
        <f>Source!Y252</f>
        <v>1261.07</v>
      </c>
    </row>
    <row r="1124" spans="1:28" x14ac:dyDescent="0.2">
      <c r="C1124" s="9" t="s">
        <v>1838</v>
      </c>
      <c r="D1124" s="38"/>
      <c r="E1124" s="38"/>
      <c r="F1124" s="38"/>
      <c r="G1124" s="38" t="str">
        <f>CONCATENATE(Source!DM252,Source!FU252, "=", Source!FY252, "%")</f>
        <v>*0,85=70,55%</v>
      </c>
      <c r="H1124" s="38" t="str">
        <f>CONCATENATE(Source!AU252)</f>
        <v>71</v>
      </c>
    </row>
    <row r="1125" spans="1:28" x14ac:dyDescent="0.2">
      <c r="C1125" s="9" t="s">
        <v>1839</v>
      </c>
      <c r="D1125" s="38"/>
      <c r="E1125" s="38"/>
      <c r="F1125" s="38"/>
      <c r="G1125" s="61">
        <f>((Source!AF252+Source!AE252)*Source!FX252/100)+((Source!AF252+Source!AE252)*Source!FY252/100)+Source!AB252</f>
        <v>1133.2086999999999</v>
      </c>
      <c r="H1125" s="61">
        <f>Source!O252+Source!X252+Source!Y252</f>
        <v>5409.82</v>
      </c>
    </row>
    <row r="1126" spans="1:28" ht="57" x14ac:dyDescent="0.2">
      <c r="A1126" s="50">
        <v>152</v>
      </c>
      <c r="B1126" s="50" t="str">
        <f>Source!E253</f>
        <v>81,1</v>
      </c>
      <c r="C1126" s="50" t="str">
        <f>Source!G253</f>
        <v>Хомут металлический с одним стопорным винтом и резиновым профилем для крепления трубопроводов диаметром 25-28 мм</v>
      </c>
      <c r="D1126" s="50" t="str">
        <f>Source!F253</f>
        <v>23.1.02.06-0004</v>
      </c>
      <c r="E1126" s="35" t="str">
        <f>Source!H253</f>
        <v>10 шт.</v>
      </c>
      <c r="F1126" s="12">
        <f>Source!I253</f>
        <v>3.4</v>
      </c>
      <c r="G1126" s="25">
        <f>Source!AB253</f>
        <v>33</v>
      </c>
      <c r="H1126" s="25">
        <f>Source!O253</f>
        <v>799.99</v>
      </c>
      <c r="T1126">
        <f>Source!O253+Source!X253+Source!Y253</f>
        <v>799.99</v>
      </c>
      <c r="U1126">
        <f>Source!P253</f>
        <v>799.99</v>
      </c>
      <c r="V1126">
        <f>Source!S253</f>
        <v>0</v>
      </c>
      <c r="W1126">
        <f>Source!Q253</f>
        <v>0</v>
      </c>
      <c r="X1126">
        <f>Source!R253</f>
        <v>0</v>
      </c>
      <c r="Y1126">
        <f>Source!U253</f>
        <v>0</v>
      </c>
      <c r="Z1126">
        <f>Source!V253</f>
        <v>0</v>
      </c>
      <c r="AA1126">
        <f>Source!X253</f>
        <v>0</v>
      </c>
      <c r="AB1126">
        <f>Source!Y253</f>
        <v>0</v>
      </c>
    </row>
    <row r="1127" spans="1:28" ht="14.25" x14ac:dyDescent="0.2">
      <c r="C1127" s="26" t="s">
        <v>1833</v>
      </c>
      <c r="D1127" s="26">
        <f>Source!BC253</f>
        <v>7.13</v>
      </c>
      <c r="F1127" s="12"/>
      <c r="G1127" s="12"/>
      <c r="H1127" s="12"/>
    </row>
    <row r="1128" spans="1:28" ht="57" x14ac:dyDescent="0.2">
      <c r="A1128" s="50">
        <v>153</v>
      </c>
      <c r="B1128" s="50" t="str">
        <f>Source!E254</f>
        <v>81,2</v>
      </c>
      <c r="C1128" s="50" t="str">
        <f>Source!G254</f>
        <v>Трубопроводы из стальных водогазопроводных неоцинкованных труб с гильзами и креплениями для газоснабжения диаметром 25 мм</v>
      </c>
      <c r="D1128" s="50" t="str">
        <f>Source!F254</f>
        <v>23.7.01.03-0003</v>
      </c>
      <c r="E1128" s="35" t="str">
        <f>Source!H254</f>
        <v>м</v>
      </c>
      <c r="F1128" s="12">
        <f>Source!I254</f>
        <v>66.900000000000006</v>
      </c>
      <c r="G1128" s="25">
        <f>Source!AB254</f>
        <v>27.2</v>
      </c>
      <c r="H1128" s="25">
        <f>Source!O254</f>
        <v>12974.32</v>
      </c>
      <c r="T1128">
        <f>Source!O254+Source!X254+Source!Y254</f>
        <v>12974.32</v>
      </c>
      <c r="U1128">
        <f>Source!P254</f>
        <v>12974.32</v>
      </c>
      <c r="V1128">
        <f>Source!S254</f>
        <v>0</v>
      </c>
      <c r="W1128">
        <f>Source!Q254</f>
        <v>0</v>
      </c>
      <c r="X1128">
        <f>Source!R254</f>
        <v>0</v>
      </c>
      <c r="Y1128">
        <f>Source!U254</f>
        <v>0</v>
      </c>
      <c r="Z1128">
        <f>Source!V254</f>
        <v>0</v>
      </c>
      <c r="AA1128">
        <f>Source!X254</f>
        <v>0</v>
      </c>
      <c r="AB1128">
        <f>Source!Y254</f>
        <v>0</v>
      </c>
    </row>
    <row r="1129" spans="1:28" ht="14.25" x14ac:dyDescent="0.2">
      <c r="C1129" s="26" t="s">
        <v>1833</v>
      </c>
      <c r="D1129" s="26">
        <f>Source!BC254</f>
        <v>7.13</v>
      </c>
      <c r="F1129" s="12"/>
      <c r="G1129" s="12"/>
      <c r="H1129" s="12"/>
    </row>
    <row r="1130" spans="1:28" ht="14.25" x14ac:dyDescent="0.2">
      <c r="A1130" s="50">
        <v>154</v>
      </c>
      <c r="B1130" s="50" t="str">
        <f>Source!E255</f>
        <v>81,3</v>
      </c>
      <c r="C1130" s="50" t="str">
        <f>Source!G255</f>
        <v>Трубопроводы с гильзами</v>
      </c>
      <c r="D1130" s="50" t="str">
        <f>Source!F255</f>
        <v>23.7.01.07</v>
      </c>
      <c r="E1130" s="35" t="str">
        <f>Source!H255</f>
        <v>м</v>
      </c>
      <c r="F1130" s="12">
        <f>Source!I255</f>
        <v>66.900000000000006</v>
      </c>
      <c r="G1130" s="25">
        <f>Source!AB255</f>
        <v>0</v>
      </c>
      <c r="H1130" s="25">
        <f>Source!O255</f>
        <v>0</v>
      </c>
      <c r="T1130">
        <f>Source!O255+Source!X255+Source!Y255</f>
        <v>0</v>
      </c>
      <c r="U1130">
        <f>Source!P255</f>
        <v>0</v>
      </c>
      <c r="V1130">
        <f>Source!S255</f>
        <v>0</v>
      </c>
      <c r="W1130">
        <f>Source!Q255</f>
        <v>0</v>
      </c>
      <c r="X1130">
        <f>Source!R255</f>
        <v>0</v>
      </c>
      <c r="Y1130">
        <f>Source!U255</f>
        <v>0</v>
      </c>
      <c r="Z1130">
        <f>Source!V255</f>
        <v>0</v>
      </c>
      <c r="AA1130">
        <f>Source!X255</f>
        <v>0</v>
      </c>
      <c r="AB1130">
        <f>Source!Y255</f>
        <v>0</v>
      </c>
    </row>
    <row r="1131" spans="1:28" ht="14.25" x14ac:dyDescent="0.2">
      <c r="C1131" s="26" t="s">
        <v>1833</v>
      </c>
      <c r="D1131" s="26">
        <f>Source!BC255</f>
        <v>7.13</v>
      </c>
      <c r="F1131" s="12"/>
      <c r="G1131" s="12"/>
      <c r="H1131" s="12"/>
    </row>
    <row r="1132" spans="1:28" ht="57" x14ac:dyDescent="0.2">
      <c r="A1132" s="50">
        <v>155</v>
      </c>
      <c r="B1132" s="50" t="str">
        <f>Source!E256</f>
        <v>82</v>
      </c>
      <c r="C1132" s="50" t="str">
        <f>Source!G256</f>
        <v>Прокладка трубопроводов отопления из стальных водогазопроводных неоцинкованных труб диаметром 20 мм</v>
      </c>
      <c r="D1132" s="50" t="str">
        <f>Source!F256</f>
        <v>16-02-001-02</v>
      </c>
      <c r="E1132" s="35" t="str">
        <f>Source!H256</f>
        <v>100 м</v>
      </c>
      <c r="F1132" s="12">
        <f>Source!I256</f>
        <v>0.33500000000000002</v>
      </c>
      <c r="G1132" s="25">
        <f>Source!AB256</f>
        <v>440.93</v>
      </c>
      <c r="H1132" s="25">
        <f>Source!O256</f>
        <v>1053.18</v>
      </c>
      <c r="T1132">
        <f>Source!O256+Source!X256+Source!Y256</f>
        <v>2707.46</v>
      </c>
      <c r="U1132">
        <f>Source!P256</f>
        <v>65.14</v>
      </c>
      <c r="V1132">
        <f>Source!S256</f>
        <v>871.22</v>
      </c>
      <c r="W1132">
        <f>Source!Q256</f>
        <v>116.82</v>
      </c>
      <c r="X1132">
        <f>Source!R256</f>
        <v>18.18</v>
      </c>
      <c r="Y1132">
        <f>Source!U256</f>
        <v>12.701692499999998</v>
      </c>
      <c r="Z1132">
        <f>Source!V256</f>
        <v>0.20937500000000001</v>
      </c>
      <c r="AA1132">
        <f>Source!X256</f>
        <v>1022.81</v>
      </c>
      <c r="AB1132">
        <f>Source!Y256</f>
        <v>631.47</v>
      </c>
    </row>
    <row r="1133" spans="1:28" ht="14.25" x14ac:dyDescent="0.2">
      <c r="C1133" s="26" t="str">
        <f>"Объем: "&amp;Source!I256&amp;"=33,5/"&amp;"100"</f>
        <v>Объем: 0,335=33,5/100</v>
      </c>
      <c r="F1133" s="12"/>
      <c r="G1133" s="12"/>
      <c r="H1133" s="12"/>
    </row>
    <row r="1134" spans="1:28" x14ac:dyDescent="0.2">
      <c r="C1134" s="26" t="s">
        <v>1831</v>
      </c>
      <c r="D1134" s="26">
        <f>Source!BA256</f>
        <v>7.13</v>
      </c>
    </row>
    <row r="1135" spans="1:28" x14ac:dyDescent="0.2">
      <c r="C1135" s="26" t="s">
        <v>1832</v>
      </c>
      <c r="D1135" s="26">
        <f>Source!BB256</f>
        <v>7.13</v>
      </c>
    </row>
    <row r="1136" spans="1:28" x14ac:dyDescent="0.2">
      <c r="C1136" s="26" t="s">
        <v>1833</v>
      </c>
      <c r="D1136" s="26">
        <f>Source!BC256</f>
        <v>7.13</v>
      </c>
    </row>
    <row r="1137" spans="1:28" x14ac:dyDescent="0.2">
      <c r="C1137" s="26" t="s">
        <v>1834</v>
      </c>
      <c r="D1137" s="26">
        <f>Source!BS256</f>
        <v>7.13</v>
      </c>
    </row>
    <row r="1138" spans="1:28" x14ac:dyDescent="0.2">
      <c r="C1138" s="26" t="s">
        <v>1841</v>
      </c>
      <c r="D1138" s="116" t="s">
        <v>81</v>
      </c>
      <c r="E1138" s="116"/>
      <c r="F1138" s="116"/>
      <c r="G1138" s="116"/>
      <c r="H1138" s="116"/>
    </row>
    <row r="1139" spans="1:28" x14ac:dyDescent="0.2">
      <c r="C1139" s="26" t="s">
        <v>1842</v>
      </c>
      <c r="D1139" s="116" t="s">
        <v>81</v>
      </c>
      <c r="E1139" s="116"/>
      <c r="F1139" s="116"/>
      <c r="G1139" s="116"/>
      <c r="H1139" s="116"/>
    </row>
    <row r="1140" spans="1:28" x14ac:dyDescent="0.2">
      <c r="C1140" s="26" t="s">
        <v>1843</v>
      </c>
      <c r="D1140" s="116" t="s">
        <v>82</v>
      </c>
      <c r="E1140" s="116"/>
      <c r="F1140" s="116"/>
      <c r="G1140" s="116"/>
      <c r="H1140" s="116"/>
    </row>
    <row r="1141" spans="1:28" x14ac:dyDescent="0.2">
      <c r="C1141" s="26" t="s">
        <v>1844</v>
      </c>
      <c r="D1141" s="116" t="s">
        <v>82</v>
      </c>
      <c r="E1141" s="116"/>
      <c r="F1141" s="116"/>
      <c r="G1141" s="116"/>
      <c r="H1141" s="116"/>
    </row>
    <row r="1142" spans="1:28" x14ac:dyDescent="0.2">
      <c r="C1142" s="26" t="s">
        <v>1845</v>
      </c>
      <c r="D1142" s="116" t="s">
        <v>81</v>
      </c>
      <c r="E1142" s="116"/>
      <c r="F1142" s="116"/>
      <c r="G1142" s="116"/>
      <c r="H1142" s="116"/>
    </row>
    <row r="1143" spans="1:28" x14ac:dyDescent="0.2">
      <c r="C1143" s="9" t="s">
        <v>1835</v>
      </c>
      <c r="D1143" s="38"/>
      <c r="E1143" s="38"/>
      <c r="F1143" s="38">
        <f>Source!BZ256</f>
        <v>128</v>
      </c>
      <c r="G1143" s="61">
        <f>(Source!AF256+Source!AE256)*Source!FX256/100</f>
        <v>428.95872000000003</v>
      </c>
      <c r="H1143" s="61">
        <f>Source!X256</f>
        <v>1022.81</v>
      </c>
    </row>
    <row r="1144" spans="1:28" x14ac:dyDescent="0.2">
      <c r="C1144" s="9" t="s">
        <v>1836</v>
      </c>
      <c r="D1144" s="38"/>
      <c r="E1144" s="38"/>
      <c r="F1144" s="38"/>
      <c r="G1144" s="38" t="str">
        <f>CONCATENATE(Source!DL256,Source!FT256, "=", Source!FX256, "%")</f>
        <v>*0,9=115,2%</v>
      </c>
      <c r="H1144" s="38" t="str">
        <f>CONCATENATE(Source!AT256)</f>
        <v>115</v>
      </c>
    </row>
    <row r="1145" spans="1:28" x14ac:dyDescent="0.2">
      <c r="C1145" s="9" t="s">
        <v>1837</v>
      </c>
      <c r="D1145" s="38"/>
      <c r="E1145" s="38"/>
      <c r="F1145" s="38">
        <f>Source!CA256</f>
        <v>83</v>
      </c>
      <c r="G1145" s="61">
        <f>(Source!AF256+Source!AE256)*Source!FY256/100</f>
        <v>262.69997999999998</v>
      </c>
      <c r="H1145" s="61">
        <f>Source!Y256</f>
        <v>631.47</v>
      </c>
    </row>
    <row r="1146" spans="1:28" x14ac:dyDescent="0.2">
      <c r="C1146" s="9" t="s">
        <v>1838</v>
      </c>
      <c r="D1146" s="38"/>
      <c r="E1146" s="38"/>
      <c r="F1146" s="38"/>
      <c r="G1146" s="38" t="str">
        <f>CONCATENATE(Source!DM256,Source!FU256, "=", Source!FY256, "%")</f>
        <v>*0,85=70,55%</v>
      </c>
      <c r="H1146" s="38" t="str">
        <f>CONCATENATE(Source!AU256)</f>
        <v>71</v>
      </c>
    </row>
    <row r="1147" spans="1:28" x14ac:dyDescent="0.2">
      <c r="C1147" s="9" t="s">
        <v>1839</v>
      </c>
      <c r="D1147" s="38"/>
      <c r="E1147" s="38"/>
      <c r="F1147" s="38"/>
      <c r="G1147" s="61">
        <f>((Source!AF256+Source!AE256)*Source!FX256/100)+((Source!AF256+Source!AE256)*Source!FY256/100)+Source!AB256</f>
        <v>1132.5887</v>
      </c>
      <c r="H1147" s="61">
        <f>Source!O256+Source!X256+Source!Y256</f>
        <v>2707.46</v>
      </c>
    </row>
    <row r="1148" spans="1:28" ht="57" x14ac:dyDescent="0.2">
      <c r="A1148" s="50">
        <v>156</v>
      </c>
      <c r="B1148" s="50" t="str">
        <f>Source!E257</f>
        <v>82,1</v>
      </c>
      <c r="C1148" s="50" t="str">
        <f>Source!G257</f>
        <v>Трубопроводы из стальных водогазопроводных неоцинкованных труб с гильзами и креплениями для газоснабжения диаметром 20 мм</v>
      </c>
      <c r="D1148" s="50" t="str">
        <f>Source!F257</f>
        <v>23.7.01.03-0002</v>
      </c>
      <c r="E1148" s="35" t="str">
        <f>Source!H257</f>
        <v>м</v>
      </c>
      <c r="F1148" s="12">
        <f>Source!I257</f>
        <v>33.5</v>
      </c>
      <c r="G1148" s="25">
        <f>Source!AB257</f>
        <v>25.28</v>
      </c>
      <c r="H1148" s="25">
        <f>Source!O257</f>
        <v>6038.25</v>
      </c>
      <c r="T1148">
        <f>Source!O257+Source!X257+Source!Y257</f>
        <v>6038.25</v>
      </c>
      <c r="U1148">
        <f>Source!P257</f>
        <v>6038.25</v>
      </c>
      <c r="V1148">
        <f>Source!S257</f>
        <v>0</v>
      </c>
      <c r="W1148">
        <f>Source!Q257</f>
        <v>0</v>
      </c>
      <c r="X1148">
        <f>Source!R257</f>
        <v>0</v>
      </c>
      <c r="Y1148">
        <f>Source!U257</f>
        <v>0</v>
      </c>
      <c r="Z1148">
        <f>Source!V257</f>
        <v>0</v>
      </c>
      <c r="AA1148">
        <f>Source!X257</f>
        <v>0</v>
      </c>
      <c r="AB1148">
        <f>Source!Y257</f>
        <v>0</v>
      </c>
    </row>
    <row r="1149" spans="1:28" ht="14.25" x14ac:dyDescent="0.2">
      <c r="C1149" s="26" t="s">
        <v>1833</v>
      </c>
      <c r="D1149" s="26">
        <f>Source!BC257</f>
        <v>7.13</v>
      </c>
      <c r="F1149" s="12"/>
      <c r="G1149" s="12"/>
      <c r="H1149" s="12"/>
    </row>
    <row r="1150" spans="1:28" ht="57" x14ac:dyDescent="0.2">
      <c r="A1150" s="50">
        <v>157</v>
      </c>
      <c r="B1150" s="50" t="str">
        <f>Source!E258</f>
        <v>82,2</v>
      </c>
      <c r="C1150" s="50" t="str">
        <f>Source!G258</f>
        <v>Хомут металлический с одним стопорным винтом и резиновым профилем для крепления трубопроводов диаметром 20-23 мм</v>
      </c>
      <c r="D1150" s="50" t="str">
        <f>Source!F258</f>
        <v>23.1.02.06-0003</v>
      </c>
      <c r="E1150" s="35" t="str">
        <f>Source!H258</f>
        <v>10 шт.</v>
      </c>
      <c r="F1150" s="12">
        <f>Source!I258</f>
        <v>1.7</v>
      </c>
      <c r="G1150" s="25">
        <f>Source!AB258</f>
        <v>31.8</v>
      </c>
      <c r="H1150" s="25">
        <f>Source!O258</f>
        <v>385.45</v>
      </c>
      <c r="T1150">
        <f>Source!O258+Source!X258+Source!Y258</f>
        <v>385.45</v>
      </c>
      <c r="U1150">
        <f>Source!P258</f>
        <v>385.45</v>
      </c>
      <c r="V1150">
        <f>Source!S258</f>
        <v>0</v>
      </c>
      <c r="W1150">
        <f>Source!Q258</f>
        <v>0</v>
      </c>
      <c r="X1150">
        <f>Source!R258</f>
        <v>0</v>
      </c>
      <c r="Y1150">
        <f>Source!U258</f>
        <v>0</v>
      </c>
      <c r="Z1150">
        <f>Source!V258</f>
        <v>0</v>
      </c>
      <c r="AA1150">
        <f>Source!X258</f>
        <v>0</v>
      </c>
      <c r="AB1150">
        <f>Source!Y258</f>
        <v>0</v>
      </c>
    </row>
    <row r="1151" spans="1:28" ht="14.25" x14ac:dyDescent="0.2">
      <c r="C1151" s="26" t="s">
        <v>1833</v>
      </c>
      <c r="D1151" s="26">
        <f>Source!BC258</f>
        <v>7.13</v>
      </c>
      <c r="F1151" s="12"/>
      <c r="G1151" s="12"/>
      <c r="H1151" s="12"/>
    </row>
    <row r="1152" spans="1:28" ht="14.25" x14ac:dyDescent="0.2">
      <c r="A1152" s="50">
        <v>158</v>
      </c>
      <c r="B1152" s="50" t="str">
        <f>Source!E259</f>
        <v>82,3</v>
      </c>
      <c r="C1152" s="50" t="str">
        <f>Source!G259</f>
        <v>Трубопроводы с гильзами</v>
      </c>
      <c r="D1152" s="50" t="str">
        <f>Source!F259</f>
        <v>23.7.01.07</v>
      </c>
      <c r="E1152" s="35" t="str">
        <f>Source!H259</f>
        <v>м</v>
      </c>
      <c r="F1152" s="12">
        <f>Source!I259</f>
        <v>33.5</v>
      </c>
      <c r="G1152" s="25">
        <f>Source!AB259</f>
        <v>0</v>
      </c>
      <c r="H1152" s="25">
        <f>Source!O259</f>
        <v>0</v>
      </c>
      <c r="T1152">
        <f>Source!O259+Source!X259+Source!Y259</f>
        <v>0</v>
      </c>
      <c r="U1152">
        <f>Source!P259</f>
        <v>0</v>
      </c>
      <c r="V1152">
        <f>Source!S259</f>
        <v>0</v>
      </c>
      <c r="W1152">
        <f>Source!Q259</f>
        <v>0</v>
      </c>
      <c r="X1152">
        <f>Source!R259</f>
        <v>0</v>
      </c>
      <c r="Y1152">
        <f>Source!U259</f>
        <v>0</v>
      </c>
      <c r="Z1152">
        <f>Source!V259</f>
        <v>0</v>
      </c>
      <c r="AA1152">
        <f>Source!X259</f>
        <v>0</v>
      </c>
      <c r="AB1152">
        <f>Source!Y259</f>
        <v>0</v>
      </c>
    </row>
    <row r="1153" spans="1:28" ht="14.25" x14ac:dyDescent="0.2">
      <c r="C1153" s="26" t="s">
        <v>1833</v>
      </c>
      <c r="D1153" s="26">
        <f>Source!BC259</f>
        <v>7.13</v>
      </c>
      <c r="F1153" s="12"/>
      <c r="G1153" s="12"/>
      <c r="H1153" s="12"/>
    </row>
    <row r="1154" spans="1:28" ht="14.25" x14ac:dyDescent="0.2">
      <c r="A1154" s="50">
        <v>159</v>
      </c>
      <c r="B1154" s="50" t="str">
        <f>Source!E260</f>
        <v>83</v>
      </c>
      <c r="C1154" s="50" t="str">
        <f>Source!G260</f>
        <v>Смена жалюзийных решеток</v>
      </c>
      <c r="D1154" s="50" t="str">
        <f>Source!F260</f>
        <v>65-33-1</v>
      </c>
      <c r="E1154" s="35" t="str">
        <f>Source!H260</f>
        <v>100 ШТ</v>
      </c>
      <c r="F1154" s="12">
        <f>Source!I260</f>
        <v>0.14000000000000001</v>
      </c>
      <c r="G1154" s="25">
        <f>Source!AB260</f>
        <v>430.86</v>
      </c>
      <c r="H1154" s="25">
        <f>Source!O260</f>
        <v>430.08</v>
      </c>
      <c r="T1154">
        <f>Source!O260+Source!X260+Source!Y260</f>
        <v>1071.3699999999999</v>
      </c>
      <c r="U1154">
        <f>Source!P260</f>
        <v>36.479999999999997</v>
      </c>
      <c r="V1154">
        <f>Source!S260</f>
        <v>393.29</v>
      </c>
      <c r="W1154">
        <f>Source!Q260</f>
        <v>0.31</v>
      </c>
      <c r="X1154">
        <f>Source!R260</f>
        <v>0.14000000000000001</v>
      </c>
      <c r="Y1154">
        <f>Source!U260</f>
        <v>6.4666000000000006</v>
      </c>
      <c r="Z1154">
        <f>Source!V260</f>
        <v>1.4000000000000002E-3</v>
      </c>
      <c r="AA1154">
        <f>Source!X260</f>
        <v>405.23</v>
      </c>
      <c r="AB1154">
        <f>Source!Y260</f>
        <v>236.06</v>
      </c>
    </row>
    <row r="1155" spans="1:28" ht="14.25" x14ac:dyDescent="0.2">
      <c r="C1155" s="26" t="str">
        <f>"Объем: "&amp;Source!I260&amp;"=14/"&amp;"100"</f>
        <v>Объем: 0,14=14/100</v>
      </c>
      <c r="F1155" s="12"/>
      <c r="G1155" s="12"/>
      <c r="H1155" s="12"/>
    </row>
    <row r="1156" spans="1:28" x14ac:dyDescent="0.2">
      <c r="C1156" s="26" t="s">
        <v>1831</v>
      </c>
      <c r="D1156" s="26">
        <f>Source!BA260</f>
        <v>7.13</v>
      </c>
    </row>
    <row r="1157" spans="1:28" x14ac:dyDescent="0.2">
      <c r="C1157" s="26" t="s">
        <v>1832</v>
      </c>
      <c r="D1157" s="26">
        <f>Source!BB260</f>
        <v>7.13</v>
      </c>
    </row>
    <row r="1158" spans="1:28" x14ac:dyDescent="0.2">
      <c r="C1158" s="26" t="s">
        <v>1833</v>
      </c>
      <c r="D1158" s="26">
        <f>Source!BC260</f>
        <v>7.13</v>
      </c>
    </row>
    <row r="1159" spans="1:28" x14ac:dyDescent="0.2">
      <c r="C1159" s="26" t="s">
        <v>1834</v>
      </c>
      <c r="D1159" s="26">
        <f>Source!BS260</f>
        <v>7.13</v>
      </c>
    </row>
    <row r="1160" spans="1:28" x14ac:dyDescent="0.2">
      <c r="C1160" s="9" t="s">
        <v>1835</v>
      </c>
      <c r="D1160" s="38"/>
      <c r="E1160" s="38"/>
      <c r="F1160" s="38">
        <f>Source!BZ260</f>
        <v>103</v>
      </c>
      <c r="G1160" s="61">
        <f>(Source!AF260+Source!AE260)*Source!FX260/100</f>
        <v>405.96420000000001</v>
      </c>
      <c r="H1160" s="61">
        <f>Source!X260</f>
        <v>405.23</v>
      </c>
    </row>
    <row r="1161" spans="1:28" x14ac:dyDescent="0.2">
      <c r="C1161" s="9" t="s">
        <v>1837</v>
      </c>
      <c r="D1161" s="38"/>
      <c r="E1161" s="38"/>
      <c r="F1161" s="38">
        <f>Source!CA260</f>
        <v>60</v>
      </c>
      <c r="G1161" s="61">
        <f>(Source!AF260+Source!AE260)*Source!FY260/100</f>
        <v>236.48399999999998</v>
      </c>
      <c r="H1161" s="61">
        <f>Source!Y260</f>
        <v>236.06</v>
      </c>
    </row>
    <row r="1162" spans="1:28" x14ac:dyDescent="0.2">
      <c r="C1162" s="9" t="s">
        <v>1839</v>
      </c>
      <c r="D1162" s="38"/>
      <c r="E1162" s="38"/>
      <c r="F1162" s="38"/>
      <c r="G1162" s="61">
        <f>((Source!AF260+Source!AE260)*Source!FX260/100)+((Source!AF260+Source!AE260)*Source!FY260/100)+Source!AB260</f>
        <v>1073.3081999999999</v>
      </c>
      <c r="H1162" s="61">
        <f>Source!O260+Source!X260+Source!Y260</f>
        <v>1071.3699999999999</v>
      </c>
    </row>
    <row r="1163" spans="1:28" ht="57" x14ac:dyDescent="0.2">
      <c r="A1163" s="50">
        <v>160</v>
      </c>
      <c r="B1163" s="50" t="str">
        <f>Source!E261</f>
        <v>83,1</v>
      </c>
      <c r="C1163" s="50" t="str">
        <f>Source!G261</f>
        <v>Решетки жалюзийные регулируемые из алюминиевого профиля с порошковым покрытием марки Р-200, размером 200х200 мм</v>
      </c>
      <c r="D1163" s="50" t="str">
        <f>Source!F261</f>
        <v>19.2.03.02-0177</v>
      </c>
      <c r="E1163" s="35" t="str">
        <f>Source!H261</f>
        <v>шт.</v>
      </c>
      <c r="F1163" s="12">
        <f>Source!I261</f>
        <v>14</v>
      </c>
      <c r="G1163" s="25">
        <f>Source!AB261</f>
        <v>60.35</v>
      </c>
      <c r="H1163" s="25">
        <f>Source!O261</f>
        <v>6024.14</v>
      </c>
      <c r="T1163">
        <f>Source!O261+Source!X261+Source!Y261</f>
        <v>6024.14</v>
      </c>
      <c r="U1163">
        <f>Source!P261</f>
        <v>6024.14</v>
      </c>
      <c r="V1163">
        <f>Source!S261</f>
        <v>0</v>
      </c>
      <c r="W1163">
        <f>Source!Q261</f>
        <v>0</v>
      </c>
      <c r="X1163">
        <f>Source!R261</f>
        <v>0</v>
      </c>
      <c r="Y1163">
        <f>Source!U261</f>
        <v>0</v>
      </c>
      <c r="Z1163">
        <f>Source!V261</f>
        <v>0</v>
      </c>
      <c r="AA1163">
        <f>Source!X261</f>
        <v>0</v>
      </c>
      <c r="AB1163">
        <f>Source!Y261</f>
        <v>0</v>
      </c>
    </row>
    <row r="1164" spans="1:28" ht="14.25" x14ac:dyDescent="0.2">
      <c r="C1164" s="26" t="s">
        <v>1833</v>
      </c>
      <c r="D1164" s="26">
        <f>Source!BC261</f>
        <v>7.13</v>
      </c>
      <c r="F1164" s="12"/>
      <c r="G1164" s="12"/>
      <c r="H1164" s="12"/>
    </row>
    <row r="1165" spans="1:28" ht="28.5" x14ac:dyDescent="0.2">
      <c r="A1165" s="50">
        <v>161</v>
      </c>
      <c r="B1165" s="50" t="str">
        <f>Source!E262</f>
        <v>84</v>
      </c>
      <c r="C1165" s="50" t="str">
        <f>Source!G262</f>
        <v>Установка радиаторов стальных</v>
      </c>
      <c r="D1165" s="50" t="str">
        <f>Source!F262</f>
        <v>18-03-001-02</v>
      </c>
      <c r="E1165" s="35" t="str">
        <f>Source!H262</f>
        <v>100 квт</v>
      </c>
      <c r="F1165" s="12">
        <f>Source!I262</f>
        <v>0.28489999999999999</v>
      </c>
      <c r="G1165" s="25">
        <f>Source!AB262</f>
        <v>2078.6799999999998</v>
      </c>
      <c r="H1165" s="25">
        <f>Source!O262</f>
        <v>4222.5</v>
      </c>
      <c r="T1165">
        <f>Source!O262+Source!X262+Source!Y262</f>
        <v>6962.26</v>
      </c>
      <c r="U1165">
        <f>Source!P262</f>
        <v>2358.91</v>
      </c>
      <c r="V1165">
        <f>Source!S262</f>
        <v>1374.59</v>
      </c>
      <c r="W1165">
        <f>Source!Q262</f>
        <v>489</v>
      </c>
      <c r="X1165">
        <f>Source!R262</f>
        <v>98.4</v>
      </c>
      <c r="Y1165">
        <f>Source!U262</f>
        <v>21.492855999999993</v>
      </c>
      <c r="Z1165">
        <f>Source!V262</f>
        <v>1.1146712499999998</v>
      </c>
      <c r="AA1165">
        <f>Source!X262</f>
        <v>1693.94</v>
      </c>
      <c r="AB1165">
        <f>Source!Y262</f>
        <v>1045.82</v>
      </c>
    </row>
    <row r="1166" spans="1:28" ht="14.25" x14ac:dyDescent="0.2">
      <c r="C1166" s="26" t="str">
        <f>"Объем: "&amp;Source!I262&amp;"=28,49/"&amp;"100"</f>
        <v>Объем: 0,2849=28,49/100</v>
      </c>
      <c r="F1166" s="12"/>
      <c r="G1166" s="12"/>
      <c r="H1166" s="12"/>
    </row>
    <row r="1167" spans="1:28" x14ac:dyDescent="0.2">
      <c r="C1167" s="26" t="s">
        <v>1831</v>
      </c>
      <c r="D1167" s="26">
        <f>Source!BA262</f>
        <v>7.13</v>
      </c>
    </row>
    <row r="1168" spans="1:28" x14ac:dyDescent="0.2">
      <c r="C1168" s="26" t="s">
        <v>1832</v>
      </c>
      <c r="D1168" s="26">
        <f>Source!BB262</f>
        <v>7.13</v>
      </c>
    </row>
    <row r="1169" spans="1:28" x14ac:dyDescent="0.2">
      <c r="C1169" s="26" t="s">
        <v>1833</v>
      </c>
      <c r="D1169" s="26">
        <f>Source!BC262</f>
        <v>7.13</v>
      </c>
    </row>
    <row r="1170" spans="1:28" x14ac:dyDescent="0.2">
      <c r="C1170" s="26" t="s">
        <v>1834</v>
      </c>
      <c r="D1170" s="26">
        <f>Source!BS262</f>
        <v>7.13</v>
      </c>
    </row>
    <row r="1171" spans="1:28" x14ac:dyDescent="0.2">
      <c r="C1171" s="26" t="s">
        <v>1841</v>
      </c>
      <c r="D1171" s="116" t="s">
        <v>81</v>
      </c>
      <c r="E1171" s="116"/>
      <c r="F1171" s="116"/>
      <c r="G1171" s="116"/>
      <c r="H1171" s="116"/>
    </row>
    <row r="1172" spans="1:28" x14ac:dyDescent="0.2">
      <c r="C1172" s="26" t="s">
        <v>1842</v>
      </c>
      <c r="D1172" s="116" t="s">
        <v>81</v>
      </c>
      <c r="E1172" s="116"/>
      <c r="F1172" s="116"/>
      <c r="G1172" s="116"/>
      <c r="H1172" s="116"/>
    </row>
    <row r="1173" spans="1:28" x14ac:dyDescent="0.2">
      <c r="C1173" s="26" t="s">
        <v>1843</v>
      </c>
      <c r="D1173" s="116" t="s">
        <v>82</v>
      </c>
      <c r="E1173" s="116"/>
      <c r="F1173" s="116"/>
      <c r="G1173" s="116"/>
      <c r="H1173" s="116"/>
    </row>
    <row r="1174" spans="1:28" x14ac:dyDescent="0.2">
      <c r="C1174" s="26" t="s">
        <v>1844</v>
      </c>
      <c r="D1174" s="116" t="s">
        <v>82</v>
      </c>
      <c r="E1174" s="116"/>
      <c r="F1174" s="116"/>
      <c r="G1174" s="116"/>
      <c r="H1174" s="116"/>
    </row>
    <row r="1175" spans="1:28" x14ac:dyDescent="0.2">
      <c r="C1175" s="26" t="s">
        <v>1845</v>
      </c>
      <c r="D1175" s="116" t="s">
        <v>81</v>
      </c>
      <c r="E1175" s="116"/>
      <c r="F1175" s="116"/>
      <c r="G1175" s="116"/>
      <c r="H1175" s="116"/>
    </row>
    <row r="1176" spans="1:28" x14ac:dyDescent="0.2">
      <c r="C1176" s="9" t="s">
        <v>1835</v>
      </c>
      <c r="D1176" s="38"/>
      <c r="E1176" s="38"/>
      <c r="F1176" s="38">
        <f>Source!BZ262</f>
        <v>128</v>
      </c>
      <c r="G1176" s="61">
        <f>(Source!AF262+Source!AE262)*Source!FX262/100</f>
        <v>835.34976000000006</v>
      </c>
      <c r="H1176" s="61">
        <f>Source!X262</f>
        <v>1693.94</v>
      </c>
    </row>
    <row r="1177" spans="1:28" x14ac:dyDescent="0.2">
      <c r="C1177" s="9" t="s">
        <v>1836</v>
      </c>
      <c r="D1177" s="38"/>
      <c r="E1177" s="38"/>
      <c r="F1177" s="38"/>
      <c r="G1177" s="38" t="str">
        <f>CONCATENATE(Source!DL262,Source!FT262, "=", Source!FX262, "%")</f>
        <v>*0,9=115,2%</v>
      </c>
      <c r="H1177" s="38" t="str">
        <f>CONCATENATE(Source!AT262)</f>
        <v>115</v>
      </c>
    </row>
    <row r="1178" spans="1:28" x14ac:dyDescent="0.2">
      <c r="C1178" s="9" t="s">
        <v>1837</v>
      </c>
      <c r="D1178" s="38"/>
      <c r="E1178" s="38"/>
      <c r="F1178" s="38">
        <f>Source!CA262</f>
        <v>83</v>
      </c>
      <c r="G1178" s="61">
        <f>(Source!AF262+Source!AE262)*Source!FY262/100</f>
        <v>511.57921500000003</v>
      </c>
      <c r="H1178" s="61">
        <f>Source!Y262</f>
        <v>1045.82</v>
      </c>
    </row>
    <row r="1179" spans="1:28" x14ac:dyDescent="0.2">
      <c r="C1179" s="9" t="s">
        <v>1838</v>
      </c>
      <c r="D1179" s="38"/>
      <c r="E1179" s="38"/>
      <c r="F1179" s="38"/>
      <c r="G1179" s="38" t="str">
        <f>CONCATENATE(Source!DM262,Source!FU262, "=", Source!FY262, "%")</f>
        <v>*0,85=70,55%</v>
      </c>
      <c r="H1179" s="38" t="str">
        <f>CONCATENATE(Source!AU262)</f>
        <v>71</v>
      </c>
    </row>
    <row r="1180" spans="1:28" x14ac:dyDescent="0.2">
      <c r="C1180" s="9" t="s">
        <v>1839</v>
      </c>
      <c r="D1180" s="38"/>
      <c r="E1180" s="38"/>
      <c r="F1180" s="38"/>
      <c r="G1180" s="61">
        <f>((Source!AF262+Source!AE262)*Source!FX262/100)+((Source!AF262+Source!AE262)*Source!FY262/100)+Source!AB262</f>
        <v>3425.6089750000001</v>
      </c>
      <c r="H1180" s="61">
        <f>Source!O262+Source!X262+Source!Y262</f>
        <v>6962.26</v>
      </c>
    </row>
    <row r="1181" spans="1:28" ht="42.75" x14ac:dyDescent="0.2">
      <c r="A1181" s="50">
        <v>162</v>
      </c>
      <c r="B1181" s="50" t="str">
        <f>Source!E263</f>
        <v>84,1</v>
      </c>
      <c r="C1181" s="50" t="str">
        <f>Source!G263</f>
        <v>Радиаторы биметаллические, марка «Rifar-A 500», количество секций 10, мощность 1650 Вт</v>
      </c>
      <c r="D1181" s="50" t="str">
        <f>Source!F263</f>
        <v>18.5.10.05-0008</v>
      </c>
      <c r="E1181" s="35" t="str">
        <f>Source!H263</f>
        <v>шт.</v>
      </c>
      <c r="F1181" s="12">
        <f>Source!I263</f>
        <v>6</v>
      </c>
      <c r="G1181" s="25">
        <f>Source!AB263</f>
        <v>1367</v>
      </c>
      <c r="H1181" s="25">
        <f>Source!O263</f>
        <v>58480.26</v>
      </c>
      <c r="T1181">
        <f>Source!O263+Source!X263+Source!Y263</f>
        <v>58480.26</v>
      </c>
      <c r="U1181">
        <f>Source!P263</f>
        <v>58480.26</v>
      </c>
      <c r="V1181">
        <f>Source!S263</f>
        <v>0</v>
      </c>
      <c r="W1181">
        <f>Source!Q263</f>
        <v>0</v>
      </c>
      <c r="X1181">
        <f>Source!R263</f>
        <v>0</v>
      </c>
      <c r="Y1181">
        <f>Source!U263</f>
        <v>0</v>
      </c>
      <c r="Z1181">
        <f>Source!V263</f>
        <v>0</v>
      </c>
      <c r="AA1181">
        <f>Source!X263</f>
        <v>0</v>
      </c>
      <c r="AB1181">
        <f>Source!Y263</f>
        <v>0</v>
      </c>
    </row>
    <row r="1182" spans="1:28" ht="14.25" x14ac:dyDescent="0.2">
      <c r="C1182" s="26" t="s">
        <v>1833</v>
      </c>
      <c r="D1182" s="26">
        <f>Source!BC263</f>
        <v>7.13</v>
      </c>
      <c r="F1182" s="12"/>
      <c r="G1182" s="12"/>
      <c r="H1182" s="12"/>
    </row>
    <row r="1183" spans="1:28" ht="42.75" x14ac:dyDescent="0.2">
      <c r="A1183" s="50">
        <v>163</v>
      </c>
      <c r="B1183" s="50" t="str">
        <f>Source!E264</f>
        <v>84,2</v>
      </c>
      <c r="C1183" s="50" t="str">
        <f>Source!G264</f>
        <v>Радиаторы биметаллические, марка «Rifar-A 500», количество секций 8, мощность 1320 Вт</v>
      </c>
      <c r="D1183" s="50" t="str">
        <f>Source!F264</f>
        <v>18.5.10.05-0006</v>
      </c>
      <c r="E1183" s="35" t="str">
        <f>Source!H264</f>
        <v>шт.</v>
      </c>
      <c r="F1183" s="12">
        <f>Source!I264</f>
        <v>7</v>
      </c>
      <c r="G1183" s="25">
        <f>Source!AB264</f>
        <v>1093.5999999999999</v>
      </c>
      <c r="H1183" s="25">
        <f>Source!O264</f>
        <v>54581.58</v>
      </c>
      <c r="T1183">
        <f>Source!O264+Source!X264+Source!Y264</f>
        <v>54581.58</v>
      </c>
      <c r="U1183">
        <f>Source!P264</f>
        <v>54581.58</v>
      </c>
      <c r="V1183">
        <f>Source!S264</f>
        <v>0</v>
      </c>
      <c r="W1183">
        <f>Source!Q264</f>
        <v>0</v>
      </c>
      <c r="X1183">
        <f>Source!R264</f>
        <v>0</v>
      </c>
      <c r="Y1183">
        <f>Source!U264</f>
        <v>0</v>
      </c>
      <c r="Z1183">
        <f>Source!V264</f>
        <v>0</v>
      </c>
      <c r="AA1183">
        <f>Source!X264</f>
        <v>0</v>
      </c>
      <c r="AB1183">
        <f>Source!Y264</f>
        <v>0</v>
      </c>
    </row>
    <row r="1184" spans="1:28" ht="14.25" x14ac:dyDescent="0.2">
      <c r="C1184" s="26" t="s">
        <v>1833</v>
      </c>
      <c r="D1184" s="26">
        <f>Source!BC264</f>
        <v>7.13</v>
      </c>
      <c r="F1184" s="12"/>
      <c r="G1184" s="12"/>
      <c r="H1184" s="12"/>
    </row>
    <row r="1185" spans="1:28" ht="42.75" x14ac:dyDescent="0.2">
      <c r="A1185" s="50">
        <v>164</v>
      </c>
      <c r="B1185" s="50" t="str">
        <f>Source!E265</f>
        <v>84,3</v>
      </c>
      <c r="C1185" s="50" t="str">
        <f>Source!G265</f>
        <v>Радиаторы биметаллические, марка «Rifar-A 300», количество секций 4, мощность 660 Вт</v>
      </c>
      <c r="D1185" s="50" t="str">
        <f>Source!F265</f>
        <v>18.5.10.05-0002</v>
      </c>
      <c r="E1185" s="35" t="str">
        <f>Source!H265</f>
        <v>шт.</v>
      </c>
      <c r="F1185" s="12">
        <f>Source!I265</f>
        <v>9</v>
      </c>
      <c r="G1185" s="25">
        <f>Source!AB265</f>
        <v>542.79999999999995</v>
      </c>
      <c r="H1185" s="25">
        <f>Source!O265</f>
        <v>34831.480000000003</v>
      </c>
      <c r="T1185">
        <f>Source!O265+Source!X265+Source!Y265</f>
        <v>34831.480000000003</v>
      </c>
      <c r="U1185">
        <f>Source!P265</f>
        <v>34831.480000000003</v>
      </c>
      <c r="V1185">
        <f>Source!S265</f>
        <v>0</v>
      </c>
      <c r="W1185">
        <f>Source!Q265</f>
        <v>0</v>
      </c>
      <c r="X1185">
        <f>Source!R265</f>
        <v>0</v>
      </c>
      <c r="Y1185">
        <f>Source!U265</f>
        <v>0</v>
      </c>
      <c r="Z1185">
        <f>Source!V265</f>
        <v>0</v>
      </c>
      <c r="AA1185">
        <f>Source!X265</f>
        <v>0</v>
      </c>
      <c r="AB1185">
        <f>Source!Y265</f>
        <v>0</v>
      </c>
    </row>
    <row r="1186" spans="1:28" ht="14.25" x14ac:dyDescent="0.2">
      <c r="C1186" s="26" t="s">
        <v>1833</v>
      </c>
      <c r="D1186" s="26">
        <f>Source!BC265</f>
        <v>7.13</v>
      </c>
      <c r="F1186" s="12"/>
      <c r="G1186" s="12"/>
      <c r="H1186" s="12"/>
    </row>
    <row r="1187" spans="1:28" ht="14.25" x14ac:dyDescent="0.2">
      <c r="A1187" s="50">
        <v>165</v>
      </c>
      <c r="B1187" s="50" t="str">
        <f>Source!E266</f>
        <v>84,4</v>
      </c>
      <c r="C1187" s="50" t="str">
        <f>Source!G266</f>
        <v>Дюбели распорные полиэтиленовые</v>
      </c>
      <c r="D1187" s="50" t="str">
        <f>Source!F266</f>
        <v>01.7.15.07</v>
      </c>
      <c r="E1187" s="35" t="str">
        <f>Source!H266</f>
        <v>10 шт.</v>
      </c>
      <c r="F1187" s="12">
        <f>Source!I266</f>
        <v>2.5610390000000001</v>
      </c>
      <c r="G1187" s="25">
        <f>Source!AB266</f>
        <v>0</v>
      </c>
      <c r="H1187" s="25">
        <f>Source!O266</f>
        <v>0</v>
      </c>
      <c r="T1187">
        <f>Source!O266+Source!X266+Source!Y266</f>
        <v>0</v>
      </c>
      <c r="U1187">
        <f>Source!P266</f>
        <v>0</v>
      </c>
      <c r="V1187">
        <f>Source!S266</f>
        <v>0</v>
      </c>
      <c r="W1187">
        <f>Source!Q266</f>
        <v>0</v>
      </c>
      <c r="X1187">
        <f>Source!R266</f>
        <v>0</v>
      </c>
      <c r="Y1187">
        <f>Source!U266</f>
        <v>0</v>
      </c>
      <c r="Z1187">
        <f>Source!V266</f>
        <v>0</v>
      </c>
      <c r="AA1187">
        <f>Source!X266</f>
        <v>0</v>
      </c>
      <c r="AB1187">
        <f>Source!Y266</f>
        <v>0</v>
      </c>
    </row>
    <row r="1188" spans="1:28" ht="14.25" x14ac:dyDescent="0.2">
      <c r="C1188" s="26" t="s">
        <v>1833</v>
      </c>
      <c r="D1188" s="26">
        <f>Source!BC266</f>
        <v>7.13</v>
      </c>
      <c r="F1188" s="12"/>
      <c r="G1188" s="12"/>
      <c r="H1188" s="12"/>
    </row>
    <row r="1189" spans="1:28" ht="28.5" x14ac:dyDescent="0.2">
      <c r="A1189" s="50">
        <v>166</v>
      </c>
      <c r="B1189" s="50" t="str">
        <f>Source!E267</f>
        <v>84,5</v>
      </c>
      <c r="C1189" s="50" t="str">
        <f>Source!G267</f>
        <v>Дюбели пластмассовые с шурупами 8х40 мм</v>
      </c>
      <c r="D1189" s="50" t="str">
        <f>Source!F267</f>
        <v>01.7.15.07-0008</v>
      </c>
      <c r="E1189" s="35" t="str">
        <f>Source!H267</f>
        <v>100 шт.</v>
      </c>
      <c r="F1189" s="12">
        <f>Source!I267</f>
        <v>0.256104</v>
      </c>
      <c r="G1189" s="25">
        <f>Source!AB267</f>
        <v>26.2</v>
      </c>
      <c r="H1189" s="25">
        <f>Source!O267</f>
        <v>47.84</v>
      </c>
      <c r="T1189">
        <f>Source!O267+Source!X267+Source!Y267</f>
        <v>47.84</v>
      </c>
      <c r="U1189">
        <f>Source!P267</f>
        <v>47.84</v>
      </c>
      <c r="V1189">
        <f>Source!S267</f>
        <v>0</v>
      </c>
      <c r="W1189">
        <f>Source!Q267</f>
        <v>0</v>
      </c>
      <c r="X1189">
        <f>Source!R267</f>
        <v>0</v>
      </c>
      <c r="Y1189">
        <f>Source!U267</f>
        <v>0</v>
      </c>
      <c r="Z1189">
        <f>Source!V267</f>
        <v>0</v>
      </c>
      <c r="AA1189">
        <f>Source!X267</f>
        <v>0</v>
      </c>
      <c r="AB1189">
        <f>Source!Y267</f>
        <v>0</v>
      </c>
    </row>
    <row r="1190" spans="1:28" ht="14.25" x14ac:dyDescent="0.2">
      <c r="C1190" s="26" t="s">
        <v>1833</v>
      </c>
      <c r="D1190" s="26">
        <f>Source!BC267</f>
        <v>7.13</v>
      </c>
      <c r="F1190" s="12"/>
      <c r="G1190" s="12"/>
      <c r="H1190" s="12"/>
    </row>
    <row r="1191" spans="1:28" ht="14.25" x14ac:dyDescent="0.2">
      <c r="A1191" s="50">
        <v>167</v>
      </c>
      <c r="B1191" s="50" t="str">
        <f>Source!E268</f>
        <v>84,6</v>
      </c>
      <c r="C1191" s="50" t="str">
        <f>Source!G268</f>
        <v>Радиаторы</v>
      </c>
      <c r="D1191" s="50" t="str">
        <f>Source!F268</f>
        <v>18.5.10.06</v>
      </c>
      <c r="E1191" s="35" t="str">
        <f>Source!H268</f>
        <v>квт</v>
      </c>
      <c r="F1191" s="12">
        <f>Source!I268</f>
        <v>28.49</v>
      </c>
      <c r="G1191" s="25">
        <f>Source!AB268</f>
        <v>0</v>
      </c>
      <c r="H1191" s="25">
        <f>Source!O268</f>
        <v>0</v>
      </c>
      <c r="T1191">
        <f>Source!O268+Source!X268+Source!Y268</f>
        <v>0</v>
      </c>
      <c r="U1191">
        <f>Source!P268</f>
        <v>0</v>
      </c>
      <c r="V1191">
        <f>Source!S268</f>
        <v>0</v>
      </c>
      <c r="W1191">
        <f>Source!Q268</f>
        <v>0</v>
      </c>
      <c r="X1191">
        <f>Source!R268</f>
        <v>0</v>
      </c>
      <c r="Y1191">
        <f>Source!U268</f>
        <v>0</v>
      </c>
      <c r="Z1191">
        <f>Source!V268</f>
        <v>0</v>
      </c>
      <c r="AA1191">
        <f>Source!X268</f>
        <v>0</v>
      </c>
      <c r="AB1191">
        <f>Source!Y268</f>
        <v>0</v>
      </c>
    </row>
    <row r="1192" spans="1:28" ht="14.25" x14ac:dyDescent="0.2">
      <c r="C1192" s="26" t="s">
        <v>1833</v>
      </c>
      <c r="D1192" s="26">
        <f>Source!BC268</f>
        <v>7.13</v>
      </c>
      <c r="F1192" s="12"/>
      <c r="G1192" s="12"/>
      <c r="H1192" s="12"/>
    </row>
    <row r="1193" spans="1:28" ht="57" x14ac:dyDescent="0.2">
      <c r="A1193" s="50">
        <v>168</v>
      </c>
      <c r="B1193" s="50" t="str">
        <f>Source!E269</f>
        <v>85</v>
      </c>
      <c r="C1193" s="50" t="str">
        <f>Source!G269</f>
        <v>Установка вентилей, задвижек, затворов, клапанов , кранов проходных на трубопроводах из стальных труб диаметром до 25 мм</v>
      </c>
      <c r="D1193" s="50" t="str">
        <f>Source!F269</f>
        <v>16-05-001-01</v>
      </c>
      <c r="E1193" s="35" t="str">
        <f>Source!H269</f>
        <v>ШТ</v>
      </c>
      <c r="F1193" s="12">
        <f>Source!I269</f>
        <v>48</v>
      </c>
      <c r="G1193" s="25">
        <f>Source!AB269</f>
        <v>44.92</v>
      </c>
      <c r="H1193" s="25">
        <f>Source!O269</f>
        <v>15373.42</v>
      </c>
      <c r="T1193">
        <f>Source!O269+Source!X269+Source!Y269</f>
        <v>25227.47</v>
      </c>
      <c r="U1193">
        <f>Source!P269</f>
        <v>8627.8700000000008</v>
      </c>
      <c r="V1193">
        <f>Source!S269</f>
        <v>5246.54</v>
      </c>
      <c r="W1193">
        <f>Source!Q269</f>
        <v>1499.01</v>
      </c>
      <c r="X1193">
        <f>Source!R269</f>
        <v>51.34</v>
      </c>
      <c r="Y1193">
        <f>Source!U269</f>
        <v>81.143999999999991</v>
      </c>
      <c r="Z1193">
        <f>Source!V269</f>
        <v>0.60000000000000009</v>
      </c>
      <c r="AA1193">
        <f>Source!X269</f>
        <v>6092.56</v>
      </c>
      <c r="AB1193">
        <f>Source!Y269</f>
        <v>3761.49</v>
      </c>
    </row>
    <row r="1194" spans="1:28" ht="14.25" x14ac:dyDescent="0.2">
      <c r="C1194" s="26" t="s">
        <v>1831</v>
      </c>
      <c r="D1194" s="26">
        <f>Source!BA269</f>
        <v>7.13</v>
      </c>
      <c r="F1194" s="12"/>
      <c r="G1194" s="12"/>
      <c r="H1194" s="12"/>
    </row>
    <row r="1195" spans="1:28" x14ac:dyDescent="0.2">
      <c r="C1195" s="26" t="s">
        <v>1832</v>
      </c>
      <c r="D1195" s="26">
        <f>Source!BB269</f>
        <v>7.13</v>
      </c>
    </row>
    <row r="1196" spans="1:28" x14ac:dyDescent="0.2">
      <c r="C1196" s="26" t="s">
        <v>1833</v>
      </c>
      <c r="D1196" s="26">
        <f>Source!BC269</f>
        <v>7.13</v>
      </c>
    </row>
    <row r="1197" spans="1:28" x14ac:dyDescent="0.2">
      <c r="C1197" s="26" t="s">
        <v>1834</v>
      </c>
      <c r="D1197" s="26">
        <f>Source!BS269</f>
        <v>7.13</v>
      </c>
    </row>
    <row r="1198" spans="1:28" x14ac:dyDescent="0.2">
      <c r="C1198" s="26" t="s">
        <v>1841</v>
      </c>
      <c r="D1198" s="116" t="s">
        <v>81</v>
      </c>
      <c r="E1198" s="116"/>
      <c r="F1198" s="116"/>
      <c r="G1198" s="116"/>
      <c r="H1198" s="116"/>
    </row>
    <row r="1199" spans="1:28" x14ac:dyDescent="0.2">
      <c r="C1199" s="26" t="s">
        <v>1842</v>
      </c>
      <c r="D1199" s="116" t="s">
        <v>81</v>
      </c>
      <c r="E1199" s="116"/>
      <c r="F1199" s="116"/>
      <c r="G1199" s="116"/>
      <c r="H1199" s="116"/>
    </row>
    <row r="1200" spans="1:28" x14ac:dyDescent="0.2">
      <c r="C1200" s="26" t="s">
        <v>1843</v>
      </c>
      <c r="D1200" s="116" t="s">
        <v>82</v>
      </c>
      <c r="E1200" s="116"/>
      <c r="F1200" s="116"/>
      <c r="G1200" s="116"/>
      <c r="H1200" s="116"/>
    </row>
    <row r="1201" spans="1:28" x14ac:dyDescent="0.2">
      <c r="C1201" s="26" t="s">
        <v>1844</v>
      </c>
      <c r="D1201" s="116" t="s">
        <v>82</v>
      </c>
      <c r="E1201" s="116"/>
      <c r="F1201" s="116"/>
      <c r="G1201" s="116"/>
      <c r="H1201" s="116"/>
    </row>
    <row r="1202" spans="1:28" x14ac:dyDescent="0.2">
      <c r="C1202" s="26" t="s">
        <v>1845</v>
      </c>
      <c r="D1202" s="116" t="s">
        <v>81</v>
      </c>
      <c r="E1202" s="116"/>
      <c r="F1202" s="116"/>
      <c r="G1202" s="116"/>
      <c r="H1202" s="116"/>
    </row>
    <row r="1203" spans="1:28" x14ac:dyDescent="0.2">
      <c r="C1203" s="9" t="s">
        <v>1835</v>
      </c>
      <c r="D1203" s="38"/>
      <c r="E1203" s="38"/>
      <c r="F1203" s="38">
        <f>Source!BZ269</f>
        <v>128</v>
      </c>
      <c r="G1203" s="61">
        <f>(Source!AF269+Source!AE269)*Source!FX269/100</f>
        <v>17.83296</v>
      </c>
      <c r="H1203" s="61">
        <f>Source!X269</f>
        <v>6092.56</v>
      </c>
    </row>
    <row r="1204" spans="1:28" x14ac:dyDescent="0.2">
      <c r="C1204" s="9" t="s">
        <v>1836</v>
      </c>
      <c r="D1204" s="38"/>
      <c r="E1204" s="38"/>
      <c r="F1204" s="38"/>
      <c r="G1204" s="38" t="str">
        <f>CONCATENATE(Source!DL269,Source!FT269, "=", Source!FX269, "%")</f>
        <v>*0,9=115,2%</v>
      </c>
      <c r="H1204" s="38" t="str">
        <f>CONCATENATE(Source!AT269)</f>
        <v>115</v>
      </c>
    </row>
    <row r="1205" spans="1:28" x14ac:dyDescent="0.2">
      <c r="C1205" s="9" t="s">
        <v>1837</v>
      </c>
      <c r="D1205" s="38"/>
      <c r="E1205" s="38"/>
      <c r="F1205" s="38">
        <f>Source!CA269</f>
        <v>83</v>
      </c>
      <c r="G1205" s="61">
        <f>(Source!AF269+Source!AE269)*Source!FY269/100</f>
        <v>10.921140000000001</v>
      </c>
      <c r="H1205" s="61">
        <f>Source!Y269</f>
        <v>3761.49</v>
      </c>
    </row>
    <row r="1206" spans="1:28" x14ac:dyDescent="0.2">
      <c r="C1206" s="9" t="s">
        <v>1838</v>
      </c>
      <c r="D1206" s="38"/>
      <c r="E1206" s="38"/>
      <c r="F1206" s="38"/>
      <c r="G1206" s="38" t="str">
        <f>CONCATENATE(Source!DM269,Source!FU269, "=", Source!FY269, "%")</f>
        <v>*0,85=70,55%</v>
      </c>
      <c r="H1206" s="38" t="str">
        <f>CONCATENATE(Source!AU269)</f>
        <v>71</v>
      </c>
    </row>
    <row r="1207" spans="1:28" x14ac:dyDescent="0.2">
      <c r="C1207" s="9" t="s">
        <v>1839</v>
      </c>
      <c r="D1207" s="38"/>
      <c r="E1207" s="38"/>
      <c r="F1207" s="38"/>
      <c r="G1207" s="61">
        <f>((Source!AF269+Source!AE269)*Source!FX269/100)+((Source!AF269+Source!AE269)*Source!FY269/100)+Source!AB269</f>
        <v>73.67410000000001</v>
      </c>
      <c r="H1207" s="61">
        <f>Source!O269+Source!X269+Source!Y269</f>
        <v>25227.47</v>
      </c>
    </row>
    <row r="1208" spans="1:28" ht="57" x14ac:dyDescent="0.2">
      <c r="A1208" s="50">
        <v>169</v>
      </c>
      <c r="B1208" s="50" t="str">
        <f>Source!E270</f>
        <v>85,1</v>
      </c>
      <c r="C1208" s="50" t="str">
        <f>Source!G270</f>
        <v>Краны шаровые под приварку "Danfoss" JiP-WW с рукояткой, давлением 4,0 МПа (40 кгс/см2), диаметром 20 мм</v>
      </c>
      <c r="D1208" s="50" t="str">
        <f>Source!F270</f>
        <v>18.1.09.07-0207</v>
      </c>
      <c r="E1208" s="35" t="str">
        <f>Source!H270</f>
        <v>шт.</v>
      </c>
      <c r="F1208" s="12">
        <f>Source!I270</f>
        <v>32</v>
      </c>
      <c r="G1208" s="25">
        <f>Source!AB270</f>
        <v>350.88</v>
      </c>
      <c r="H1208" s="25">
        <f>Source!O270</f>
        <v>80056.78</v>
      </c>
      <c r="T1208">
        <f>Source!O270+Source!X270+Source!Y270</f>
        <v>80056.78</v>
      </c>
      <c r="U1208">
        <f>Source!P270</f>
        <v>80056.78</v>
      </c>
      <c r="V1208">
        <f>Source!S270</f>
        <v>0</v>
      </c>
      <c r="W1208">
        <f>Source!Q270</f>
        <v>0</v>
      </c>
      <c r="X1208">
        <f>Source!R270</f>
        <v>0</v>
      </c>
      <c r="Y1208">
        <f>Source!U270</f>
        <v>0</v>
      </c>
      <c r="Z1208">
        <f>Source!V270</f>
        <v>0</v>
      </c>
      <c r="AA1208">
        <f>Source!X270</f>
        <v>0</v>
      </c>
      <c r="AB1208">
        <f>Source!Y270</f>
        <v>0</v>
      </c>
    </row>
    <row r="1209" spans="1:28" ht="14.25" x14ac:dyDescent="0.2">
      <c r="C1209" s="26" t="s">
        <v>1833</v>
      </c>
      <c r="D1209" s="26">
        <f>Source!BC270</f>
        <v>7.13</v>
      </c>
      <c r="F1209" s="12"/>
      <c r="G1209" s="12"/>
      <c r="H1209" s="12"/>
    </row>
    <row r="1210" spans="1:28" ht="57" x14ac:dyDescent="0.2">
      <c r="A1210" s="50">
        <v>170</v>
      </c>
      <c r="B1210" s="50" t="str">
        <f>Source!E271</f>
        <v>85,2</v>
      </c>
      <c r="C1210" s="50" t="str">
        <f>Source!G271</f>
        <v>Клапан термостатический из цветных металлов (без головки) для установки на радиатор, давлением 1,0 МПа (10 кгс/см2), диаметром 20 мм марка RA-N</v>
      </c>
      <c r="D1210" s="50" t="str">
        <f>Source!F271</f>
        <v>18.1.10.06-0013</v>
      </c>
      <c r="E1210" s="35" t="str">
        <f>Source!H271</f>
        <v>шт.</v>
      </c>
      <c r="F1210" s="12">
        <f>Source!I271</f>
        <v>16</v>
      </c>
      <c r="G1210" s="25">
        <f>Source!AB271</f>
        <v>143.43</v>
      </c>
      <c r="H1210" s="25">
        <f>Source!O271</f>
        <v>16362.49</v>
      </c>
      <c r="T1210">
        <f>Source!O271+Source!X271+Source!Y271</f>
        <v>16362.49</v>
      </c>
      <c r="U1210">
        <f>Source!P271</f>
        <v>16362.49</v>
      </c>
      <c r="V1210">
        <f>Source!S271</f>
        <v>0</v>
      </c>
      <c r="W1210">
        <f>Source!Q271</f>
        <v>0</v>
      </c>
      <c r="X1210">
        <f>Source!R271</f>
        <v>0</v>
      </c>
      <c r="Y1210">
        <f>Source!U271</f>
        <v>0</v>
      </c>
      <c r="Z1210">
        <f>Source!V271</f>
        <v>0</v>
      </c>
      <c r="AA1210">
        <f>Source!X271</f>
        <v>0</v>
      </c>
      <c r="AB1210">
        <f>Source!Y271</f>
        <v>0</v>
      </c>
    </row>
    <row r="1211" spans="1:28" ht="14.25" x14ac:dyDescent="0.2">
      <c r="C1211" s="26" t="s">
        <v>1833</v>
      </c>
      <c r="D1211" s="26">
        <f>Source!BC271</f>
        <v>7.13</v>
      </c>
      <c r="F1211" s="12"/>
      <c r="G1211" s="12"/>
      <c r="H1211" s="12"/>
    </row>
    <row r="1212" spans="1:28" ht="71.25" x14ac:dyDescent="0.2">
      <c r="A1212" s="50">
        <v>171</v>
      </c>
      <c r="B1212" s="50" t="str">
        <f>Source!E272</f>
        <v>85,3</v>
      </c>
      <c r="C1212" s="50" t="str">
        <f>Source!G272</f>
        <v>Головка термостатическая со встроенным датчиком для автоматического регулирования расхода теплоносителя через отопительный прибор , марка RA 2940</v>
      </c>
      <c r="D1212" s="50" t="str">
        <f>Source!F272</f>
        <v>18.5.10.08-0002</v>
      </c>
      <c r="E1212" s="35" t="str">
        <f>Source!H272</f>
        <v>шт.</v>
      </c>
      <c r="F1212" s="12">
        <f>Source!I272</f>
        <v>16</v>
      </c>
      <c r="G1212" s="25">
        <f>Source!AB272</f>
        <v>128.94</v>
      </c>
      <c r="H1212" s="25">
        <f>Source!O272</f>
        <v>14709.48</v>
      </c>
      <c r="T1212">
        <f>Source!O272+Source!X272+Source!Y272</f>
        <v>14709.48</v>
      </c>
      <c r="U1212">
        <f>Source!P272</f>
        <v>14709.48</v>
      </c>
      <c r="V1212">
        <f>Source!S272</f>
        <v>0</v>
      </c>
      <c r="W1212">
        <f>Source!Q272</f>
        <v>0</v>
      </c>
      <c r="X1212">
        <f>Source!R272</f>
        <v>0</v>
      </c>
      <c r="Y1212">
        <f>Source!U272</f>
        <v>0</v>
      </c>
      <c r="Z1212">
        <f>Source!V272</f>
        <v>0</v>
      </c>
      <c r="AA1212">
        <f>Source!X272</f>
        <v>0</v>
      </c>
      <c r="AB1212">
        <f>Source!Y272</f>
        <v>0</v>
      </c>
    </row>
    <row r="1213" spans="1:28" ht="14.25" x14ac:dyDescent="0.2">
      <c r="C1213" s="26" t="s">
        <v>1833</v>
      </c>
      <c r="D1213" s="26">
        <f>Source!BC272</f>
        <v>7.13</v>
      </c>
      <c r="F1213" s="12"/>
      <c r="G1213" s="12"/>
      <c r="H1213" s="12"/>
    </row>
    <row r="1214" spans="1:28" ht="28.5" x14ac:dyDescent="0.2">
      <c r="A1214" s="50">
        <v>172</v>
      </c>
      <c r="B1214" s="50" t="str">
        <f>Source!E273</f>
        <v>86</v>
      </c>
      <c r="C1214" s="50" t="str">
        <f>Source!G273</f>
        <v>Установка воздухоотводчиков</v>
      </c>
      <c r="D1214" s="50" t="str">
        <f>Source!F273</f>
        <v>18-06-003-10</v>
      </c>
      <c r="E1214" s="35" t="str">
        <f>Source!H273</f>
        <v>ШТ</v>
      </c>
      <c r="F1214" s="12">
        <f>Source!I273</f>
        <v>16</v>
      </c>
      <c r="G1214" s="25">
        <f>Source!AB273</f>
        <v>35.590000000000003</v>
      </c>
      <c r="H1214" s="25">
        <f>Source!O273</f>
        <v>4060.1</v>
      </c>
      <c r="T1214">
        <f>Source!O273+Source!X273+Source!Y273</f>
        <v>8199.91</v>
      </c>
      <c r="U1214">
        <f>Source!P273</f>
        <v>1013.03</v>
      </c>
      <c r="V1214">
        <f>Source!S273</f>
        <v>2071.69</v>
      </c>
      <c r="W1214">
        <f>Source!Q273</f>
        <v>975.38</v>
      </c>
      <c r="X1214">
        <f>Source!R273</f>
        <v>154.01</v>
      </c>
      <c r="Y1214">
        <f>Source!U273</f>
        <v>30.543999999999997</v>
      </c>
      <c r="Z1214">
        <f>Source!V273</f>
        <v>1.7999999999999998</v>
      </c>
      <c r="AA1214">
        <f>Source!X273</f>
        <v>2559.56</v>
      </c>
      <c r="AB1214">
        <f>Source!Y273</f>
        <v>1580.25</v>
      </c>
    </row>
    <row r="1215" spans="1:28" ht="14.25" x14ac:dyDescent="0.2">
      <c r="C1215" s="26" t="s">
        <v>1831</v>
      </c>
      <c r="D1215" s="26">
        <f>Source!BA273</f>
        <v>7.13</v>
      </c>
      <c r="F1215" s="12"/>
      <c r="G1215" s="12"/>
      <c r="H1215" s="12"/>
    </row>
    <row r="1216" spans="1:28" x14ac:dyDescent="0.2">
      <c r="C1216" s="26" t="s">
        <v>1832</v>
      </c>
      <c r="D1216" s="26">
        <f>Source!BB273</f>
        <v>7.13</v>
      </c>
    </row>
    <row r="1217" spans="1:28" x14ac:dyDescent="0.2">
      <c r="C1217" s="26" t="s">
        <v>1833</v>
      </c>
      <c r="D1217" s="26">
        <f>Source!BC273</f>
        <v>7.13</v>
      </c>
    </row>
    <row r="1218" spans="1:28" x14ac:dyDescent="0.2">
      <c r="C1218" s="26" t="s">
        <v>1834</v>
      </c>
      <c r="D1218" s="26">
        <f>Source!BS273</f>
        <v>7.13</v>
      </c>
    </row>
    <row r="1219" spans="1:28" x14ac:dyDescent="0.2">
      <c r="C1219" s="26" t="s">
        <v>1841</v>
      </c>
      <c r="D1219" s="116" t="s">
        <v>81</v>
      </c>
      <c r="E1219" s="116"/>
      <c r="F1219" s="116"/>
      <c r="G1219" s="116"/>
      <c r="H1219" s="116"/>
    </row>
    <row r="1220" spans="1:28" x14ac:dyDescent="0.2">
      <c r="C1220" s="26" t="s">
        <v>1842</v>
      </c>
      <c r="D1220" s="116" t="s">
        <v>81</v>
      </c>
      <c r="E1220" s="116"/>
      <c r="F1220" s="116"/>
      <c r="G1220" s="116"/>
      <c r="H1220" s="116"/>
    </row>
    <row r="1221" spans="1:28" x14ac:dyDescent="0.2">
      <c r="C1221" s="26" t="s">
        <v>1843</v>
      </c>
      <c r="D1221" s="116" t="s">
        <v>82</v>
      </c>
      <c r="E1221" s="116"/>
      <c r="F1221" s="116"/>
      <c r="G1221" s="116"/>
      <c r="H1221" s="116"/>
    </row>
    <row r="1222" spans="1:28" x14ac:dyDescent="0.2">
      <c r="C1222" s="26" t="s">
        <v>1844</v>
      </c>
      <c r="D1222" s="116" t="s">
        <v>82</v>
      </c>
      <c r="E1222" s="116"/>
      <c r="F1222" s="116"/>
      <c r="G1222" s="116"/>
      <c r="H1222" s="116"/>
    </row>
    <row r="1223" spans="1:28" x14ac:dyDescent="0.2">
      <c r="C1223" s="26" t="s">
        <v>1845</v>
      </c>
      <c r="D1223" s="116" t="s">
        <v>81</v>
      </c>
      <c r="E1223" s="116"/>
      <c r="F1223" s="116"/>
      <c r="G1223" s="116"/>
      <c r="H1223" s="116"/>
    </row>
    <row r="1224" spans="1:28" x14ac:dyDescent="0.2">
      <c r="C1224" s="9" t="s">
        <v>1835</v>
      </c>
      <c r="D1224" s="38"/>
      <c r="E1224" s="38"/>
      <c r="F1224" s="38">
        <f>Source!BZ273</f>
        <v>128</v>
      </c>
      <c r="G1224" s="61">
        <f>(Source!AF273+Source!AE273)*Source!FX273/100</f>
        <v>22.475520000000003</v>
      </c>
      <c r="H1224" s="61">
        <f>Source!X273</f>
        <v>2559.56</v>
      </c>
    </row>
    <row r="1225" spans="1:28" x14ac:dyDescent="0.2">
      <c r="C1225" s="9" t="s">
        <v>1836</v>
      </c>
      <c r="D1225" s="38"/>
      <c r="E1225" s="38"/>
      <c r="F1225" s="38"/>
      <c r="G1225" s="38" t="str">
        <f>CONCATENATE(Source!DL273,Source!FT273, "=", Source!FX273, "%")</f>
        <v>*0,9=115,2%</v>
      </c>
      <c r="H1225" s="38" t="str">
        <f>CONCATENATE(Source!AT273)</f>
        <v>115</v>
      </c>
    </row>
    <row r="1226" spans="1:28" x14ac:dyDescent="0.2">
      <c r="C1226" s="9" t="s">
        <v>1837</v>
      </c>
      <c r="D1226" s="38"/>
      <c r="E1226" s="38"/>
      <c r="F1226" s="38">
        <f>Source!CA273</f>
        <v>83</v>
      </c>
      <c r="G1226" s="61">
        <f>(Source!AF273+Source!AE273)*Source!FY273/100</f>
        <v>13.764305000000002</v>
      </c>
      <c r="H1226" s="61">
        <f>Source!Y273</f>
        <v>1580.25</v>
      </c>
    </row>
    <row r="1227" spans="1:28" x14ac:dyDescent="0.2">
      <c r="C1227" s="9" t="s">
        <v>1838</v>
      </c>
      <c r="D1227" s="38"/>
      <c r="E1227" s="38"/>
      <c r="F1227" s="38"/>
      <c r="G1227" s="38" t="str">
        <f>CONCATENATE(Source!DM273,Source!FU273, "=", Source!FY273, "%")</f>
        <v>*0,85=70,55%</v>
      </c>
      <c r="H1227" s="38" t="str">
        <f>CONCATENATE(Source!AU273)</f>
        <v>71</v>
      </c>
    </row>
    <row r="1228" spans="1:28" x14ac:dyDescent="0.2">
      <c r="C1228" s="9" t="s">
        <v>1839</v>
      </c>
      <c r="D1228" s="38"/>
      <c r="E1228" s="38"/>
      <c r="F1228" s="38"/>
      <c r="G1228" s="61">
        <f>((Source!AF273+Source!AE273)*Source!FX273/100)+((Source!AF273+Source!AE273)*Source!FY273/100)+Source!AB273</f>
        <v>71.829825</v>
      </c>
      <c r="H1228" s="61">
        <f>Source!O273+Source!X273+Source!Y273</f>
        <v>8199.91</v>
      </c>
    </row>
    <row r="1229" spans="1:28" ht="57" x14ac:dyDescent="0.2">
      <c r="A1229" s="50">
        <v>173</v>
      </c>
      <c r="B1229" s="50" t="str">
        <f>Source!E274</f>
        <v>86,1</v>
      </c>
      <c r="C1229" s="50" t="str">
        <f>Source!G274</f>
        <v>Воздухоотводчик автоматический с наружным резьбовым присоединением Рр=1,0 МПа, Т max = 120 град С, D = 15 мм</v>
      </c>
      <c r="D1229" s="50" t="str">
        <f>Source!F274</f>
        <v>19.1.02.01-0011</v>
      </c>
      <c r="E1229" s="35" t="str">
        <f>Source!H274</f>
        <v>шт.</v>
      </c>
      <c r="F1229" s="12">
        <f>Source!I274</f>
        <v>16</v>
      </c>
      <c r="G1229" s="25">
        <f>Source!AB274</f>
        <v>60.7</v>
      </c>
      <c r="H1229" s="25">
        <f>Source!O274</f>
        <v>6924.66</v>
      </c>
      <c r="T1229">
        <f>Source!O274+Source!X274+Source!Y274</f>
        <v>6924.66</v>
      </c>
      <c r="U1229">
        <f>Source!P274</f>
        <v>6924.66</v>
      </c>
      <c r="V1229">
        <f>Source!S274</f>
        <v>0</v>
      </c>
      <c r="W1229">
        <f>Source!Q274</f>
        <v>0</v>
      </c>
      <c r="X1229">
        <f>Source!R274</f>
        <v>0</v>
      </c>
      <c r="Y1229">
        <f>Source!U274</f>
        <v>0</v>
      </c>
      <c r="Z1229">
        <f>Source!V274</f>
        <v>0</v>
      </c>
      <c r="AA1229">
        <f>Source!X274</f>
        <v>0</v>
      </c>
      <c r="AB1229">
        <f>Source!Y274</f>
        <v>0</v>
      </c>
    </row>
    <row r="1230" spans="1:28" ht="14.25" x14ac:dyDescent="0.2">
      <c r="C1230" s="26" t="s">
        <v>1833</v>
      </c>
      <c r="D1230" s="26">
        <f>Source!BC274</f>
        <v>7.13</v>
      </c>
      <c r="F1230" s="12"/>
      <c r="G1230" s="12"/>
      <c r="H1230" s="12"/>
    </row>
    <row r="1231" spans="1:28" ht="42.75" x14ac:dyDescent="0.2">
      <c r="A1231" s="50">
        <v>174</v>
      </c>
      <c r="B1231" s="50" t="str">
        <f>Source!E275</f>
        <v>87</v>
      </c>
      <c r="C1231" s="50" t="str">
        <f>Source!G275</f>
        <v>Врезка в действующие внутренние сети трубопроводов отопления и водоснабжения диаметром 25 мм</v>
      </c>
      <c r="D1231" s="50" t="str">
        <f>Source!F275</f>
        <v>16-07-003-03</v>
      </c>
      <c r="E1231" s="35" t="str">
        <f>Source!H275</f>
        <v>ШТ</v>
      </c>
      <c r="F1231" s="12">
        <f>Source!I275</f>
        <v>16</v>
      </c>
      <c r="G1231" s="25">
        <f>Source!AB275</f>
        <v>71.37</v>
      </c>
      <c r="H1231" s="25">
        <f>Source!O275</f>
        <v>8141.89</v>
      </c>
      <c r="T1231">
        <f>Source!O275+Source!X275+Source!Y275</f>
        <v>18969.89</v>
      </c>
      <c r="U1231">
        <f>Source!P275</f>
        <v>1663.29</v>
      </c>
      <c r="V1231">
        <f>Source!S275</f>
        <v>5804.39</v>
      </c>
      <c r="W1231">
        <f>Source!Q275</f>
        <v>674.21</v>
      </c>
      <c r="X1231">
        <f>Source!R275</f>
        <v>17.11</v>
      </c>
      <c r="Y1231">
        <f>Source!U275</f>
        <v>82.063999999999993</v>
      </c>
      <c r="Z1231">
        <f>Source!V275</f>
        <v>0.2</v>
      </c>
      <c r="AA1231">
        <f>Source!X275</f>
        <v>6694.73</v>
      </c>
      <c r="AB1231">
        <f>Source!Y275</f>
        <v>4133.2700000000004</v>
      </c>
    </row>
    <row r="1232" spans="1:28" ht="14.25" x14ac:dyDescent="0.2">
      <c r="C1232" s="26" t="s">
        <v>1831</v>
      </c>
      <c r="D1232" s="26">
        <f>Source!BA275</f>
        <v>7.13</v>
      </c>
      <c r="F1232" s="12"/>
      <c r="G1232" s="12"/>
      <c r="H1232" s="12"/>
    </row>
    <row r="1233" spans="1:28" x14ac:dyDescent="0.2">
      <c r="C1233" s="26" t="s">
        <v>1832</v>
      </c>
      <c r="D1233" s="26">
        <f>Source!BB275</f>
        <v>7.13</v>
      </c>
    </row>
    <row r="1234" spans="1:28" x14ac:dyDescent="0.2">
      <c r="C1234" s="26" t="s">
        <v>1833</v>
      </c>
      <c r="D1234" s="26">
        <f>Source!BC275</f>
        <v>7.13</v>
      </c>
    </row>
    <row r="1235" spans="1:28" x14ac:dyDescent="0.2">
      <c r="C1235" s="26" t="s">
        <v>1834</v>
      </c>
      <c r="D1235" s="26">
        <f>Source!BS275</f>
        <v>7.13</v>
      </c>
    </row>
    <row r="1236" spans="1:28" x14ac:dyDescent="0.2">
      <c r="C1236" s="26" t="s">
        <v>1841</v>
      </c>
      <c r="D1236" s="116" t="s">
        <v>81</v>
      </c>
      <c r="E1236" s="116"/>
      <c r="F1236" s="116"/>
      <c r="G1236" s="116"/>
      <c r="H1236" s="116"/>
    </row>
    <row r="1237" spans="1:28" x14ac:dyDescent="0.2">
      <c r="C1237" s="26" t="s">
        <v>1842</v>
      </c>
      <c r="D1237" s="116" t="s">
        <v>81</v>
      </c>
      <c r="E1237" s="116"/>
      <c r="F1237" s="116"/>
      <c r="G1237" s="116"/>
      <c r="H1237" s="116"/>
    </row>
    <row r="1238" spans="1:28" x14ac:dyDescent="0.2">
      <c r="C1238" s="26" t="s">
        <v>1843</v>
      </c>
      <c r="D1238" s="116" t="s">
        <v>82</v>
      </c>
      <c r="E1238" s="116"/>
      <c r="F1238" s="116"/>
      <c r="G1238" s="116"/>
      <c r="H1238" s="116"/>
    </row>
    <row r="1239" spans="1:28" x14ac:dyDescent="0.2">
      <c r="C1239" s="26" t="s">
        <v>1844</v>
      </c>
      <c r="D1239" s="116" t="s">
        <v>82</v>
      </c>
      <c r="E1239" s="116"/>
      <c r="F1239" s="116"/>
      <c r="G1239" s="116"/>
      <c r="H1239" s="116"/>
    </row>
    <row r="1240" spans="1:28" x14ac:dyDescent="0.2">
      <c r="C1240" s="26" t="s">
        <v>1845</v>
      </c>
      <c r="D1240" s="116" t="s">
        <v>81</v>
      </c>
      <c r="E1240" s="116"/>
      <c r="F1240" s="116"/>
      <c r="G1240" s="116"/>
      <c r="H1240" s="116"/>
    </row>
    <row r="1241" spans="1:28" x14ac:dyDescent="0.2">
      <c r="C1241" s="9" t="s">
        <v>1835</v>
      </c>
      <c r="D1241" s="38"/>
      <c r="E1241" s="38"/>
      <c r="F1241" s="38">
        <f>Source!BZ275</f>
        <v>128</v>
      </c>
      <c r="G1241" s="61">
        <f>(Source!AF275+Source!AE275)*Source!FX275/100</f>
        <v>58.786560000000001</v>
      </c>
      <c r="H1241" s="61">
        <f>Source!X275</f>
        <v>6694.73</v>
      </c>
    </row>
    <row r="1242" spans="1:28" x14ac:dyDescent="0.2">
      <c r="C1242" s="9" t="s">
        <v>1836</v>
      </c>
      <c r="D1242" s="38"/>
      <c r="E1242" s="38"/>
      <c r="F1242" s="38"/>
      <c r="G1242" s="38" t="str">
        <f>CONCATENATE(Source!DL275,Source!FT275, "=", Source!FX275, "%")</f>
        <v>*0,9=115,2%</v>
      </c>
      <c r="H1242" s="38" t="str">
        <f>CONCATENATE(Source!AT275)</f>
        <v>115</v>
      </c>
    </row>
    <row r="1243" spans="1:28" x14ac:dyDescent="0.2">
      <c r="C1243" s="9" t="s">
        <v>1837</v>
      </c>
      <c r="D1243" s="38"/>
      <c r="E1243" s="38"/>
      <c r="F1243" s="38">
        <f>Source!CA275</f>
        <v>83</v>
      </c>
      <c r="G1243" s="61">
        <f>(Source!AF275+Source!AE275)*Source!FY275/100</f>
        <v>36.001664999999996</v>
      </c>
      <c r="H1243" s="61">
        <f>Source!Y275</f>
        <v>4133.2700000000004</v>
      </c>
    </row>
    <row r="1244" spans="1:28" x14ac:dyDescent="0.2">
      <c r="C1244" s="9" t="s">
        <v>1838</v>
      </c>
      <c r="D1244" s="38"/>
      <c r="E1244" s="38"/>
      <c r="F1244" s="38"/>
      <c r="G1244" s="38" t="str">
        <f>CONCATENATE(Source!DM275,Source!FU275, "=", Source!FY275, "%")</f>
        <v>*0,85=70,55%</v>
      </c>
      <c r="H1244" s="38" t="str">
        <f>CONCATENATE(Source!AU275)</f>
        <v>71</v>
      </c>
    </row>
    <row r="1245" spans="1:28" x14ac:dyDescent="0.2">
      <c r="C1245" s="9" t="s">
        <v>1839</v>
      </c>
      <c r="D1245" s="38"/>
      <c r="E1245" s="38"/>
      <c r="F1245" s="38"/>
      <c r="G1245" s="61">
        <f>((Source!AF275+Source!AE275)*Source!FX275/100)+((Source!AF275+Source!AE275)*Source!FY275/100)+Source!AB275</f>
        <v>166.15822500000002</v>
      </c>
      <c r="H1245" s="61">
        <f>Source!O275+Source!X275+Source!Y275</f>
        <v>18969.89</v>
      </c>
    </row>
    <row r="1246" spans="1:28" ht="57" x14ac:dyDescent="0.2">
      <c r="A1246" s="50">
        <v>175</v>
      </c>
      <c r="B1246" s="50" t="str">
        <f>Source!E276</f>
        <v>88</v>
      </c>
      <c r="C1246" s="50" t="str">
        <f>Source!G276</f>
        <v>Гидравлическое испытание трубопроводов систем отопления, водопровода и горячего водоснабжения диаметром до 50 мм</v>
      </c>
      <c r="D1246" s="50" t="str">
        <f>Source!F276</f>
        <v>16-07-005-01</v>
      </c>
      <c r="E1246" s="35" t="str">
        <f>Source!H276</f>
        <v>100 м</v>
      </c>
      <c r="F1246" s="12">
        <f>Source!I276</f>
        <v>1.004</v>
      </c>
      <c r="G1246" s="25">
        <f>Source!AB276</f>
        <v>127</v>
      </c>
      <c r="H1246" s="25">
        <f>Source!O276</f>
        <v>909.13</v>
      </c>
      <c r="T1246">
        <f>Source!O276+Source!X276+Source!Y276</f>
        <v>1802.1599999999999</v>
      </c>
      <c r="U1246">
        <f>Source!P276</f>
        <v>30.71</v>
      </c>
      <c r="V1246">
        <f>Source!S276</f>
        <v>480.12</v>
      </c>
      <c r="W1246">
        <f>Source!Q276</f>
        <v>398.3</v>
      </c>
      <c r="X1246">
        <f>Source!R276</f>
        <v>0</v>
      </c>
      <c r="Y1246">
        <f>Source!U276</f>
        <v>5.7845459999999989</v>
      </c>
      <c r="Z1246">
        <f>Source!V276</f>
        <v>0</v>
      </c>
      <c r="AA1246">
        <f>Source!X276</f>
        <v>552.14</v>
      </c>
      <c r="AB1246">
        <f>Source!Y276</f>
        <v>340.89</v>
      </c>
    </row>
    <row r="1247" spans="1:28" ht="14.25" x14ac:dyDescent="0.2">
      <c r="C1247" s="26" t="str">
        <f>"Объем: "&amp;Source!I276&amp;"=100,4/"&amp;"100"</f>
        <v>Объем: 1,004=100,4/100</v>
      </c>
      <c r="F1247" s="12"/>
      <c r="G1247" s="12"/>
      <c r="H1247" s="12"/>
    </row>
    <row r="1248" spans="1:28" x14ac:dyDescent="0.2">
      <c r="C1248" s="26" t="s">
        <v>1831</v>
      </c>
      <c r="D1248" s="26">
        <f>Source!BA276</f>
        <v>7.13</v>
      </c>
    </row>
    <row r="1249" spans="1:28" x14ac:dyDescent="0.2">
      <c r="C1249" s="26" t="s">
        <v>1832</v>
      </c>
      <c r="D1249" s="26">
        <f>Source!BB276</f>
        <v>7.13</v>
      </c>
    </row>
    <row r="1250" spans="1:28" x14ac:dyDescent="0.2">
      <c r="C1250" s="26" t="s">
        <v>1833</v>
      </c>
      <c r="D1250" s="26">
        <f>Source!BC276</f>
        <v>7.13</v>
      </c>
    </row>
    <row r="1251" spans="1:28" x14ac:dyDescent="0.2">
      <c r="C1251" s="26" t="s">
        <v>1834</v>
      </c>
      <c r="D1251" s="26">
        <f>Source!BS276</f>
        <v>7.13</v>
      </c>
    </row>
    <row r="1252" spans="1:28" x14ac:dyDescent="0.2">
      <c r="C1252" s="26" t="s">
        <v>1841</v>
      </c>
      <c r="D1252" s="116" t="s">
        <v>81</v>
      </c>
      <c r="E1252" s="116"/>
      <c r="F1252" s="116"/>
      <c r="G1252" s="116"/>
      <c r="H1252" s="116"/>
    </row>
    <row r="1253" spans="1:28" x14ac:dyDescent="0.2">
      <c r="C1253" s="26" t="s">
        <v>1842</v>
      </c>
      <c r="D1253" s="116" t="s">
        <v>81</v>
      </c>
      <c r="E1253" s="116"/>
      <c r="F1253" s="116"/>
      <c r="G1253" s="116"/>
      <c r="H1253" s="116"/>
    </row>
    <row r="1254" spans="1:28" x14ac:dyDescent="0.2">
      <c r="C1254" s="26" t="s">
        <v>1843</v>
      </c>
      <c r="D1254" s="116" t="s">
        <v>82</v>
      </c>
      <c r="E1254" s="116"/>
      <c r="F1254" s="116"/>
      <c r="G1254" s="116"/>
      <c r="H1254" s="116"/>
    </row>
    <row r="1255" spans="1:28" x14ac:dyDescent="0.2">
      <c r="C1255" s="26" t="s">
        <v>1844</v>
      </c>
      <c r="D1255" s="116" t="s">
        <v>82</v>
      </c>
      <c r="E1255" s="116"/>
      <c r="F1255" s="116"/>
      <c r="G1255" s="116"/>
      <c r="H1255" s="116"/>
    </row>
    <row r="1256" spans="1:28" x14ac:dyDescent="0.2">
      <c r="C1256" s="26" t="s">
        <v>1845</v>
      </c>
      <c r="D1256" s="116" t="s">
        <v>81</v>
      </c>
      <c r="E1256" s="116"/>
      <c r="F1256" s="116"/>
      <c r="G1256" s="116"/>
      <c r="H1256" s="116"/>
    </row>
    <row r="1257" spans="1:28" x14ac:dyDescent="0.2">
      <c r="C1257" s="9" t="s">
        <v>1835</v>
      </c>
      <c r="D1257" s="38"/>
      <c r="E1257" s="38"/>
      <c r="F1257" s="38">
        <f>Source!BZ276</f>
        <v>128</v>
      </c>
      <c r="G1257" s="61">
        <f>(Source!AF276+Source!AE276)*Source!FX276/100</f>
        <v>77.264639999999986</v>
      </c>
      <c r="H1257" s="61">
        <f>Source!X276</f>
        <v>552.14</v>
      </c>
    </row>
    <row r="1258" spans="1:28" x14ac:dyDescent="0.2">
      <c r="C1258" s="9" t="s">
        <v>1836</v>
      </c>
      <c r="D1258" s="38"/>
      <c r="E1258" s="38"/>
      <c r="F1258" s="38"/>
      <c r="G1258" s="38" t="str">
        <f>CONCATENATE(Source!DL276,Source!FT276, "=", Source!FX276, "%")</f>
        <v>*0,9=115,2%</v>
      </c>
      <c r="H1258" s="38" t="str">
        <f>CONCATENATE(Source!AT276)</f>
        <v>115</v>
      </c>
    </row>
    <row r="1259" spans="1:28" x14ac:dyDescent="0.2">
      <c r="C1259" s="9" t="s">
        <v>1837</v>
      </c>
      <c r="D1259" s="38"/>
      <c r="E1259" s="38"/>
      <c r="F1259" s="38">
        <f>Source!CA276</f>
        <v>83</v>
      </c>
      <c r="G1259" s="61">
        <f>(Source!AF276+Source!AE276)*Source!FY276/100</f>
        <v>47.317884999999997</v>
      </c>
      <c r="H1259" s="61">
        <f>Source!Y276</f>
        <v>340.89</v>
      </c>
    </row>
    <row r="1260" spans="1:28" x14ac:dyDescent="0.2">
      <c r="C1260" s="9" t="s">
        <v>1838</v>
      </c>
      <c r="D1260" s="38"/>
      <c r="E1260" s="38"/>
      <c r="F1260" s="38"/>
      <c r="G1260" s="38" t="str">
        <f>CONCATENATE(Source!DM276,Source!FU276, "=", Source!FY276, "%")</f>
        <v>*0,85=70,55%</v>
      </c>
      <c r="H1260" s="38" t="str">
        <f>CONCATENATE(Source!AU276)</f>
        <v>71</v>
      </c>
    </row>
    <row r="1261" spans="1:28" x14ac:dyDescent="0.2">
      <c r="C1261" s="9" t="s">
        <v>1839</v>
      </c>
      <c r="D1261" s="38"/>
      <c r="E1261" s="38"/>
      <c r="F1261" s="38"/>
      <c r="G1261" s="61">
        <f>((Source!AF276+Source!AE276)*Source!FX276/100)+((Source!AF276+Source!AE276)*Source!FY276/100)+Source!AB276</f>
        <v>251.58252499999998</v>
      </c>
      <c r="H1261" s="61">
        <f>Source!O276+Source!X276+Source!Y276</f>
        <v>1802.1599999999999</v>
      </c>
    </row>
    <row r="1262" spans="1:28" ht="57" x14ac:dyDescent="0.2">
      <c r="A1262" s="50">
        <v>176</v>
      </c>
      <c r="B1262" s="50" t="str">
        <f>Source!E277</f>
        <v>89</v>
      </c>
      <c r="C1262" s="50" t="str">
        <f>Source!G277</f>
        <v>Прокладка воздуховодов из листовой, оцинкованной стали и алюминия класса Н (нормальные) толщиной 0,5 мм, диаметром до 200 мм</v>
      </c>
      <c r="D1262" s="50" t="str">
        <f>Source!F277</f>
        <v>20-01-001-01</v>
      </c>
      <c r="E1262" s="35" t="str">
        <f>Source!H277</f>
        <v>100 м2</v>
      </c>
      <c r="F1262" s="12">
        <f>Source!I277</f>
        <v>2.12E-2</v>
      </c>
      <c r="G1262" s="25">
        <f>Source!AB277</f>
        <v>2280.0500000000002</v>
      </c>
      <c r="H1262" s="25">
        <f>Source!O277</f>
        <v>344.65</v>
      </c>
      <c r="T1262">
        <f>Source!O277+Source!X277+Source!Y277</f>
        <v>824.66</v>
      </c>
      <c r="U1262">
        <f>Source!P277</f>
        <v>65.7</v>
      </c>
      <c r="V1262">
        <f>Source!S277</f>
        <v>255.03</v>
      </c>
      <c r="W1262">
        <f>Source!Q277</f>
        <v>23.92</v>
      </c>
      <c r="X1262">
        <f>Source!R277</f>
        <v>3.04</v>
      </c>
      <c r="Y1262">
        <f>Source!U277</f>
        <v>4.0924268000000001</v>
      </c>
      <c r="Z1262">
        <f>Source!V277</f>
        <v>3.4450000000000001E-2</v>
      </c>
      <c r="AA1262">
        <f>Source!X277</f>
        <v>296.77999999999997</v>
      </c>
      <c r="AB1262">
        <f>Source!Y277</f>
        <v>183.23</v>
      </c>
    </row>
    <row r="1263" spans="1:28" ht="14.25" x14ac:dyDescent="0.2">
      <c r="C1263" s="26" t="str">
        <f>"Объем: "&amp;Source!I277&amp;"=2,12/"&amp;"100"</f>
        <v>Объем: 0,0212=2,12/100</v>
      </c>
      <c r="F1263" s="12"/>
      <c r="G1263" s="12"/>
      <c r="H1263" s="12"/>
    </row>
    <row r="1264" spans="1:28" x14ac:dyDescent="0.2">
      <c r="C1264" s="26" t="s">
        <v>1831</v>
      </c>
      <c r="D1264" s="26">
        <f>Source!BA277</f>
        <v>7.13</v>
      </c>
    </row>
    <row r="1265" spans="1:28" x14ac:dyDescent="0.2">
      <c r="C1265" s="26" t="s">
        <v>1832</v>
      </c>
      <c r="D1265" s="26">
        <f>Source!BB277</f>
        <v>7.13</v>
      </c>
    </row>
    <row r="1266" spans="1:28" x14ac:dyDescent="0.2">
      <c r="C1266" s="26" t="s">
        <v>1833</v>
      </c>
      <c r="D1266" s="26">
        <f>Source!BC277</f>
        <v>7.13</v>
      </c>
    </row>
    <row r="1267" spans="1:28" x14ac:dyDescent="0.2">
      <c r="C1267" s="26" t="s">
        <v>1834</v>
      </c>
      <c r="D1267" s="26">
        <f>Source!BS277</f>
        <v>7.13</v>
      </c>
    </row>
    <row r="1268" spans="1:28" x14ac:dyDescent="0.2">
      <c r="C1268" s="26" t="s">
        <v>1841</v>
      </c>
      <c r="D1268" s="116" t="s">
        <v>81</v>
      </c>
      <c r="E1268" s="116"/>
      <c r="F1268" s="116"/>
      <c r="G1268" s="116"/>
      <c r="H1268" s="116"/>
    </row>
    <row r="1269" spans="1:28" x14ac:dyDescent="0.2">
      <c r="C1269" s="26" t="s">
        <v>1842</v>
      </c>
      <c r="D1269" s="116" t="s">
        <v>81</v>
      </c>
      <c r="E1269" s="116"/>
      <c r="F1269" s="116"/>
      <c r="G1269" s="116"/>
      <c r="H1269" s="116"/>
    </row>
    <row r="1270" spans="1:28" x14ac:dyDescent="0.2">
      <c r="C1270" s="26" t="s">
        <v>1843</v>
      </c>
      <c r="D1270" s="116" t="s">
        <v>82</v>
      </c>
      <c r="E1270" s="116"/>
      <c r="F1270" s="116"/>
      <c r="G1270" s="116"/>
      <c r="H1270" s="116"/>
    </row>
    <row r="1271" spans="1:28" x14ac:dyDescent="0.2">
      <c r="C1271" s="26" t="s">
        <v>1844</v>
      </c>
      <c r="D1271" s="116" t="s">
        <v>82</v>
      </c>
      <c r="E1271" s="116"/>
      <c r="F1271" s="116"/>
      <c r="G1271" s="116"/>
      <c r="H1271" s="116"/>
    </row>
    <row r="1272" spans="1:28" x14ac:dyDescent="0.2">
      <c r="C1272" s="26" t="s">
        <v>1845</v>
      </c>
      <c r="D1272" s="116" t="s">
        <v>81</v>
      </c>
      <c r="E1272" s="116"/>
      <c r="F1272" s="116"/>
      <c r="G1272" s="116"/>
      <c r="H1272" s="116"/>
    </row>
    <row r="1273" spans="1:28" x14ac:dyDescent="0.2">
      <c r="C1273" s="9" t="s">
        <v>1835</v>
      </c>
      <c r="D1273" s="38"/>
      <c r="E1273" s="38"/>
      <c r="F1273" s="38">
        <f>Source!BZ277</f>
        <v>128</v>
      </c>
      <c r="G1273" s="61">
        <f>(Source!AF277+Source!AE277)*Source!FX277/100</f>
        <v>1966.7635200000002</v>
      </c>
      <c r="H1273" s="61">
        <f>Source!X277</f>
        <v>296.77999999999997</v>
      </c>
    </row>
    <row r="1274" spans="1:28" x14ac:dyDescent="0.2">
      <c r="C1274" s="9" t="s">
        <v>1836</v>
      </c>
      <c r="D1274" s="38"/>
      <c r="E1274" s="38"/>
      <c r="F1274" s="38"/>
      <c r="G1274" s="38" t="str">
        <f>CONCATENATE(Source!DL277,Source!FT277, "=", Source!FX277, "%")</f>
        <v>*0,9=115,2%</v>
      </c>
      <c r="H1274" s="38" t="str">
        <f>CONCATENATE(Source!AT277)</f>
        <v>115</v>
      </c>
    </row>
    <row r="1275" spans="1:28" x14ac:dyDescent="0.2">
      <c r="C1275" s="9" t="s">
        <v>1837</v>
      </c>
      <c r="D1275" s="38"/>
      <c r="E1275" s="38"/>
      <c r="F1275" s="38">
        <f>Source!CA277</f>
        <v>83</v>
      </c>
      <c r="G1275" s="61">
        <f>(Source!AF277+Source!AE277)*Source!FY277/100</f>
        <v>1204.4719299999999</v>
      </c>
      <c r="H1275" s="61">
        <f>Source!Y277</f>
        <v>183.23</v>
      </c>
    </row>
    <row r="1276" spans="1:28" x14ac:dyDescent="0.2">
      <c r="C1276" s="9" t="s">
        <v>1838</v>
      </c>
      <c r="D1276" s="38"/>
      <c r="E1276" s="38"/>
      <c r="F1276" s="38"/>
      <c r="G1276" s="38" t="str">
        <f>CONCATENATE(Source!DM277,Source!FU277, "=", Source!FY277, "%")</f>
        <v>*0,85=70,55%</v>
      </c>
      <c r="H1276" s="38" t="str">
        <f>CONCATENATE(Source!AU277)</f>
        <v>71</v>
      </c>
    </row>
    <row r="1277" spans="1:28" x14ac:dyDescent="0.2">
      <c r="C1277" s="9" t="s">
        <v>1839</v>
      </c>
      <c r="D1277" s="38"/>
      <c r="E1277" s="38"/>
      <c r="F1277" s="38"/>
      <c r="G1277" s="61">
        <f>((Source!AF277+Source!AE277)*Source!FX277/100)+((Source!AF277+Source!AE277)*Source!FY277/100)+Source!AB277</f>
        <v>5451.2854500000003</v>
      </c>
      <c r="H1277" s="61">
        <f>Source!O277+Source!X277+Source!Y277</f>
        <v>824.66</v>
      </c>
    </row>
    <row r="1278" spans="1:28" ht="42.75" x14ac:dyDescent="0.2">
      <c r="A1278" s="50">
        <v>177</v>
      </c>
      <c r="B1278" s="50" t="str">
        <f>Source!E278</f>
        <v>89,1</v>
      </c>
      <c r="C1278" s="50" t="str">
        <f>Source!G278</f>
        <v>Воздуховоды типа ALUDUCT (POLAR BEAR) неизолированные  диаметром 125 мм</v>
      </c>
      <c r="D1278" s="50" t="str">
        <f>Source!F278</f>
        <v>19.1.01.01-0021</v>
      </c>
      <c r="E1278" s="35" t="str">
        <f>Source!H278</f>
        <v>м2</v>
      </c>
      <c r="F1278" s="12">
        <f>Source!I278</f>
        <v>2.12</v>
      </c>
      <c r="G1278" s="25">
        <f>Source!AB278</f>
        <v>66.31</v>
      </c>
      <c r="H1278" s="25">
        <f>Source!O278</f>
        <v>1002.32</v>
      </c>
      <c r="T1278">
        <f>Source!O278+Source!X278+Source!Y278</f>
        <v>1002.32</v>
      </c>
      <c r="U1278">
        <f>Source!P278</f>
        <v>1002.32</v>
      </c>
      <c r="V1278">
        <f>Source!S278</f>
        <v>0</v>
      </c>
      <c r="W1278">
        <f>Source!Q278</f>
        <v>0</v>
      </c>
      <c r="X1278">
        <f>Source!R278</f>
        <v>0</v>
      </c>
      <c r="Y1278">
        <f>Source!U278</f>
        <v>0</v>
      </c>
      <c r="Z1278">
        <f>Source!V278</f>
        <v>0</v>
      </c>
      <c r="AA1278">
        <f>Source!X278</f>
        <v>0</v>
      </c>
      <c r="AB1278">
        <f>Source!Y278</f>
        <v>0</v>
      </c>
    </row>
    <row r="1279" spans="1:28" ht="14.25" x14ac:dyDescent="0.2">
      <c r="C1279" s="26" t="s">
        <v>1833</v>
      </c>
      <c r="D1279" s="26">
        <f>Source!BC278</f>
        <v>7.13</v>
      </c>
      <c r="F1279" s="12"/>
      <c r="G1279" s="12"/>
      <c r="H1279" s="12"/>
    </row>
    <row r="1280" spans="1:28" ht="28.5" x14ac:dyDescent="0.2">
      <c r="A1280" s="50">
        <v>178</v>
      </c>
      <c r="B1280" s="50" t="str">
        <f>Source!E279</f>
        <v>90</v>
      </c>
      <c r="C1280" s="50" t="str">
        <f>Source!G279</f>
        <v>Установка дефлекторов диаметром патрубка 280 мм</v>
      </c>
      <c r="D1280" s="50" t="str">
        <f>Source!F279</f>
        <v>20-02-012-01</v>
      </c>
      <c r="E1280" s="35" t="str">
        <f>Source!H279</f>
        <v>ШТ</v>
      </c>
      <c r="F1280" s="12">
        <f>Source!I279</f>
        <v>6</v>
      </c>
      <c r="G1280" s="25">
        <f>Source!AB279</f>
        <v>36.299999999999997</v>
      </c>
      <c r="H1280" s="25">
        <f>Source!O279</f>
        <v>1552.92</v>
      </c>
      <c r="T1280">
        <f>Source!O279+Source!X279+Source!Y279</f>
        <v>3844.57</v>
      </c>
      <c r="U1280">
        <f>Source!P279</f>
        <v>181.82</v>
      </c>
      <c r="V1280">
        <f>Source!S279</f>
        <v>1225.6500000000001</v>
      </c>
      <c r="W1280">
        <f>Source!Q279</f>
        <v>145.44999999999999</v>
      </c>
      <c r="X1280">
        <f>Source!R279</f>
        <v>6.42</v>
      </c>
      <c r="Y1280">
        <f>Source!U279</f>
        <v>20.147999999999996</v>
      </c>
      <c r="Z1280">
        <f>Source!V279</f>
        <v>7.5000000000000011E-2</v>
      </c>
      <c r="AA1280">
        <f>Source!X279</f>
        <v>1416.88</v>
      </c>
      <c r="AB1280">
        <f>Source!Y279</f>
        <v>874.77</v>
      </c>
    </row>
    <row r="1281" spans="1:28" ht="14.25" x14ac:dyDescent="0.2">
      <c r="C1281" s="26" t="s">
        <v>1831</v>
      </c>
      <c r="D1281" s="26">
        <f>Source!BA279</f>
        <v>7.13</v>
      </c>
      <c r="F1281" s="12"/>
      <c r="G1281" s="12"/>
      <c r="H1281" s="12"/>
    </row>
    <row r="1282" spans="1:28" x14ac:dyDescent="0.2">
      <c r="C1282" s="26" t="s">
        <v>1832</v>
      </c>
      <c r="D1282" s="26">
        <f>Source!BB279</f>
        <v>7.13</v>
      </c>
    </row>
    <row r="1283" spans="1:28" x14ac:dyDescent="0.2">
      <c r="C1283" s="26" t="s">
        <v>1833</v>
      </c>
      <c r="D1283" s="26">
        <f>Source!BC279</f>
        <v>7.13</v>
      </c>
    </row>
    <row r="1284" spans="1:28" x14ac:dyDescent="0.2">
      <c r="C1284" s="26" t="s">
        <v>1834</v>
      </c>
      <c r="D1284" s="26">
        <f>Source!BS279</f>
        <v>7.13</v>
      </c>
    </row>
    <row r="1285" spans="1:28" x14ac:dyDescent="0.2">
      <c r="C1285" s="26" t="s">
        <v>1841</v>
      </c>
      <c r="D1285" s="116" t="s">
        <v>81</v>
      </c>
      <c r="E1285" s="116"/>
      <c r="F1285" s="116"/>
      <c r="G1285" s="116"/>
      <c r="H1285" s="116"/>
    </row>
    <row r="1286" spans="1:28" x14ac:dyDescent="0.2">
      <c r="C1286" s="26" t="s">
        <v>1842</v>
      </c>
      <c r="D1286" s="116" t="s">
        <v>81</v>
      </c>
      <c r="E1286" s="116"/>
      <c r="F1286" s="116"/>
      <c r="G1286" s="116"/>
      <c r="H1286" s="116"/>
    </row>
    <row r="1287" spans="1:28" x14ac:dyDescent="0.2">
      <c r="C1287" s="26" t="s">
        <v>1843</v>
      </c>
      <c r="D1287" s="116" t="s">
        <v>82</v>
      </c>
      <c r="E1287" s="116"/>
      <c r="F1287" s="116"/>
      <c r="G1287" s="116"/>
      <c r="H1287" s="116"/>
    </row>
    <row r="1288" spans="1:28" x14ac:dyDescent="0.2">
      <c r="C1288" s="26" t="s">
        <v>1844</v>
      </c>
      <c r="D1288" s="116" t="s">
        <v>82</v>
      </c>
      <c r="E1288" s="116"/>
      <c r="F1288" s="116"/>
      <c r="G1288" s="116"/>
      <c r="H1288" s="116"/>
    </row>
    <row r="1289" spans="1:28" x14ac:dyDescent="0.2">
      <c r="C1289" s="26" t="s">
        <v>1845</v>
      </c>
      <c r="D1289" s="116" t="s">
        <v>81</v>
      </c>
      <c r="E1289" s="116"/>
      <c r="F1289" s="116"/>
      <c r="G1289" s="116"/>
      <c r="H1289" s="116"/>
    </row>
    <row r="1290" spans="1:28" x14ac:dyDescent="0.2">
      <c r="C1290" s="9" t="s">
        <v>1835</v>
      </c>
      <c r="D1290" s="38"/>
      <c r="E1290" s="38"/>
      <c r="F1290" s="38">
        <f>Source!BZ279</f>
        <v>128</v>
      </c>
      <c r="G1290" s="61">
        <f>(Source!AF279+Source!AE279)*Source!FX279/100</f>
        <v>33.177599999999998</v>
      </c>
      <c r="H1290" s="61">
        <f>Source!X279</f>
        <v>1416.88</v>
      </c>
    </row>
    <row r="1291" spans="1:28" x14ac:dyDescent="0.2">
      <c r="C1291" s="9" t="s">
        <v>1836</v>
      </c>
      <c r="D1291" s="38"/>
      <c r="E1291" s="38"/>
      <c r="F1291" s="38"/>
      <c r="G1291" s="38" t="str">
        <f>CONCATENATE(Source!DL279,Source!FT279, "=", Source!FX279, "%")</f>
        <v>*0,9=115,2%</v>
      </c>
      <c r="H1291" s="38" t="str">
        <f>CONCATENATE(Source!AT279)</f>
        <v>115</v>
      </c>
    </row>
    <row r="1292" spans="1:28" x14ac:dyDescent="0.2">
      <c r="C1292" s="9" t="s">
        <v>1837</v>
      </c>
      <c r="D1292" s="38"/>
      <c r="E1292" s="38"/>
      <c r="F1292" s="38">
        <f>Source!CA279</f>
        <v>83</v>
      </c>
      <c r="G1292" s="61">
        <f>(Source!AF279+Source!AE279)*Source!FY279/100</f>
        <v>20.318399999999997</v>
      </c>
      <c r="H1292" s="61">
        <f>Source!Y279</f>
        <v>874.77</v>
      </c>
    </row>
    <row r="1293" spans="1:28" x14ac:dyDescent="0.2">
      <c r="C1293" s="9" t="s">
        <v>1838</v>
      </c>
      <c r="D1293" s="38"/>
      <c r="E1293" s="38"/>
      <c r="F1293" s="38"/>
      <c r="G1293" s="38" t="str">
        <f>CONCATENATE(Source!DM279,Source!FU279, "=", Source!FY279, "%")</f>
        <v>*0,85=70,55%</v>
      </c>
      <c r="H1293" s="38" t="str">
        <f>CONCATENATE(Source!AU279)</f>
        <v>71</v>
      </c>
    </row>
    <row r="1294" spans="1:28" x14ac:dyDescent="0.2">
      <c r="C1294" s="9" t="s">
        <v>1839</v>
      </c>
      <c r="D1294" s="38"/>
      <c r="E1294" s="38"/>
      <c r="F1294" s="38"/>
      <c r="G1294" s="61">
        <f>((Source!AF279+Source!AE279)*Source!FX279/100)+((Source!AF279+Source!AE279)*Source!FY279/100)+Source!AB279</f>
        <v>89.795999999999992</v>
      </c>
      <c r="H1294" s="61">
        <f>Source!O279+Source!X279+Source!Y279</f>
        <v>3844.57</v>
      </c>
    </row>
    <row r="1295" spans="1:28" ht="71.25" x14ac:dyDescent="0.2">
      <c r="A1295" s="50">
        <v>179</v>
      </c>
      <c r="B1295" s="50" t="str">
        <f>Source!E280</f>
        <v>90,1</v>
      </c>
      <c r="C1295" s="50" t="str">
        <f>Source!G280</f>
        <v>Дефлекторы вытяжные цилиндрические из листовой грунтованной или оцинкованной стали, серия 5.904-51, диаметр патрубка 125 мм</v>
      </c>
      <c r="D1295" s="50" t="str">
        <f>Source!F280</f>
        <v>19.1.04.01-0002</v>
      </c>
      <c r="E1295" s="35" t="str">
        <f>Source!H280</f>
        <v>шт.</v>
      </c>
      <c r="F1295" s="12">
        <f>Source!I280</f>
        <v>6</v>
      </c>
      <c r="G1295" s="25">
        <f>Source!AB280</f>
        <v>418.3</v>
      </c>
      <c r="H1295" s="25">
        <f>Source!O280</f>
        <v>17894.87</v>
      </c>
      <c r="T1295">
        <f>Source!O280+Source!X280+Source!Y280</f>
        <v>17894.87</v>
      </c>
      <c r="U1295">
        <f>Source!P280</f>
        <v>17894.87</v>
      </c>
      <c r="V1295">
        <f>Source!S280</f>
        <v>0</v>
      </c>
      <c r="W1295">
        <f>Source!Q280</f>
        <v>0</v>
      </c>
      <c r="X1295">
        <f>Source!R280</f>
        <v>0</v>
      </c>
      <c r="Y1295">
        <f>Source!U280</f>
        <v>0</v>
      </c>
      <c r="Z1295">
        <f>Source!V280</f>
        <v>0</v>
      </c>
      <c r="AA1295">
        <f>Source!X280</f>
        <v>0</v>
      </c>
      <c r="AB1295">
        <f>Source!Y280</f>
        <v>0</v>
      </c>
    </row>
    <row r="1296" spans="1:28" ht="14.25" x14ac:dyDescent="0.2">
      <c r="C1296" s="26" t="s">
        <v>1833</v>
      </c>
      <c r="D1296" s="26">
        <f>Source!BC280</f>
        <v>7.13</v>
      </c>
      <c r="F1296" s="12"/>
      <c r="G1296" s="12"/>
      <c r="H1296" s="12"/>
    </row>
    <row r="1297" spans="1:28" ht="28.5" x14ac:dyDescent="0.2">
      <c r="A1297" s="50">
        <v>180</v>
      </c>
      <c r="B1297" s="50" t="str">
        <f>Source!E281</f>
        <v>91</v>
      </c>
      <c r="C1297" s="50" t="str">
        <f>Source!G281</f>
        <v>Установка вентиляторов осевых массой до 0,1 т</v>
      </c>
      <c r="D1297" s="50" t="str">
        <f>Source!F281</f>
        <v>20-03-002-03</v>
      </c>
      <c r="E1297" s="35" t="str">
        <f>Source!H281</f>
        <v>ШТ</v>
      </c>
      <c r="F1297" s="12">
        <f>Source!I281</f>
        <v>2</v>
      </c>
      <c r="G1297" s="25">
        <f>Source!AB281</f>
        <v>143.76</v>
      </c>
      <c r="H1297" s="25">
        <f>Source!O281</f>
        <v>2050.02</v>
      </c>
      <c r="T1297">
        <f>Source!O281+Source!X281+Source!Y281</f>
        <v>5167.09</v>
      </c>
      <c r="U1297">
        <f>Source!P281</f>
        <v>43.35</v>
      </c>
      <c r="V1297">
        <f>Source!S281</f>
        <v>1635.91</v>
      </c>
      <c r="W1297">
        <f>Source!Q281</f>
        <v>370.76</v>
      </c>
      <c r="X1297">
        <f>Source!R281</f>
        <v>39.93</v>
      </c>
      <c r="Y1297">
        <f>Source!U281</f>
        <v>23.850999999999996</v>
      </c>
      <c r="Z1297">
        <f>Source!V281</f>
        <v>0.47499999999999998</v>
      </c>
      <c r="AA1297">
        <f>Source!X281</f>
        <v>1927.22</v>
      </c>
      <c r="AB1297">
        <f>Source!Y281</f>
        <v>1189.8499999999999</v>
      </c>
    </row>
    <row r="1298" spans="1:28" ht="14.25" x14ac:dyDescent="0.2">
      <c r="C1298" s="26" t="s">
        <v>1831</v>
      </c>
      <c r="D1298" s="26">
        <f>Source!BA281</f>
        <v>7.13</v>
      </c>
      <c r="F1298" s="12"/>
      <c r="G1298" s="12"/>
      <c r="H1298" s="12"/>
    </row>
    <row r="1299" spans="1:28" x14ac:dyDescent="0.2">
      <c r="C1299" s="26" t="s">
        <v>1832</v>
      </c>
      <c r="D1299" s="26">
        <f>Source!BB281</f>
        <v>7.13</v>
      </c>
    </row>
    <row r="1300" spans="1:28" x14ac:dyDescent="0.2">
      <c r="C1300" s="26" t="s">
        <v>1833</v>
      </c>
      <c r="D1300" s="26">
        <f>Source!BC281</f>
        <v>7.13</v>
      </c>
    </row>
    <row r="1301" spans="1:28" x14ac:dyDescent="0.2">
      <c r="C1301" s="26" t="s">
        <v>1834</v>
      </c>
      <c r="D1301" s="26">
        <f>Source!BS281</f>
        <v>7.13</v>
      </c>
    </row>
    <row r="1302" spans="1:28" x14ac:dyDescent="0.2">
      <c r="C1302" s="26" t="s">
        <v>1841</v>
      </c>
      <c r="D1302" s="116" t="s">
        <v>81</v>
      </c>
      <c r="E1302" s="116"/>
      <c r="F1302" s="116"/>
      <c r="G1302" s="116"/>
      <c r="H1302" s="116"/>
    </row>
    <row r="1303" spans="1:28" x14ac:dyDescent="0.2">
      <c r="C1303" s="26" t="s">
        <v>1842</v>
      </c>
      <c r="D1303" s="116" t="s">
        <v>81</v>
      </c>
      <c r="E1303" s="116"/>
      <c r="F1303" s="116"/>
      <c r="G1303" s="116"/>
      <c r="H1303" s="116"/>
    </row>
    <row r="1304" spans="1:28" x14ac:dyDescent="0.2">
      <c r="C1304" s="26" t="s">
        <v>1843</v>
      </c>
      <c r="D1304" s="116" t="s">
        <v>82</v>
      </c>
      <c r="E1304" s="116"/>
      <c r="F1304" s="116"/>
      <c r="G1304" s="116"/>
      <c r="H1304" s="116"/>
    </row>
    <row r="1305" spans="1:28" x14ac:dyDescent="0.2">
      <c r="C1305" s="26" t="s">
        <v>1844</v>
      </c>
      <c r="D1305" s="116" t="s">
        <v>82</v>
      </c>
      <c r="E1305" s="116"/>
      <c r="F1305" s="116"/>
      <c r="G1305" s="116"/>
      <c r="H1305" s="116"/>
    </row>
    <row r="1306" spans="1:28" x14ac:dyDescent="0.2">
      <c r="C1306" s="26" t="s">
        <v>1845</v>
      </c>
      <c r="D1306" s="116" t="s">
        <v>81</v>
      </c>
      <c r="E1306" s="116"/>
      <c r="F1306" s="116"/>
      <c r="G1306" s="116"/>
      <c r="H1306" s="116"/>
    </row>
    <row r="1307" spans="1:28" x14ac:dyDescent="0.2">
      <c r="C1307" s="9" t="s">
        <v>1835</v>
      </c>
      <c r="D1307" s="38"/>
      <c r="E1307" s="38"/>
      <c r="F1307" s="38">
        <f>Source!BZ281</f>
        <v>128</v>
      </c>
      <c r="G1307" s="61">
        <f>(Source!AF281+Source!AE281)*Source!FX281/100</f>
        <v>135.38303999999999</v>
      </c>
      <c r="H1307" s="61">
        <f>Source!X281</f>
        <v>1927.22</v>
      </c>
    </row>
    <row r="1308" spans="1:28" x14ac:dyDescent="0.2">
      <c r="C1308" s="9" t="s">
        <v>1836</v>
      </c>
      <c r="D1308" s="38"/>
      <c r="E1308" s="38"/>
      <c r="F1308" s="38"/>
      <c r="G1308" s="38" t="str">
        <f>CONCATENATE(Source!DL281,Source!FT281, "=", Source!FX281, "%")</f>
        <v>*0,9=115,2%</v>
      </c>
      <c r="H1308" s="38" t="str">
        <f>CONCATENATE(Source!AT281)</f>
        <v>115</v>
      </c>
    </row>
    <row r="1309" spans="1:28" x14ac:dyDescent="0.2">
      <c r="C1309" s="9" t="s">
        <v>1837</v>
      </c>
      <c r="D1309" s="38"/>
      <c r="E1309" s="38"/>
      <c r="F1309" s="38">
        <f>Source!CA281</f>
        <v>83</v>
      </c>
      <c r="G1309" s="61">
        <f>(Source!AF281+Source!AE281)*Source!FY281/100</f>
        <v>82.910359999999997</v>
      </c>
      <c r="H1309" s="61">
        <f>Source!Y281</f>
        <v>1189.8499999999999</v>
      </c>
    </row>
    <row r="1310" spans="1:28" x14ac:dyDescent="0.2">
      <c r="C1310" s="9" t="s">
        <v>1838</v>
      </c>
      <c r="D1310" s="38"/>
      <c r="E1310" s="38"/>
      <c r="F1310" s="38"/>
      <c r="G1310" s="38" t="str">
        <f>CONCATENATE(Source!DM281,Source!FU281, "=", Source!FY281, "%")</f>
        <v>*0,85=70,55%</v>
      </c>
      <c r="H1310" s="38" t="str">
        <f>CONCATENATE(Source!AU281)</f>
        <v>71</v>
      </c>
    </row>
    <row r="1311" spans="1:28" x14ac:dyDescent="0.2">
      <c r="C1311" s="9" t="s">
        <v>1839</v>
      </c>
      <c r="D1311" s="38"/>
      <c r="E1311" s="38"/>
      <c r="F1311" s="38"/>
      <c r="G1311" s="61">
        <f>((Source!AF281+Source!AE281)*Source!FX281/100)+((Source!AF281+Source!AE281)*Source!FY281/100)+Source!AB281</f>
        <v>362.05340000000001</v>
      </c>
      <c r="H1311" s="61">
        <f>Source!O281+Source!X281+Source!Y281</f>
        <v>5167.09</v>
      </c>
    </row>
    <row r="1312" spans="1:28" ht="57" x14ac:dyDescent="0.2">
      <c r="A1312" s="50">
        <v>181</v>
      </c>
      <c r="B1312" s="50" t="str">
        <f>Source!E282</f>
        <v>91,1</v>
      </c>
      <c r="C1312" s="50" t="str">
        <f>Source!G282</f>
        <v>Вентиляторы канальные "Systemair" для круглых воздуховодов KV 125 XL, с консолью М125 и двумя муфтами F125, производительность 352 м3/час</v>
      </c>
      <c r="D1312" s="50" t="str">
        <f>Source!F282</f>
        <v>64.1.02.01-0011</v>
      </c>
      <c r="E1312" s="35" t="str">
        <f>Source!H282</f>
        <v>компл.</v>
      </c>
      <c r="F1312" s="12">
        <f>Source!I282</f>
        <v>2</v>
      </c>
      <c r="G1312" s="25">
        <f>Source!AB282</f>
        <v>1514.57</v>
      </c>
      <c r="H1312" s="25">
        <f>Source!O282</f>
        <v>21597.77</v>
      </c>
      <c r="T1312">
        <f>Source!O282+Source!X282+Source!Y282</f>
        <v>21597.77</v>
      </c>
      <c r="U1312">
        <f>Source!P282</f>
        <v>21597.77</v>
      </c>
      <c r="V1312">
        <f>Source!S282</f>
        <v>0</v>
      </c>
      <c r="W1312">
        <f>Source!Q282</f>
        <v>0</v>
      </c>
      <c r="X1312">
        <f>Source!R282</f>
        <v>0</v>
      </c>
      <c r="Y1312">
        <f>Source!U282</f>
        <v>0</v>
      </c>
      <c r="Z1312">
        <f>Source!V282</f>
        <v>0</v>
      </c>
      <c r="AA1312">
        <f>Source!X282</f>
        <v>0</v>
      </c>
      <c r="AB1312">
        <f>Source!Y282</f>
        <v>0</v>
      </c>
    </row>
    <row r="1313" spans="1:28" ht="14.25" x14ac:dyDescent="0.2">
      <c r="C1313" s="26" t="s">
        <v>1833</v>
      </c>
      <c r="D1313" s="26">
        <f>Source!BC282</f>
        <v>7.13</v>
      </c>
      <c r="F1313" s="12"/>
      <c r="G1313" s="12"/>
      <c r="H1313" s="12"/>
    </row>
    <row r="1314" spans="1:28" ht="28.5" x14ac:dyDescent="0.2">
      <c r="A1314" s="50">
        <v>182</v>
      </c>
      <c r="B1314" s="50" t="str">
        <f>Source!E283</f>
        <v>92</v>
      </c>
      <c r="C1314" s="50" t="str">
        <f>Source!G283</f>
        <v>Реле времени программное, ТЭ -15</v>
      </c>
      <c r="D1314" s="50" t="str">
        <f>Source!F283</f>
        <v>м10-08-019-04</v>
      </c>
      <c r="E1314" s="35" t="str">
        <f>Source!H283</f>
        <v>ШТ</v>
      </c>
      <c r="F1314" s="12">
        <f>Source!I283</f>
        <v>2</v>
      </c>
      <c r="G1314" s="25">
        <f>Source!AB283</f>
        <v>6.65</v>
      </c>
      <c r="H1314" s="25">
        <f>Source!O283</f>
        <v>94.83</v>
      </c>
      <c r="T1314">
        <f>Source!O283+Source!X283+Source!Y283</f>
        <v>207.43</v>
      </c>
      <c r="U1314">
        <f>Source!P283</f>
        <v>14.4</v>
      </c>
      <c r="V1314">
        <f>Source!S283</f>
        <v>80.430000000000007</v>
      </c>
      <c r="W1314">
        <f>Source!Q283</f>
        <v>0</v>
      </c>
      <c r="X1314">
        <f>Source!R283</f>
        <v>0</v>
      </c>
      <c r="Y1314">
        <f>Source!U283</f>
        <v>1.2</v>
      </c>
      <c r="Z1314">
        <f>Source!V283</f>
        <v>0</v>
      </c>
      <c r="AA1314">
        <f>Source!X283</f>
        <v>64.34</v>
      </c>
      <c r="AB1314">
        <f>Source!Y283</f>
        <v>48.26</v>
      </c>
    </row>
    <row r="1315" spans="1:28" ht="14.25" x14ac:dyDescent="0.2">
      <c r="C1315" s="26" t="s">
        <v>1831</v>
      </c>
      <c r="D1315" s="26">
        <f>Source!BA283</f>
        <v>7.13</v>
      </c>
      <c r="F1315" s="12"/>
      <c r="G1315" s="12"/>
      <c r="H1315" s="12"/>
    </row>
    <row r="1316" spans="1:28" x14ac:dyDescent="0.2">
      <c r="C1316" s="26" t="s">
        <v>1832</v>
      </c>
      <c r="D1316" s="26">
        <f>Source!BB283</f>
        <v>7.13</v>
      </c>
    </row>
    <row r="1317" spans="1:28" x14ac:dyDescent="0.2">
      <c r="C1317" s="26" t="s">
        <v>1833</v>
      </c>
      <c r="D1317" s="26">
        <f>Source!BC283</f>
        <v>7.13</v>
      </c>
    </row>
    <row r="1318" spans="1:28" x14ac:dyDescent="0.2">
      <c r="C1318" s="26" t="s">
        <v>1834</v>
      </c>
      <c r="D1318" s="26">
        <f>Source!BS283</f>
        <v>7.13</v>
      </c>
    </row>
    <row r="1319" spans="1:28" x14ac:dyDescent="0.2">
      <c r="C1319" s="9" t="s">
        <v>1835</v>
      </c>
      <c r="D1319" s="38"/>
      <c r="E1319" s="38"/>
      <c r="F1319" s="38">
        <f>Source!BZ283</f>
        <v>80</v>
      </c>
      <c r="G1319" s="61">
        <f>(Source!AF283+Source!AE283)*Source!FX283/100</f>
        <v>4.5119999999999996</v>
      </c>
      <c r="H1319" s="61">
        <f>Source!X283</f>
        <v>64.34</v>
      </c>
    </row>
    <row r="1320" spans="1:28" x14ac:dyDescent="0.2">
      <c r="C1320" s="9" t="s">
        <v>1837</v>
      </c>
      <c r="D1320" s="38"/>
      <c r="E1320" s="38"/>
      <c r="F1320" s="38">
        <f>Source!CA283</f>
        <v>60</v>
      </c>
      <c r="G1320" s="61">
        <f>(Source!AF283+Source!AE283)*Source!FY283/100</f>
        <v>3.3839999999999999</v>
      </c>
      <c r="H1320" s="61">
        <f>Source!Y283</f>
        <v>48.26</v>
      </c>
    </row>
    <row r="1321" spans="1:28" x14ac:dyDescent="0.2">
      <c r="C1321" s="9" t="s">
        <v>1839</v>
      </c>
      <c r="D1321" s="38"/>
      <c r="E1321" s="38"/>
      <c r="F1321" s="38"/>
      <c r="G1321" s="61">
        <f>((Source!AF283+Source!AE283)*Source!FX283/100)+((Source!AF283+Source!AE283)*Source!FY283/100)+Source!AB283</f>
        <v>14.545999999999999</v>
      </c>
      <c r="H1321" s="61">
        <f>Source!O283+Source!X283+Source!Y283</f>
        <v>207.43</v>
      </c>
    </row>
    <row r="1322" spans="1:28" ht="28.5" x14ac:dyDescent="0.2">
      <c r="A1322" s="50">
        <v>183</v>
      </c>
      <c r="B1322" s="50" t="str">
        <f>Source!E284</f>
        <v>92,1</v>
      </c>
      <c r="C1322" s="50" t="str">
        <f>Source!G284</f>
        <v>Реле времени ВЛ-56</v>
      </c>
      <c r="D1322" s="50" t="str">
        <f>Source!F284</f>
        <v>62.1.04.02-0003</v>
      </c>
      <c r="E1322" s="35" t="str">
        <f>Source!H284</f>
        <v>шт.</v>
      </c>
      <c r="F1322" s="12">
        <f>Source!I284</f>
        <v>2</v>
      </c>
      <c r="G1322" s="25">
        <f>Source!AB284</f>
        <v>362.89</v>
      </c>
      <c r="H1322" s="25">
        <f>Source!O284</f>
        <v>5174.8100000000004</v>
      </c>
      <c r="T1322">
        <f>Source!O284+Source!X284+Source!Y284</f>
        <v>5174.8100000000004</v>
      </c>
      <c r="U1322">
        <f>Source!P284</f>
        <v>5174.8100000000004</v>
      </c>
      <c r="V1322">
        <f>Source!S284</f>
        <v>0</v>
      </c>
      <c r="W1322">
        <f>Source!Q284</f>
        <v>0</v>
      </c>
      <c r="X1322">
        <f>Source!R284</f>
        <v>0</v>
      </c>
      <c r="Y1322">
        <f>Source!U284</f>
        <v>0</v>
      </c>
      <c r="Z1322">
        <f>Source!V284</f>
        <v>0</v>
      </c>
      <c r="AA1322">
        <f>Source!X284</f>
        <v>0</v>
      </c>
      <c r="AB1322">
        <f>Source!Y284</f>
        <v>0</v>
      </c>
    </row>
    <row r="1323" spans="1:28" ht="14.25" x14ac:dyDescent="0.2">
      <c r="C1323" s="26" t="s">
        <v>1833</v>
      </c>
      <c r="D1323" s="26">
        <f>Source!BC284</f>
        <v>7.13</v>
      </c>
      <c r="F1323" s="12"/>
      <c r="G1323" s="12"/>
      <c r="H1323" s="12"/>
    </row>
    <row r="1325" spans="1:28" ht="15" x14ac:dyDescent="0.25">
      <c r="A1325" s="62"/>
      <c r="B1325" s="62"/>
      <c r="C1325" s="91" t="str">
        <f>CONCATENATE("Итого по разделу: ",IF(Source!G286&lt;&gt;"Новый раздел", Source!G286, ""))</f>
        <v>Итого по разделу: Отопление и вентиляция</v>
      </c>
      <c r="D1325" s="91"/>
      <c r="E1325" s="91"/>
      <c r="F1325" s="91"/>
      <c r="G1325" s="62"/>
      <c r="H1325" s="63">
        <f>IF(SUM(T1079:T1324)=0, "-", SUM(T1079:T1324))</f>
        <v>426330.76999999996</v>
      </c>
    </row>
    <row r="1326" spans="1:28" ht="15" x14ac:dyDescent="0.25">
      <c r="A1326" s="62"/>
      <c r="B1326" s="62"/>
      <c r="C1326" s="62"/>
      <c r="D1326" s="62"/>
      <c r="E1326" s="62"/>
      <c r="F1326" s="62"/>
      <c r="G1326" s="62"/>
      <c r="H1326" s="62"/>
    </row>
    <row r="1328" spans="1:28" ht="14.25" x14ac:dyDescent="0.2">
      <c r="C1328" s="117" t="str">
        <f>Source!H314</f>
        <v>Всего</v>
      </c>
      <c r="D1328" s="117"/>
      <c r="E1328" s="117"/>
      <c r="F1328" s="117"/>
      <c r="G1328" s="83">
        <f>IF(Source!F314=0, "", Source!F314)</f>
        <v>426330.77</v>
      </c>
      <c r="H1328" s="83"/>
    </row>
    <row r="1329" spans="1:28" ht="14.25" x14ac:dyDescent="0.2">
      <c r="C1329" s="117" t="str">
        <f>Source!H315</f>
        <v>Итого НДС 18%</v>
      </c>
      <c r="D1329" s="117"/>
      <c r="E1329" s="117"/>
      <c r="F1329" s="117"/>
      <c r="G1329" s="83">
        <f>IF(Source!F315=0, "", Source!F315)</f>
        <v>76739.539999999994</v>
      </c>
      <c r="H1329" s="83"/>
    </row>
    <row r="1330" spans="1:28" ht="14.25" x14ac:dyDescent="0.2">
      <c r="C1330" s="117" t="str">
        <f>Source!H316</f>
        <v>Всего по смете</v>
      </c>
      <c r="D1330" s="117"/>
      <c r="E1330" s="117"/>
      <c r="F1330" s="117"/>
      <c r="G1330" s="83">
        <f>IF(Source!F316=0, "", Source!F316)</f>
        <v>503070.31</v>
      </c>
      <c r="H1330" s="83"/>
    </row>
    <row r="1332" spans="1:28" ht="16.5" x14ac:dyDescent="0.25">
      <c r="A1332" s="89" t="str">
        <f>CONCATENATE("Раздел: ",IF(Source!G318&lt;&gt;"Новый раздел", Source!G318, ""))</f>
        <v>Раздел: Внутренняя система канализации</v>
      </c>
      <c r="B1332" s="89"/>
      <c r="C1332" s="89"/>
      <c r="D1332" s="89"/>
      <c r="E1332" s="89"/>
      <c r="F1332" s="89"/>
      <c r="G1332" s="89"/>
      <c r="H1332" s="89"/>
    </row>
    <row r="1333" spans="1:28" ht="42.75" x14ac:dyDescent="0.2">
      <c r="A1333" s="50">
        <v>184</v>
      </c>
      <c r="B1333" s="50" t="str">
        <f>Source!E322</f>
        <v>93</v>
      </c>
      <c r="C1333" s="50" t="str">
        <f>Source!G322</f>
        <v>Разборка трубопроводов из чугунных канализационных труб диаметром 50 мм</v>
      </c>
      <c r="D1333" s="50" t="str">
        <f>Source!F322</f>
        <v>65-2-1</v>
      </c>
      <c r="E1333" s="35" t="str">
        <f>Source!H322</f>
        <v>100 м</v>
      </c>
      <c r="F1333" s="12">
        <f>Source!I322</f>
        <v>0.222</v>
      </c>
      <c r="G1333" s="25">
        <f>Source!AB322</f>
        <v>587.04999999999995</v>
      </c>
      <c r="H1333" s="25">
        <f>Source!O322</f>
        <v>929.21</v>
      </c>
      <c r="T1333">
        <f>Source!O322+Source!X322+Source!Y322</f>
        <v>2075.86</v>
      </c>
      <c r="U1333">
        <f>Source!P322</f>
        <v>0</v>
      </c>
      <c r="V1333">
        <f>Source!S322</f>
        <v>921.3</v>
      </c>
      <c r="W1333">
        <f>Source!Q322</f>
        <v>7.91</v>
      </c>
      <c r="X1333">
        <f>Source!R322</f>
        <v>3.42</v>
      </c>
      <c r="Y1333">
        <f>Source!U322</f>
        <v>15.2736</v>
      </c>
      <c r="Z1333">
        <f>Source!V322</f>
        <v>3.5520000000000003E-2</v>
      </c>
      <c r="AA1333">
        <f>Source!X322</f>
        <v>684.29</v>
      </c>
      <c r="AB1333">
        <f>Source!Y322</f>
        <v>462.36</v>
      </c>
    </row>
    <row r="1334" spans="1:28" ht="14.25" x14ac:dyDescent="0.2">
      <c r="C1334" s="26" t="str">
        <f>"Объем: "&amp;Source!I322&amp;"=22,2/"&amp;"100"</f>
        <v>Объем: 0,222=22,2/100</v>
      </c>
      <c r="F1334" s="12"/>
      <c r="G1334" s="12"/>
      <c r="H1334" s="12"/>
    </row>
    <row r="1335" spans="1:28" x14ac:dyDescent="0.2">
      <c r="C1335" s="26" t="s">
        <v>1831</v>
      </c>
      <c r="D1335" s="26">
        <f>Source!BA322</f>
        <v>7.13</v>
      </c>
    </row>
    <row r="1336" spans="1:28" x14ac:dyDescent="0.2">
      <c r="C1336" s="26" t="s">
        <v>1832</v>
      </c>
      <c r="D1336" s="26">
        <f>Source!BB322</f>
        <v>7.13</v>
      </c>
    </row>
    <row r="1337" spans="1:28" x14ac:dyDescent="0.2">
      <c r="C1337" s="26" t="s">
        <v>1833</v>
      </c>
      <c r="D1337" s="26">
        <f>Source!BC322</f>
        <v>7.13</v>
      </c>
    </row>
    <row r="1338" spans="1:28" x14ac:dyDescent="0.2">
      <c r="C1338" s="26" t="s">
        <v>1834</v>
      </c>
      <c r="D1338" s="26">
        <f>Source!BS322</f>
        <v>7.13</v>
      </c>
    </row>
    <row r="1339" spans="1:28" x14ac:dyDescent="0.2">
      <c r="C1339" s="9" t="s">
        <v>1835</v>
      </c>
      <c r="D1339" s="38"/>
      <c r="E1339" s="38"/>
      <c r="F1339" s="38">
        <f>Source!BZ322</f>
        <v>74</v>
      </c>
      <c r="G1339" s="61">
        <f>(Source!AF322+Source!AE322)*Source!FX322/100</f>
        <v>432.31539999999995</v>
      </c>
      <c r="H1339" s="61">
        <f>Source!X322</f>
        <v>684.29</v>
      </c>
    </row>
    <row r="1340" spans="1:28" x14ac:dyDescent="0.2">
      <c r="C1340" s="9" t="s">
        <v>1837</v>
      </c>
      <c r="D1340" s="38"/>
      <c r="E1340" s="38"/>
      <c r="F1340" s="38">
        <f>Source!CA322</f>
        <v>50</v>
      </c>
      <c r="G1340" s="61">
        <f>(Source!AF322+Source!AE322)*Source!FY322/100</f>
        <v>292.10499999999996</v>
      </c>
      <c r="H1340" s="61">
        <f>Source!Y322</f>
        <v>462.36</v>
      </c>
    </row>
    <row r="1341" spans="1:28" x14ac:dyDescent="0.2">
      <c r="C1341" s="9" t="s">
        <v>1839</v>
      </c>
      <c r="D1341" s="38"/>
      <c r="E1341" s="38"/>
      <c r="F1341" s="38"/>
      <c r="G1341" s="61">
        <f>((Source!AF322+Source!AE322)*Source!FX322/100)+((Source!AF322+Source!AE322)*Source!FY322/100)+Source!AB322</f>
        <v>1311.4703999999999</v>
      </c>
      <c r="H1341" s="61">
        <f>Source!O322+Source!X322+Source!Y322</f>
        <v>2075.86</v>
      </c>
    </row>
    <row r="1342" spans="1:28" ht="42.75" x14ac:dyDescent="0.2">
      <c r="A1342" s="50">
        <v>185</v>
      </c>
      <c r="B1342" s="50" t="str">
        <f>Source!E323</f>
        <v>94</v>
      </c>
      <c r="C1342" s="50" t="str">
        <f>Source!G323</f>
        <v>Разборка трубопроводов из чугунных канализационных труб диаметром 100 мм</v>
      </c>
      <c r="D1342" s="50" t="str">
        <f>Source!F323</f>
        <v>65-2-2</v>
      </c>
      <c r="E1342" s="35" t="str">
        <f>Source!H323</f>
        <v>100 м</v>
      </c>
      <c r="F1342" s="12">
        <f>Source!I323</f>
        <v>9.7000000000000003E-2</v>
      </c>
      <c r="G1342" s="25">
        <f>Source!AB323</f>
        <v>731.64</v>
      </c>
      <c r="H1342" s="25">
        <f>Source!O323</f>
        <v>506.01</v>
      </c>
      <c r="T1342">
        <f>Source!O323+Source!X323+Source!Y323</f>
        <v>1128.5899999999999</v>
      </c>
      <c r="U1342">
        <f>Source!P323</f>
        <v>0</v>
      </c>
      <c r="V1342">
        <f>Source!S323</f>
        <v>499.09</v>
      </c>
      <c r="W1342">
        <f>Source!Q323</f>
        <v>6.92</v>
      </c>
      <c r="X1342">
        <f>Source!R323</f>
        <v>2.99</v>
      </c>
      <c r="Y1342">
        <f>Source!U323</f>
        <v>8.2741000000000007</v>
      </c>
      <c r="Z1342">
        <f>Source!V323</f>
        <v>3.1040000000000002E-2</v>
      </c>
      <c r="AA1342">
        <f>Source!X323</f>
        <v>371.54</v>
      </c>
      <c r="AB1342">
        <f>Source!Y323</f>
        <v>251.04</v>
      </c>
    </row>
    <row r="1343" spans="1:28" ht="14.25" x14ac:dyDescent="0.2">
      <c r="C1343" s="26" t="str">
        <f>"Объем: "&amp;Source!I323&amp;"=9,7/"&amp;"100"</f>
        <v>Объем: 0,097=9,7/100</v>
      </c>
      <c r="F1343" s="12"/>
      <c r="G1343" s="12"/>
      <c r="H1343" s="12"/>
    </row>
    <row r="1344" spans="1:28" x14ac:dyDescent="0.2">
      <c r="C1344" s="26" t="s">
        <v>1831</v>
      </c>
      <c r="D1344" s="26">
        <f>Source!BA323</f>
        <v>7.13</v>
      </c>
    </row>
    <row r="1345" spans="1:28" x14ac:dyDescent="0.2">
      <c r="C1345" s="26" t="s">
        <v>1832</v>
      </c>
      <c r="D1345" s="26">
        <f>Source!BB323</f>
        <v>7.13</v>
      </c>
    </row>
    <row r="1346" spans="1:28" x14ac:dyDescent="0.2">
      <c r="C1346" s="26" t="s">
        <v>1833</v>
      </c>
      <c r="D1346" s="26">
        <f>Source!BC323</f>
        <v>7.13</v>
      </c>
    </row>
    <row r="1347" spans="1:28" x14ac:dyDescent="0.2">
      <c r="C1347" s="26" t="s">
        <v>1834</v>
      </c>
      <c r="D1347" s="26">
        <f>Source!BS323</f>
        <v>7.13</v>
      </c>
    </row>
    <row r="1348" spans="1:28" x14ac:dyDescent="0.2">
      <c r="C1348" s="9" t="s">
        <v>1835</v>
      </c>
      <c r="D1348" s="38"/>
      <c r="E1348" s="38"/>
      <c r="F1348" s="38">
        <f>Source!BZ323</f>
        <v>74</v>
      </c>
      <c r="G1348" s="61">
        <f>(Source!AF323+Source!AE323)*Source!FX323/100</f>
        <v>537.21040000000005</v>
      </c>
      <c r="H1348" s="61">
        <f>Source!X323</f>
        <v>371.54</v>
      </c>
    </row>
    <row r="1349" spans="1:28" x14ac:dyDescent="0.2">
      <c r="C1349" s="9" t="s">
        <v>1837</v>
      </c>
      <c r="D1349" s="38"/>
      <c r="E1349" s="38"/>
      <c r="F1349" s="38">
        <f>Source!CA323</f>
        <v>50</v>
      </c>
      <c r="G1349" s="61">
        <f>(Source!AF323+Source!AE323)*Source!FY323/100</f>
        <v>362.98</v>
      </c>
      <c r="H1349" s="61">
        <f>Source!Y323</f>
        <v>251.04</v>
      </c>
    </row>
    <row r="1350" spans="1:28" x14ac:dyDescent="0.2">
      <c r="C1350" s="9" t="s">
        <v>1839</v>
      </c>
      <c r="D1350" s="38"/>
      <c r="E1350" s="38"/>
      <c r="F1350" s="38"/>
      <c r="G1350" s="61">
        <f>((Source!AF323+Source!AE323)*Source!FX323/100)+((Source!AF323+Source!AE323)*Source!FY323/100)+Source!AB323</f>
        <v>1631.8304000000001</v>
      </c>
      <c r="H1350" s="61">
        <f>Source!O323+Source!X323+Source!Y323</f>
        <v>1128.5899999999999</v>
      </c>
    </row>
    <row r="1351" spans="1:28" ht="14.25" x14ac:dyDescent="0.2">
      <c r="A1351" s="50">
        <v>186</v>
      </c>
      <c r="B1351" s="50" t="str">
        <f>Source!E324</f>
        <v>95</v>
      </c>
      <c r="C1351" s="50" t="str">
        <f>Source!G324</f>
        <v>Смена трапов диаметром до 50 мм</v>
      </c>
      <c r="D1351" s="50" t="str">
        <f>Source!F324</f>
        <v>65-6-1</v>
      </c>
      <c r="E1351" s="35" t="str">
        <f>Source!H324</f>
        <v>100 ШТ</v>
      </c>
      <c r="F1351" s="12">
        <f>Source!I324</f>
        <v>0.01</v>
      </c>
      <c r="G1351" s="25">
        <f>Source!AB324</f>
        <v>1164.9100000000001</v>
      </c>
      <c r="H1351" s="25">
        <f>Source!O324</f>
        <v>83.05</v>
      </c>
      <c r="T1351">
        <f>Source!O324+Source!X324+Source!Y324</f>
        <v>185.2</v>
      </c>
      <c r="U1351">
        <f>Source!P324</f>
        <v>18.690000000000001</v>
      </c>
      <c r="V1351">
        <f>Source!S324</f>
        <v>62.08</v>
      </c>
      <c r="W1351">
        <f>Source!Q324</f>
        <v>2.2799999999999998</v>
      </c>
      <c r="X1351">
        <f>Source!R324</f>
        <v>0.59</v>
      </c>
      <c r="Y1351">
        <f>Source!U324</f>
        <v>0.96</v>
      </c>
      <c r="Z1351">
        <f>Source!V324</f>
        <v>6.6000000000000008E-3</v>
      </c>
      <c r="AA1351">
        <f>Source!X324</f>
        <v>64.55</v>
      </c>
      <c r="AB1351">
        <f>Source!Y324</f>
        <v>37.6</v>
      </c>
    </row>
    <row r="1352" spans="1:28" ht="14.25" x14ac:dyDescent="0.2">
      <c r="C1352" s="26" t="s">
        <v>1831</v>
      </c>
      <c r="D1352" s="26">
        <f>Source!BA324</f>
        <v>7.13</v>
      </c>
      <c r="F1352" s="12"/>
      <c r="G1352" s="12"/>
      <c r="H1352" s="12"/>
    </row>
    <row r="1353" spans="1:28" x14ac:dyDescent="0.2">
      <c r="C1353" s="26" t="s">
        <v>1832</v>
      </c>
      <c r="D1353" s="26">
        <f>Source!BB324</f>
        <v>7.13</v>
      </c>
    </row>
    <row r="1354" spans="1:28" x14ac:dyDescent="0.2">
      <c r="C1354" s="26" t="s">
        <v>1833</v>
      </c>
      <c r="D1354" s="26">
        <f>Source!BC324</f>
        <v>7.13</v>
      </c>
    </row>
    <row r="1355" spans="1:28" x14ac:dyDescent="0.2">
      <c r="C1355" s="26" t="s">
        <v>1834</v>
      </c>
      <c r="D1355" s="26">
        <f>Source!BS324</f>
        <v>7.13</v>
      </c>
    </row>
    <row r="1356" spans="1:28" x14ac:dyDescent="0.2">
      <c r="C1356" s="9" t="s">
        <v>1835</v>
      </c>
      <c r="D1356" s="38"/>
      <c r="E1356" s="38"/>
      <c r="F1356" s="38">
        <f>Source!BZ324</f>
        <v>103</v>
      </c>
      <c r="G1356" s="61">
        <f>(Source!AF324+Source!AE324)*Source!FX324/100</f>
        <v>905.38030000000003</v>
      </c>
      <c r="H1356" s="61">
        <f>Source!X324</f>
        <v>64.55</v>
      </c>
    </row>
    <row r="1357" spans="1:28" x14ac:dyDescent="0.2">
      <c r="C1357" s="9" t="s">
        <v>1837</v>
      </c>
      <c r="D1357" s="38"/>
      <c r="E1357" s="38"/>
      <c r="F1357" s="38">
        <f>Source!CA324</f>
        <v>60</v>
      </c>
      <c r="G1357" s="61">
        <f>(Source!AF324+Source!AE324)*Source!FY324/100</f>
        <v>527.40599999999995</v>
      </c>
      <c r="H1357" s="61">
        <f>Source!Y324</f>
        <v>37.6</v>
      </c>
    </row>
    <row r="1358" spans="1:28" x14ac:dyDescent="0.2">
      <c r="C1358" s="9" t="s">
        <v>1839</v>
      </c>
      <c r="D1358" s="38"/>
      <c r="E1358" s="38"/>
      <c r="F1358" s="38"/>
      <c r="G1358" s="61">
        <f>((Source!AF324+Source!AE324)*Source!FX324/100)+((Source!AF324+Source!AE324)*Source!FY324/100)+Source!AB324</f>
        <v>2597.6963000000001</v>
      </c>
      <c r="H1358" s="61">
        <f>Source!O324+Source!X324+Source!Y324</f>
        <v>185.2</v>
      </c>
    </row>
    <row r="1359" spans="1:28" ht="42.75" x14ac:dyDescent="0.2">
      <c r="A1359" s="50">
        <v>187</v>
      </c>
      <c r="B1359" s="50" t="str">
        <f>Source!E325</f>
        <v>95,1</v>
      </c>
      <c r="C1359" s="50" t="str">
        <f>Source!G325</f>
        <v>Трапы чугунные эмалированные с горизонтальным выпуском диаметром 50 мм</v>
      </c>
      <c r="D1359" s="50" t="str">
        <f>Source!F325</f>
        <v>18.2.06.10-0013</v>
      </c>
      <c r="E1359" s="35" t="str">
        <f>Source!H325</f>
        <v>шт.</v>
      </c>
      <c r="F1359" s="12">
        <f>Source!I325</f>
        <v>1</v>
      </c>
      <c r="G1359" s="25">
        <f>Source!AB325</f>
        <v>121.11</v>
      </c>
      <c r="H1359" s="25">
        <f>Source!O325</f>
        <v>863.51</v>
      </c>
      <c r="T1359">
        <f>Source!O325+Source!X325+Source!Y325</f>
        <v>863.51</v>
      </c>
      <c r="U1359">
        <f>Source!P325</f>
        <v>863.51</v>
      </c>
      <c r="V1359">
        <f>Source!S325</f>
        <v>0</v>
      </c>
      <c r="W1359">
        <f>Source!Q325</f>
        <v>0</v>
      </c>
      <c r="X1359">
        <f>Source!R325</f>
        <v>0</v>
      </c>
      <c r="Y1359">
        <f>Source!U325</f>
        <v>0</v>
      </c>
      <c r="Z1359">
        <f>Source!V325</f>
        <v>0</v>
      </c>
      <c r="AA1359">
        <f>Source!X325</f>
        <v>0</v>
      </c>
      <c r="AB1359">
        <f>Source!Y325</f>
        <v>0</v>
      </c>
    </row>
    <row r="1360" spans="1:28" ht="14.25" x14ac:dyDescent="0.2">
      <c r="C1360" s="26" t="s">
        <v>1833</v>
      </c>
      <c r="D1360" s="26">
        <f>Source!BC325</f>
        <v>7.13</v>
      </c>
      <c r="F1360" s="12"/>
      <c r="G1360" s="12"/>
      <c r="H1360" s="12"/>
    </row>
    <row r="1361" spans="1:28" ht="14.25" x14ac:dyDescent="0.2">
      <c r="A1361" s="50">
        <v>188</v>
      </c>
      <c r="B1361" s="50" t="str">
        <f>Source!E326</f>
        <v>96</v>
      </c>
      <c r="C1361" s="50" t="str">
        <f>Source!G326</f>
        <v>Демонтаж ванн</v>
      </c>
      <c r="D1361" s="50" t="str">
        <f>Source!F326</f>
        <v>65-4-4</v>
      </c>
      <c r="E1361" s="35" t="str">
        <f>Source!H326</f>
        <v>100 ШТ</v>
      </c>
      <c r="F1361" s="12">
        <f>Source!I326</f>
        <v>0.01</v>
      </c>
      <c r="G1361" s="25">
        <f>Source!AB326</f>
        <v>2581.5</v>
      </c>
      <c r="H1361" s="25">
        <f>Source!O326</f>
        <v>184.06</v>
      </c>
      <c r="T1361">
        <f>Source!O326+Source!X326+Source!Y326</f>
        <v>408.17</v>
      </c>
      <c r="U1361">
        <f>Source!P326</f>
        <v>0</v>
      </c>
      <c r="V1361">
        <f>Source!S326</f>
        <v>178.2</v>
      </c>
      <c r="W1361">
        <f>Source!Q326</f>
        <v>5.86</v>
      </c>
      <c r="X1361">
        <f>Source!R326</f>
        <v>2.5299999999999998</v>
      </c>
      <c r="Y1361">
        <f>Source!U326</f>
        <v>2.93</v>
      </c>
      <c r="Z1361">
        <f>Source!V326</f>
        <v>2.63E-2</v>
      </c>
      <c r="AA1361">
        <f>Source!X326</f>
        <v>133.74</v>
      </c>
      <c r="AB1361">
        <f>Source!Y326</f>
        <v>90.37</v>
      </c>
    </row>
    <row r="1362" spans="1:28" ht="14.25" x14ac:dyDescent="0.2">
      <c r="C1362" s="26" t="s">
        <v>1831</v>
      </c>
      <c r="D1362" s="26">
        <f>Source!BA326</f>
        <v>7.13</v>
      </c>
      <c r="F1362" s="12"/>
      <c r="G1362" s="12"/>
      <c r="H1362" s="12"/>
    </row>
    <row r="1363" spans="1:28" x14ac:dyDescent="0.2">
      <c r="C1363" s="26" t="s">
        <v>1832</v>
      </c>
      <c r="D1363" s="26">
        <f>Source!BB326</f>
        <v>7.13</v>
      </c>
    </row>
    <row r="1364" spans="1:28" x14ac:dyDescent="0.2">
      <c r="C1364" s="26" t="s">
        <v>1833</v>
      </c>
      <c r="D1364" s="26">
        <f>Source!BC326</f>
        <v>7.13</v>
      </c>
    </row>
    <row r="1365" spans="1:28" x14ac:dyDescent="0.2">
      <c r="C1365" s="26" t="s">
        <v>1834</v>
      </c>
      <c r="D1365" s="26">
        <f>Source!BS326</f>
        <v>7.13</v>
      </c>
    </row>
    <row r="1366" spans="1:28" x14ac:dyDescent="0.2">
      <c r="C1366" s="9" t="s">
        <v>1835</v>
      </c>
      <c r="D1366" s="38"/>
      <c r="E1366" s="38"/>
      <c r="F1366" s="38">
        <f>Source!BZ326</f>
        <v>74</v>
      </c>
      <c r="G1366" s="61">
        <f>(Source!AF326+Source!AE326)*Source!FX326/100</f>
        <v>1875.7520000000002</v>
      </c>
      <c r="H1366" s="61">
        <f>Source!X326</f>
        <v>133.74</v>
      </c>
    </row>
    <row r="1367" spans="1:28" x14ac:dyDescent="0.2">
      <c r="C1367" s="9" t="s">
        <v>1837</v>
      </c>
      <c r="D1367" s="38"/>
      <c r="E1367" s="38"/>
      <c r="F1367" s="38">
        <f>Source!CA326</f>
        <v>50</v>
      </c>
      <c r="G1367" s="61">
        <f>(Source!AF326+Source!AE326)*Source!FY326/100</f>
        <v>1267.4000000000001</v>
      </c>
      <c r="H1367" s="61">
        <f>Source!Y326</f>
        <v>90.37</v>
      </c>
    </row>
    <row r="1368" spans="1:28" x14ac:dyDescent="0.2">
      <c r="C1368" s="9" t="s">
        <v>1839</v>
      </c>
      <c r="D1368" s="38"/>
      <c r="E1368" s="38"/>
      <c r="F1368" s="38"/>
      <c r="G1368" s="61">
        <f>((Source!AF326+Source!AE326)*Source!FX326/100)+((Source!AF326+Source!AE326)*Source!FY326/100)+Source!AB326</f>
        <v>5724.652</v>
      </c>
      <c r="H1368" s="61">
        <f>Source!O326+Source!X326+Source!Y326</f>
        <v>408.17</v>
      </c>
    </row>
    <row r="1369" spans="1:28" ht="14.25" x14ac:dyDescent="0.2">
      <c r="A1369" s="50">
        <v>189</v>
      </c>
      <c r="B1369" s="50" t="str">
        <f>Source!E327</f>
        <v>97</v>
      </c>
      <c r="C1369" s="50" t="str">
        <f>Source!G327</f>
        <v>Демонтаж моек</v>
      </c>
      <c r="D1369" s="50" t="str">
        <f>Source!F327</f>
        <v>65-4-3</v>
      </c>
      <c r="E1369" s="35" t="str">
        <f>Source!H327</f>
        <v>100 ШТ</v>
      </c>
      <c r="F1369" s="12">
        <f>Source!I327</f>
        <v>0.05</v>
      </c>
      <c r="G1369" s="25">
        <f>Source!AB327</f>
        <v>899.88</v>
      </c>
      <c r="H1369" s="25">
        <f>Source!O327</f>
        <v>320.81</v>
      </c>
      <c r="T1369">
        <f>Source!O327+Source!X327+Source!Y327</f>
        <v>712.4</v>
      </c>
      <c r="U1369">
        <f>Source!P327</f>
        <v>0</v>
      </c>
      <c r="V1369">
        <f>Source!S327</f>
        <v>312</v>
      </c>
      <c r="W1369">
        <f>Source!Q327</f>
        <v>8.81</v>
      </c>
      <c r="X1369">
        <f>Source!R327</f>
        <v>3.8</v>
      </c>
      <c r="Y1369">
        <f>Source!U327</f>
        <v>5.13</v>
      </c>
      <c r="Z1369">
        <f>Source!V327</f>
        <v>3.9500000000000007E-2</v>
      </c>
      <c r="AA1369">
        <f>Source!X327</f>
        <v>233.69</v>
      </c>
      <c r="AB1369">
        <f>Source!Y327</f>
        <v>157.9</v>
      </c>
    </row>
    <row r="1370" spans="1:28" ht="14.25" x14ac:dyDescent="0.2">
      <c r="C1370" s="26" t="str">
        <f>"Объем: "&amp;Source!I327&amp;"=5/"&amp;"100"</f>
        <v>Объем: 0,05=5/100</v>
      </c>
      <c r="F1370" s="12"/>
      <c r="G1370" s="12"/>
      <c r="H1370" s="12"/>
    </row>
    <row r="1371" spans="1:28" x14ac:dyDescent="0.2">
      <c r="C1371" s="26" t="s">
        <v>1831</v>
      </c>
      <c r="D1371" s="26">
        <f>Source!BA327</f>
        <v>7.13</v>
      </c>
    </row>
    <row r="1372" spans="1:28" x14ac:dyDescent="0.2">
      <c r="C1372" s="26" t="s">
        <v>1832</v>
      </c>
      <c r="D1372" s="26">
        <f>Source!BB327</f>
        <v>7.13</v>
      </c>
    </row>
    <row r="1373" spans="1:28" x14ac:dyDescent="0.2">
      <c r="C1373" s="26" t="s">
        <v>1833</v>
      </c>
      <c r="D1373" s="26">
        <f>Source!BC327</f>
        <v>7.13</v>
      </c>
    </row>
    <row r="1374" spans="1:28" x14ac:dyDescent="0.2">
      <c r="C1374" s="26" t="s">
        <v>1834</v>
      </c>
      <c r="D1374" s="26">
        <f>Source!BS327</f>
        <v>7.13</v>
      </c>
    </row>
    <row r="1375" spans="1:28" x14ac:dyDescent="0.2">
      <c r="C1375" s="9" t="s">
        <v>1835</v>
      </c>
      <c r="D1375" s="38"/>
      <c r="E1375" s="38"/>
      <c r="F1375" s="38">
        <f>Source!BZ327</f>
        <v>74</v>
      </c>
      <c r="G1375" s="61">
        <f>(Source!AF327+Source!AE327)*Source!FX327/100</f>
        <v>655.529</v>
      </c>
      <c r="H1375" s="61">
        <f>Source!X327</f>
        <v>233.69</v>
      </c>
    </row>
    <row r="1376" spans="1:28" x14ac:dyDescent="0.2">
      <c r="C1376" s="9" t="s">
        <v>1837</v>
      </c>
      <c r="D1376" s="38"/>
      <c r="E1376" s="38"/>
      <c r="F1376" s="38">
        <f>Source!CA327</f>
        <v>50</v>
      </c>
      <c r="G1376" s="61">
        <f>(Source!AF327+Source!AE327)*Source!FY327/100</f>
        <v>442.92499999999995</v>
      </c>
      <c r="H1376" s="61">
        <f>Source!Y327</f>
        <v>157.9</v>
      </c>
    </row>
    <row r="1377" spans="1:28" x14ac:dyDescent="0.2">
      <c r="C1377" s="9" t="s">
        <v>1839</v>
      </c>
      <c r="D1377" s="38"/>
      <c r="E1377" s="38"/>
      <c r="F1377" s="38"/>
      <c r="G1377" s="61">
        <f>((Source!AF327+Source!AE327)*Source!FX327/100)+((Source!AF327+Source!AE327)*Source!FY327/100)+Source!AB327</f>
        <v>1998.3339999999998</v>
      </c>
      <c r="H1377" s="61">
        <f>Source!O327+Source!X327+Source!Y327</f>
        <v>712.4</v>
      </c>
    </row>
    <row r="1378" spans="1:28" ht="14.25" x14ac:dyDescent="0.2">
      <c r="A1378" s="50">
        <v>190</v>
      </c>
      <c r="B1378" s="50" t="str">
        <f>Source!E328</f>
        <v>98</v>
      </c>
      <c r="C1378" s="50" t="str">
        <f>Source!G328</f>
        <v>Демонтаж умывальников и раковин</v>
      </c>
      <c r="D1378" s="50" t="str">
        <f>Source!F328</f>
        <v>65-4-1</v>
      </c>
      <c r="E1378" s="35" t="str">
        <f>Source!H328</f>
        <v>100 ШТ</v>
      </c>
      <c r="F1378" s="12">
        <f>Source!I328</f>
        <v>0.03</v>
      </c>
      <c r="G1378" s="25">
        <f>Source!AB328</f>
        <v>445.72</v>
      </c>
      <c r="H1378" s="25">
        <f>Source!O328</f>
        <v>95.34</v>
      </c>
      <c r="T1378">
        <f>Source!O328+Source!X328+Source!Y328</f>
        <v>212.34</v>
      </c>
      <c r="U1378">
        <f>Source!P328</f>
        <v>0</v>
      </c>
      <c r="V1378">
        <f>Source!S328</f>
        <v>93.6</v>
      </c>
      <c r="W1378">
        <f>Source!Q328</f>
        <v>1.74</v>
      </c>
      <c r="X1378">
        <f>Source!R328</f>
        <v>0.75</v>
      </c>
      <c r="Y1378">
        <f>Source!U328</f>
        <v>1.5389999999999999</v>
      </c>
      <c r="Z1378">
        <f>Source!V328</f>
        <v>7.7999999999999996E-3</v>
      </c>
      <c r="AA1378">
        <f>Source!X328</f>
        <v>69.819999999999993</v>
      </c>
      <c r="AB1378">
        <f>Source!Y328</f>
        <v>47.18</v>
      </c>
    </row>
    <row r="1379" spans="1:28" ht="14.25" x14ac:dyDescent="0.2">
      <c r="C1379" s="26" t="str">
        <f>"Объем: "&amp;Source!I328&amp;"=3/"&amp;"100"</f>
        <v>Объем: 0,03=3/100</v>
      </c>
      <c r="F1379" s="12"/>
      <c r="G1379" s="12"/>
      <c r="H1379" s="12"/>
    </row>
    <row r="1380" spans="1:28" x14ac:dyDescent="0.2">
      <c r="C1380" s="26" t="s">
        <v>1831</v>
      </c>
      <c r="D1380" s="26">
        <f>Source!BA328</f>
        <v>7.13</v>
      </c>
    </row>
    <row r="1381" spans="1:28" x14ac:dyDescent="0.2">
      <c r="C1381" s="26" t="s">
        <v>1832</v>
      </c>
      <c r="D1381" s="26">
        <f>Source!BB328</f>
        <v>7.13</v>
      </c>
    </row>
    <row r="1382" spans="1:28" x14ac:dyDescent="0.2">
      <c r="C1382" s="26" t="s">
        <v>1833</v>
      </c>
      <c r="D1382" s="26">
        <f>Source!BC328</f>
        <v>7.13</v>
      </c>
    </row>
    <row r="1383" spans="1:28" x14ac:dyDescent="0.2">
      <c r="C1383" s="26" t="s">
        <v>1834</v>
      </c>
      <c r="D1383" s="26">
        <f>Source!BS328</f>
        <v>7.13</v>
      </c>
    </row>
    <row r="1384" spans="1:28" x14ac:dyDescent="0.2">
      <c r="C1384" s="9" t="s">
        <v>1835</v>
      </c>
      <c r="D1384" s="38"/>
      <c r="E1384" s="38"/>
      <c r="F1384" s="38">
        <f>Source!BZ328</f>
        <v>74</v>
      </c>
      <c r="G1384" s="61">
        <f>(Source!AF328+Source!AE328)*Source!FX328/100</f>
        <v>326.41399999999999</v>
      </c>
      <c r="H1384" s="61">
        <f>Source!X328</f>
        <v>69.819999999999993</v>
      </c>
    </row>
    <row r="1385" spans="1:28" x14ac:dyDescent="0.2">
      <c r="C1385" s="9" t="s">
        <v>1837</v>
      </c>
      <c r="D1385" s="38"/>
      <c r="E1385" s="38"/>
      <c r="F1385" s="38">
        <f>Source!CA328</f>
        <v>50</v>
      </c>
      <c r="G1385" s="61">
        <f>(Source!AF328+Source!AE328)*Source!FY328/100</f>
        <v>220.55</v>
      </c>
      <c r="H1385" s="61">
        <f>Source!Y328</f>
        <v>47.18</v>
      </c>
    </row>
    <row r="1386" spans="1:28" x14ac:dyDescent="0.2">
      <c r="C1386" s="9" t="s">
        <v>1839</v>
      </c>
      <c r="D1386" s="38"/>
      <c r="E1386" s="38"/>
      <c r="F1386" s="38"/>
      <c r="G1386" s="61">
        <f>((Source!AF328+Source!AE328)*Source!FX328/100)+((Source!AF328+Source!AE328)*Source!FY328/100)+Source!AB328</f>
        <v>992.68399999999997</v>
      </c>
      <c r="H1386" s="61">
        <f>Source!O328+Source!X328+Source!Y328</f>
        <v>212.34</v>
      </c>
    </row>
    <row r="1387" spans="1:28" ht="14.25" x14ac:dyDescent="0.2">
      <c r="A1387" s="50">
        <v>191</v>
      </c>
      <c r="B1387" s="50" t="str">
        <f>Source!E329</f>
        <v>99</v>
      </c>
      <c r="C1387" s="50" t="str">
        <f>Source!G329</f>
        <v>Демонтаж унитазов и писсуаров</v>
      </c>
      <c r="D1387" s="50" t="str">
        <f>Source!F329</f>
        <v>65-4-2</v>
      </c>
      <c r="E1387" s="35" t="str">
        <f>Source!H329</f>
        <v>100 ШТ</v>
      </c>
      <c r="F1387" s="12">
        <f>Source!I329</f>
        <v>0.03</v>
      </c>
      <c r="G1387" s="25">
        <f>Source!AB329</f>
        <v>553.63</v>
      </c>
      <c r="H1387" s="25">
        <f>Source!O329</f>
        <v>118.42</v>
      </c>
      <c r="T1387">
        <f>Source!O329+Source!X329+Source!Y329</f>
        <v>263.89999999999998</v>
      </c>
      <c r="U1387">
        <f>Source!P329</f>
        <v>0</v>
      </c>
      <c r="V1387">
        <f>Source!S329</f>
        <v>116.48</v>
      </c>
      <c r="W1387">
        <f>Source!Q329</f>
        <v>1.94</v>
      </c>
      <c r="X1387">
        <f>Source!R329</f>
        <v>0.84</v>
      </c>
      <c r="Y1387">
        <f>Source!U329</f>
        <v>1.9152</v>
      </c>
      <c r="Z1387">
        <f>Source!V329</f>
        <v>8.6999999999999994E-3</v>
      </c>
      <c r="AA1387">
        <f>Source!X329</f>
        <v>86.82</v>
      </c>
      <c r="AB1387">
        <f>Source!Y329</f>
        <v>58.66</v>
      </c>
    </row>
    <row r="1388" spans="1:28" ht="14.25" x14ac:dyDescent="0.2">
      <c r="C1388" s="26" t="str">
        <f>"Объем: "&amp;Source!I329&amp;"=3/"&amp;"100"</f>
        <v>Объем: 0,03=3/100</v>
      </c>
      <c r="F1388" s="12"/>
      <c r="G1388" s="12"/>
      <c r="H1388" s="12"/>
    </row>
    <row r="1389" spans="1:28" x14ac:dyDescent="0.2">
      <c r="C1389" s="26" t="s">
        <v>1831</v>
      </c>
      <c r="D1389" s="26">
        <f>Source!BA329</f>
        <v>7.13</v>
      </c>
    </row>
    <row r="1390" spans="1:28" x14ac:dyDescent="0.2">
      <c r="C1390" s="26" t="s">
        <v>1832</v>
      </c>
      <c r="D1390" s="26">
        <f>Source!BB329</f>
        <v>7.13</v>
      </c>
    </row>
    <row r="1391" spans="1:28" x14ac:dyDescent="0.2">
      <c r="C1391" s="26" t="s">
        <v>1833</v>
      </c>
      <c r="D1391" s="26">
        <f>Source!BC329</f>
        <v>7.13</v>
      </c>
    </row>
    <row r="1392" spans="1:28" x14ac:dyDescent="0.2">
      <c r="C1392" s="26" t="s">
        <v>1834</v>
      </c>
      <c r="D1392" s="26">
        <f>Source!BS329</f>
        <v>7.13</v>
      </c>
    </row>
    <row r="1393" spans="1:28" x14ac:dyDescent="0.2">
      <c r="C1393" s="9" t="s">
        <v>1835</v>
      </c>
      <c r="D1393" s="38"/>
      <c r="E1393" s="38"/>
      <c r="F1393" s="38">
        <f>Source!BZ329</f>
        <v>74</v>
      </c>
      <c r="G1393" s="61">
        <f>(Source!AF329+Source!AE329)*Source!FX329/100</f>
        <v>405.87519999999989</v>
      </c>
      <c r="H1393" s="61">
        <f>Source!X329</f>
        <v>86.82</v>
      </c>
    </row>
    <row r="1394" spans="1:28" x14ac:dyDescent="0.2">
      <c r="C1394" s="9" t="s">
        <v>1837</v>
      </c>
      <c r="D1394" s="38"/>
      <c r="E1394" s="38"/>
      <c r="F1394" s="38">
        <f>Source!CA329</f>
        <v>50</v>
      </c>
      <c r="G1394" s="61">
        <f>(Source!AF329+Source!AE329)*Source!FY329/100</f>
        <v>274.23999999999995</v>
      </c>
      <c r="H1394" s="61">
        <f>Source!Y329</f>
        <v>58.66</v>
      </c>
    </row>
    <row r="1395" spans="1:28" x14ac:dyDescent="0.2">
      <c r="C1395" s="9" t="s">
        <v>1839</v>
      </c>
      <c r="D1395" s="38"/>
      <c r="E1395" s="38"/>
      <c r="F1395" s="38"/>
      <c r="G1395" s="61">
        <f>((Source!AF329+Source!AE329)*Source!FX329/100)+((Source!AF329+Source!AE329)*Source!FY329/100)+Source!AB329</f>
        <v>1233.7451999999998</v>
      </c>
      <c r="H1395" s="61">
        <f>Source!O329+Source!X329+Source!Y329</f>
        <v>263.89999999999998</v>
      </c>
    </row>
    <row r="1396" spans="1:28" ht="28.5" x14ac:dyDescent="0.2">
      <c r="A1396" s="50">
        <v>192</v>
      </c>
      <c r="B1396" s="50" t="str">
        <f>Source!E330</f>
        <v>100</v>
      </c>
      <c r="C1396" s="50" t="str">
        <f>Source!G330</f>
        <v>Демонтаж смывных бачков фаянсовых на унитазе</v>
      </c>
      <c r="D1396" s="50" t="str">
        <f>Source!F330</f>
        <v>65-4-10</v>
      </c>
      <c r="E1396" s="35" t="str">
        <f>Source!H330</f>
        <v>100 ШТ</v>
      </c>
      <c r="F1396" s="12">
        <f>Source!I330</f>
        <v>0.03</v>
      </c>
      <c r="G1396" s="25">
        <f>Source!AB330</f>
        <v>326.13</v>
      </c>
      <c r="H1396" s="25">
        <f>Source!O330</f>
        <v>69.760000000000005</v>
      </c>
      <c r="T1396">
        <f>Source!O330+Source!X330+Source!Y330</f>
        <v>155.04000000000002</v>
      </c>
      <c r="U1396">
        <f>Source!P330</f>
        <v>0</v>
      </c>
      <c r="V1396">
        <f>Source!S330</f>
        <v>68.02</v>
      </c>
      <c r="W1396">
        <f>Source!Q330</f>
        <v>1.74</v>
      </c>
      <c r="X1396">
        <f>Source!R330</f>
        <v>0.75</v>
      </c>
      <c r="Y1396">
        <f>Source!U330</f>
        <v>1.1184000000000001</v>
      </c>
      <c r="Z1396">
        <f>Source!V330</f>
        <v>7.7999999999999996E-3</v>
      </c>
      <c r="AA1396">
        <f>Source!X330</f>
        <v>50.89</v>
      </c>
      <c r="AB1396">
        <f>Source!Y330</f>
        <v>34.39</v>
      </c>
    </row>
    <row r="1397" spans="1:28" ht="14.25" x14ac:dyDescent="0.2">
      <c r="C1397" s="26" t="str">
        <f>"Объем: "&amp;Source!I330&amp;"=3/"&amp;"100"</f>
        <v>Объем: 0,03=3/100</v>
      </c>
      <c r="F1397" s="12"/>
      <c r="G1397" s="12"/>
      <c r="H1397" s="12"/>
    </row>
    <row r="1398" spans="1:28" x14ac:dyDescent="0.2">
      <c r="C1398" s="26" t="s">
        <v>1831</v>
      </c>
      <c r="D1398" s="26">
        <f>Source!BA330</f>
        <v>7.13</v>
      </c>
    </row>
    <row r="1399" spans="1:28" x14ac:dyDescent="0.2">
      <c r="C1399" s="26" t="s">
        <v>1832</v>
      </c>
      <c r="D1399" s="26">
        <f>Source!BB330</f>
        <v>7.13</v>
      </c>
    </row>
    <row r="1400" spans="1:28" x14ac:dyDescent="0.2">
      <c r="C1400" s="26" t="s">
        <v>1833</v>
      </c>
      <c r="D1400" s="26">
        <f>Source!BC330</f>
        <v>7.13</v>
      </c>
    </row>
    <row r="1401" spans="1:28" x14ac:dyDescent="0.2">
      <c r="C1401" s="26" t="s">
        <v>1834</v>
      </c>
      <c r="D1401" s="26">
        <f>Source!BS330</f>
        <v>7.13</v>
      </c>
    </row>
    <row r="1402" spans="1:28" x14ac:dyDescent="0.2">
      <c r="C1402" s="9" t="s">
        <v>1835</v>
      </c>
      <c r="D1402" s="38"/>
      <c r="E1402" s="38"/>
      <c r="F1402" s="38">
        <f>Source!BZ330</f>
        <v>74</v>
      </c>
      <c r="G1402" s="61">
        <f>(Source!AF330+Source!AE330)*Source!FX330/100</f>
        <v>237.91739999999999</v>
      </c>
      <c r="H1402" s="61">
        <f>Source!X330</f>
        <v>50.89</v>
      </c>
    </row>
    <row r="1403" spans="1:28" x14ac:dyDescent="0.2">
      <c r="C1403" s="9" t="s">
        <v>1837</v>
      </c>
      <c r="D1403" s="38"/>
      <c r="E1403" s="38"/>
      <c r="F1403" s="38">
        <f>Source!CA330</f>
        <v>50</v>
      </c>
      <c r="G1403" s="61">
        <f>(Source!AF330+Source!AE330)*Source!FY330/100</f>
        <v>160.755</v>
      </c>
      <c r="H1403" s="61">
        <f>Source!Y330</f>
        <v>34.39</v>
      </c>
    </row>
    <row r="1404" spans="1:28" x14ac:dyDescent="0.2">
      <c r="C1404" s="9" t="s">
        <v>1839</v>
      </c>
      <c r="D1404" s="38"/>
      <c r="E1404" s="38"/>
      <c r="F1404" s="38"/>
      <c r="G1404" s="61">
        <f>((Source!AF330+Source!AE330)*Source!FX330/100)+((Source!AF330+Source!AE330)*Source!FY330/100)+Source!AB330</f>
        <v>724.80240000000003</v>
      </c>
      <c r="H1404" s="61">
        <f>Source!O330+Source!X330+Source!Y330</f>
        <v>155.04000000000002</v>
      </c>
    </row>
    <row r="1405" spans="1:28" ht="42.75" x14ac:dyDescent="0.2">
      <c r="A1405" s="50">
        <v>193</v>
      </c>
      <c r="B1405" s="50" t="str">
        <f>Source!E331</f>
        <v>101</v>
      </c>
      <c r="C1405" s="50" t="str">
        <f>Source!G331</f>
        <v>Прокладка трубопроводов канализации из полиэтиленовых труб высокой плотности диаметром 50 мм</v>
      </c>
      <c r="D1405" s="50" t="str">
        <f>Source!F331</f>
        <v>16-04-001-01</v>
      </c>
      <c r="E1405" s="35" t="str">
        <f>Source!H331</f>
        <v>100 м</v>
      </c>
      <c r="F1405" s="12">
        <f>Source!I331</f>
        <v>0.222</v>
      </c>
      <c r="G1405" s="25">
        <f>Source!AB331</f>
        <v>791.52</v>
      </c>
      <c r="H1405" s="25">
        <f>Source!O331</f>
        <v>1252.8599999999999</v>
      </c>
      <c r="T1405">
        <f>Source!O331+Source!X331+Source!Y331</f>
        <v>3411.93</v>
      </c>
      <c r="U1405">
        <f>Source!P331</f>
        <v>87.64</v>
      </c>
      <c r="V1405">
        <f>Source!S331</f>
        <v>1160</v>
      </c>
      <c r="W1405">
        <f>Source!Q331</f>
        <v>5.22</v>
      </c>
      <c r="X1405">
        <f>Source!R331</f>
        <v>0.79</v>
      </c>
      <c r="Y1405">
        <f>Source!U331</f>
        <v>16.400471999999997</v>
      </c>
      <c r="Z1405">
        <f>Source!V331</f>
        <v>8.3249999999999991E-3</v>
      </c>
      <c r="AA1405">
        <f>Source!X331</f>
        <v>1334.91</v>
      </c>
      <c r="AB1405">
        <f>Source!Y331</f>
        <v>824.16</v>
      </c>
    </row>
    <row r="1406" spans="1:28" ht="14.25" x14ac:dyDescent="0.2">
      <c r="C1406" s="26" t="str">
        <f>"Объем: "&amp;Source!I331&amp;"=22,2/"&amp;"100"</f>
        <v>Объем: 0,222=22,2/100</v>
      </c>
      <c r="F1406" s="12"/>
      <c r="G1406" s="12"/>
      <c r="H1406" s="12"/>
    </row>
    <row r="1407" spans="1:28" x14ac:dyDescent="0.2">
      <c r="C1407" s="26" t="s">
        <v>1831</v>
      </c>
      <c r="D1407" s="26">
        <f>Source!BA331</f>
        <v>7.13</v>
      </c>
    </row>
    <row r="1408" spans="1:28" x14ac:dyDescent="0.2">
      <c r="C1408" s="26" t="s">
        <v>1832</v>
      </c>
      <c r="D1408" s="26">
        <f>Source!BB331</f>
        <v>7.13</v>
      </c>
    </row>
    <row r="1409" spans="1:28" x14ac:dyDescent="0.2">
      <c r="C1409" s="26" t="s">
        <v>1833</v>
      </c>
      <c r="D1409" s="26">
        <f>Source!BC331</f>
        <v>7.13</v>
      </c>
    </row>
    <row r="1410" spans="1:28" x14ac:dyDescent="0.2">
      <c r="C1410" s="26" t="s">
        <v>1834</v>
      </c>
      <c r="D1410" s="26">
        <f>Source!BS331</f>
        <v>7.13</v>
      </c>
    </row>
    <row r="1411" spans="1:28" x14ac:dyDescent="0.2">
      <c r="C1411" s="26" t="s">
        <v>1841</v>
      </c>
      <c r="D1411" s="116" t="s">
        <v>81</v>
      </c>
      <c r="E1411" s="116"/>
      <c r="F1411" s="116"/>
      <c r="G1411" s="116"/>
      <c r="H1411" s="116"/>
    </row>
    <row r="1412" spans="1:28" x14ac:dyDescent="0.2">
      <c r="C1412" s="26" t="s">
        <v>1842</v>
      </c>
      <c r="D1412" s="116" t="s">
        <v>81</v>
      </c>
      <c r="E1412" s="116"/>
      <c r="F1412" s="116"/>
      <c r="G1412" s="116"/>
      <c r="H1412" s="116"/>
    </row>
    <row r="1413" spans="1:28" x14ac:dyDescent="0.2">
      <c r="C1413" s="26" t="s">
        <v>1843</v>
      </c>
      <c r="D1413" s="116" t="s">
        <v>82</v>
      </c>
      <c r="E1413" s="116"/>
      <c r="F1413" s="116"/>
      <c r="G1413" s="116"/>
      <c r="H1413" s="116"/>
    </row>
    <row r="1414" spans="1:28" x14ac:dyDescent="0.2">
      <c r="C1414" s="26" t="s">
        <v>1844</v>
      </c>
      <c r="D1414" s="116" t="s">
        <v>82</v>
      </c>
      <c r="E1414" s="116"/>
      <c r="F1414" s="116"/>
      <c r="G1414" s="116"/>
      <c r="H1414" s="116"/>
    </row>
    <row r="1415" spans="1:28" x14ac:dyDescent="0.2">
      <c r="C1415" s="26" t="s">
        <v>1845</v>
      </c>
      <c r="D1415" s="116" t="s">
        <v>81</v>
      </c>
      <c r="E1415" s="116"/>
      <c r="F1415" s="116"/>
      <c r="G1415" s="116"/>
      <c r="H1415" s="116"/>
    </row>
    <row r="1416" spans="1:28" x14ac:dyDescent="0.2">
      <c r="C1416" s="9" t="s">
        <v>1835</v>
      </c>
      <c r="D1416" s="38"/>
      <c r="E1416" s="38"/>
      <c r="F1416" s="38">
        <f>Source!BZ331</f>
        <v>128</v>
      </c>
      <c r="G1416" s="61">
        <f>(Source!AF331+Source!AE331)*Source!FX331/100</f>
        <v>844.81920000000002</v>
      </c>
      <c r="H1416" s="61">
        <f>Source!X331</f>
        <v>1334.91</v>
      </c>
    </row>
    <row r="1417" spans="1:28" x14ac:dyDescent="0.2">
      <c r="C1417" s="9" t="s">
        <v>1836</v>
      </c>
      <c r="D1417" s="38"/>
      <c r="E1417" s="38"/>
      <c r="F1417" s="38"/>
      <c r="G1417" s="38" t="str">
        <f>CONCATENATE(Source!DL331,Source!FT331, "=", Source!FX331, "%")</f>
        <v>*0,9=115,2%</v>
      </c>
      <c r="H1417" s="38" t="str">
        <f>CONCATENATE(Source!AT331)</f>
        <v>115</v>
      </c>
    </row>
    <row r="1418" spans="1:28" x14ac:dyDescent="0.2">
      <c r="C1418" s="9" t="s">
        <v>1837</v>
      </c>
      <c r="D1418" s="38"/>
      <c r="E1418" s="38"/>
      <c r="F1418" s="38">
        <f>Source!CA331</f>
        <v>83</v>
      </c>
      <c r="G1418" s="61">
        <f>(Source!AF331+Source!AE331)*Source!FY331/100</f>
        <v>517.37842499999999</v>
      </c>
      <c r="H1418" s="61">
        <f>Source!Y331</f>
        <v>824.16</v>
      </c>
    </row>
    <row r="1419" spans="1:28" x14ac:dyDescent="0.2">
      <c r="C1419" s="9" t="s">
        <v>1838</v>
      </c>
      <c r="D1419" s="38"/>
      <c r="E1419" s="38"/>
      <c r="F1419" s="38"/>
      <c r="G1419" s="38" t="str">
        <f>CONCATENATE(Source!DM331,Source!FU331, "=", Source!FY331, "%")</f>
        <v>*0,85=70,55%</v>
      </c>
      <c r="H1419" s="38" t="str">
        <f>CONCATENATE(Source!AU331)</f>
        <v>71</v>
      </c>
    </row>
    <row r="1420" spans="1:28" x14ac:dyDescent="0.2">
      <c r="C1420" s="9" t="s">
        <v>1839</v>
      </c>
      <c r="D1420" s="38"/>
      <c r="E1420" s="38"/>
      <c r="F1420" s="38"/>
      <c r="G1420" s="61">
        <f>((Source!AF331+Source!AE331)*Source!FX331/100)+((Source!AF331+Source!AE331)*Source!FY331/100)+Source!AB331</f>
        <v>2153.7176250000002</v>
      </c>
      <c r="H1420" s="61">
        <f>Source!O331+Source!X331+Source!Y331</f>
        <v>3411.93</v>
      </c>
    </row>
    <row r="1421" spans="1:28" ht="57" x14ac:dyDescent="0.2">
      <c r="A1421" s="50">
        <v>194</v>
      </c>
      <c r="B1421" s="50" t="str">
        <f>Source!E332</f>
        <v>101,1</v>
      </c>
      <c r="C1421" s="50" t="str">
        <f>Source!G332</f>
        <v>Хомуты для крепления канализационных и водосточных пластмассовых трубопроводов, диаметром 50 мм</v>
      </c>
      <c r="D1421" s="50" t="str">
        <f>Source!F332</f>
        <v>24.1.02.01-0111</v>
      </c>
      <c r="E1421" s="35" t="str">
        <f>Source!H332</f>
        <v>т</v>
      </c>
      <c r="F1421" s="12">
        <f>Source!I332</f>
        <v>7.1610000000000007E-3</v>
      </c>
      <c r="G1421" s="25">
        <f>Source!AB332</f>
        <v>26729.37</v>
      </c>
      <c r="H1421" s="25">
        <f>Source!O332</f>
        <v>1364.75</v>
      </c>
      <c r="T1421">
        <f>Source!O332+Source!X332+Source!Y332</f>
        <v>1364.75</v>
      </c>
      <c r="U1421">
        <f>Source!P332</f>
        <v>1364.75</v>
      </c>
      <c r="V1421">
        <f>Source!S332</f>
        <v>0</v>
      </c>
      <c r="W1421">
        <f>Source!Q332</f>
        <v>0</v>
      </c>
      <c r="X1421">
        <f>Source!R332</f>
        <v>0</v>
      </c>
      <c r="Y1421">
        <f>Source!U332</f>
        <v>0</v>
      </c>
      <c r="Z1421">
        <f>Source!V332</f>
        <v>0</v>
      </c>
      <c r="AA1421">
        <f>Source!X332</f>
        <v>0</v>
      </c>
      <c r="AB1421">
        <f>Source!Y332</f>
        <v>0</v>
      </c>
    </row>
    <row r="1422" spans="1:28" ht="14.25" x14ac:dyDescent="0.2">
      <c r="C1422" s="26" t="s">
        <v>1833</v>
      </c>
      <c r="D1422" s="26">
        <f>Source!BC332</f>
        <v>7.13</v>
      </c>
      <c r="F1422" s="12"/>
      <c r="G1422" s="12"/>
      <c r="H1422" s="12"/>
    </row>
    <row r="1423" spans="1:28" ht="28.5" x14ac:dyDescent="0.2">
      <c r="A1423" s="50">
        <v>195</v>
      </c>
      <c r="B1423" s="50" t="str">
        <f>Source!E333</f>
        <v>101,2</v>
      </c>
      <c r="C1423" s="50" t="str">
        <f>Source!G333</f>
        <v>Трубы безнапорные канализационные из полипропилена, диаметром 50 мм</v>
      </c>
      <c r="D1423" s="50" t="str">
        <f>Source!F333</f>
        <v>24.3.02.02-0003</v>
      </c>
      <c r="E1423" s="35" t="str">
        <f>Source!H333</f>
        <v>м</v>
      </c>
      <c r="F1423" s="12">
        <f>Source!I333</f>
        <v>22.2</v>
      </c>
      <c r="G1423" s="25">
        <f>Source!AB333</f>
        <v>10.38</v>
      </c>
      <c r="H1423" s="25">
        <f>Source!O333</f>
        <v>1643.01</v>
      </c>
      <c r="T1423">
        <f>Source!O333+Source!X333+Source!Y333</f>
        <v>1643.01</v>
      </c>
      <c r="U1423">
        <f>Source!P333</f>
        <v>1643.01</v>
      </c>
      <c r="V1423">
        <f>Source!S333</f>
        <v>0</v>
      </c>
      <c r="W1423">
        <f>Source!Q333</f>
        <v>0</v>
      </c>
      <c r="X1423">
        <f>Source!R333</f>
        <v>0</v>
      </c>
      <c r="Y1423">
        <f>Source!U333</f>
        <v>0</v>
      </c>
      <c r="Z1423">
        <f>Source!V333</f>
        <v>0</v>
      </c>
      <c r="AA1423">
        <f>Source!X333</f>
        <v>0</v>
      </c>
      <c r="AB1423">
        <f>Source!Y333</f>
        <v>0</v>
      </c>
    </row>
    <row r="1424" spans="1:28" ht="14.25" x14ac:dyDescent="0.2">
      <c r="C1424" s="26" t="s">
        <v>1833</v>
      </c>
      <c r="D1424" s="26">
        <f>Source!BC333</f>
        <v>7.13</v>
      </c>
      <c r="F1424" s="12"/>
      <c r="G1424" s="12"/>
      <c r="H1424" s="12"/>
    </row>
    <row r="1425" spans="1:28" ht="28.5" x14ac:dyDescent="0.2">
      <c r="A1425" s="50">
        <v>196</v>
      </c>
      <c r="B1425" s="50" t="str">
        <f>Source!E334</f>
        <v>101,3</v>
      </c>
      <c r="C1425" s="50" t="str">
        <f>Source!G334</f>
        <v>Ревизия полиэтиленовая с крышкой размером 50 мм</v>
      </c>
      <c r="D1425" s="50" t="str">
        <f>Source!F334</f>
        <v>24.3.05.12-0002</v>
      </c>
      <c r="E1425" s="35" t="str">
        <f>Source!H334</f>
        <v>шт.</v>
      </c>
      <c r="F1425" s="12">
        <f>Source!I334</f>
        <v>7</v>
      </c>
      <c r="G1425" s="25">
        <f>Source!AB334</f>
        <v>6.78</v>
      </c>
      <c r="H1425" s="25">
        <f>Source!O334</f>
        <v>338.39</v>
      </c>
      <c r="T1425">
        <f>Source!O334+Source!X334+Source!Y334</f>
        <v>338.39</v>
      </c>
      <c r="U1425">
        <f>Source!P334</f>
        <v>338.39</v>
      </c>
      <c r="V1425">
        <f>Source!S334</f>
        <v>0</v>
      </c>
      <c r="W1425">
        <f>Source!Q334</f>
        <v>0</v>
      </c>
      <c r="X1425">
        <f>Source!R334</f>
        <v>0</v>
      </c>
      <c r="Y1425">
        <f>Source!U334</f>
        <v>0</v>
      </c>
      <c r="Z1425">
        <f>Source!V334</f>
        <v>0</v>
      </c>
      <c r="AA1425">
        <f>Source!X334</f>
        <v>0</v>
      </c>
      <c r="AB1425">
        <f>Source!Y334</f>
        <v>0</v>
      </c>
    </row>
    <row r="1426" spans="1:28" ht="14.25" x14ac:dyDescent="0.2">
      <c r="C1426" s="26" t="s">
        <v>1833</v>
      </c>
      <c r="D1426" s="26">
        <f>Source!BC334</f>
        <v>7.13</v>
      </c>
      <c r="F1426" s="12"/>
      <c r="G1426" s="12"/>
      <c r="H1426" s="12"/>
    </row>
    <row r="1427" spans="1:28" ht="57" x14ac:dyDescent="0.2">
      <c r="A1427" s="50">
        <v>197</v>
      </c>
      <c r="B1427" s="50" t="str">
        <f>Source!E335</f>
        <v>101,4</v>
      </c>
      <c r="C1427" s="50" t="str">
        <f>Source!G335</f>
        <v>Трубопроводы канализации из полиэтиленовых труб высокой плотности с гильзами, диаметром 50 мм</v>
      </c>
      <c r="D1427" s="50" t="str">
        <f>Source!F335</f>
        <v>24.3.03.02</v>
      </c>
      <c r="E1427" s="35" t="str">
        <f>Source!H335</f>
        <v>м</v>
      </c>
      <c r="F1427" s="12">
        <f>Source!I335</f>
        <v>22.2</v>
      </c>
      <c r="G1427" s="25">
        <f>Source!AB335</f>
        <v>0</v>
      </c>
      <c r="H1427" s="25">
        <f>Source!O335</f>
        <v>0</v>
      </c>
      <c r="T1427">
        <f>Source!O335+Source!X335+Source!Y335</f>
        <v>0</v>
      </c>
      <c r="U1427">
        <f>Source!P335</f>
        <v>0</v>
      </c>
      <c r="V1427">
        <f>Source!S335</f>
        <v>0</v>
      </c>
      <c r="W1427">
        <f>Source!Q335</f>
        <v>0</v>
      </c>
      <c r="X1427">
        <f>Source!R335</f>
        <v>0</v>
      </c>
      <c r="Y1427">
        <f>Source!U335</f>
        <v>0</v>
      </c>
      <c r="Z1427">
        <f>Source!V335</f>
        <v>0</v>
      </c>
      <c r="AA1427">
        <f>Source!X335</f>
        <v>0</v>
      </c>
      <c r="AB1427">
        <f>Source!Y335</f>
        <v>0</v>
      </c>
    </row>
    <row r="1428" spans="1:28" ht="14.25" x14ac:dyDescent="0.2">
      <c r="C1428" s="26" t="s">
        <v>1833</v>
      </c>
      <c r="D1428" s="26">
        <f>Source!BC335</f>
        <v>7.13</v>
      </c>
      <c r="F1428" s="12"/>
      <c r="G1428" s="12"/>
      <c r="H1428" s="12"/>
    </row>
    <row r="1429" spans="1:28" ht="42.75" x14ac:dyDescent="0.2">
      <c r="A1429" s="50">
        <v>198</v>
      </c>
      <c r="B1429" s="50" t="str">
        <f>Source!E336</f>
        <v>102</v>
      </c>
      <c r="C1429" s="50" t="str">
        <f>Source!G336</f>
        <v>Прокладка трубопроводов канализации из полиэтиленовых труб высокой плотности диаметром 110 мм</v>
      </c>
      <c r="D1429" s="50" t="str">
        <f>Source!F336</f>
        <v>16-04-001-02</v>
      </c>
      <c r="E1429" s="35" t="str">
        <f>Source!H336</f>
        <v>100 м</v>
      </c>
      <c r="F1429" s="12">
        <f>Source!I336</f>
        <v>9.7000000000000003E-2</v>
      </c>
      <c r="G1429" s="25">
        <f>Source!AB336</f>
        <v>851.33</v>
      </c>
      <c r="H1429" s="25">
        <f>Source!O336</f>
        <v>588.79</v>
      </c>
      <c r="T1429">
        <f>Source!O336+Source!X336+Source!Y336</f>
        <v>1494.2599999999998</v>
      </c>
      <c r="U1429">
        <f>Source!P336</f>
        <v>97.46</v>
      </c>
      <c r="V1429">
        <f>Source!S336</f>
        <v>486.02</v>
      </c>
      <c r="W1429">
        <f>Source!Q336</f>
        <v>5.31</v>
      </c>
      <c r="X1429">
        <f>Source!R336</f>
        <v>0.79</v>
      </c>
      <c r="Y1429">
        <f>Source!U336</f>
        <v>6.8714799999999991</v>
      </c>
      <c r="Z1429">
        <f>Source!V336</f>
        <v>8.4875000000000003E-3</v>
      </c>
      <c r="AA1429">
        <f>Source!X336</f>
        <v>559.83000000000004</v>
      </c>
      <c r="AB1429">
        <f>Source!Y336</f>
        <v>345.64</v>
      </c>
    </row>
    <row r="1430" spans="1:28" ht="14.25" x14ac:dyDescent="0.2">
      <c r="C1430" s="26" t="str">
        <f>"Объем: "&amp;Source!I336&amp;"=9,7/"&amp;"100"</f>
        <v>Объем: 0,097=9,7/100</v>
      </c>
      <c r="F1430" s="12"/>
      <c r="G1430" s="12"/>
      <c r="H1430" s="12"/>
    </row>
    <row r="1431" spans="1:28" x14ac:dyDescent="0.2">
      <c r="C1431" s="26" t="s">
        <v>1831</v>
      </c>
      <c r="D1431" s="26">
        <f>Source!BA336</f>
        <v>7.13</v>
      </c>
    </row>
    <row r="1432" spans="1:28" x14ac:dyDescent="0.2">
      <c r="C1432" s="26" t="s">
        <v>1832</v>
      </c>
      <c r="D1432" s="26">
        <f>Source!BB336</f>
        <v>7.13</v>
      </c>
    </row>
    <row r="1433" spans="1:28" x14ac:dyDescent="0.2">
      <c r="C1433" s="26" t="s">
        <v>1833</v>
      </c>
      <c r="D1433" s="26">
        <f>Source!BC336</f>
        <v>7.13</v>
      </c>
    </row>
    <row r="1434" spans="1:28" x14ac:dyDescent="0.2">
      <c r="C1434" s="26" t="s">
        <v>1834</v>
      </c>
      <c r="D1434" s="26">
        <f>Source!BS336</f>
        <v>7.13</v>
      </c>
    </row>
    <row r="1435" spans="1:28" x14ac:dyDescent="0.2">
      <c r="C1435" s="26" t="s">
        <v>1841</v>
      </c>
      <c r="D1435" s="116" t="s">
        <v>81</v>
      </c>
      <c r="E1435" s="116"/>
      <c r="F1435" s="116"/>
      <c r="G1435" s="116"/>
      <c r="H1435" s="116"/>
    </row>
    <row r="1436" spans="1:28" x14ac:dyDescent="0.2">
      <c r="C1436" s="26" t="s">
        <v>1842</v>
      </c>
      <c r="D1436" s="116" t="s">
        <v>81</v>
      </c>
      <c r="E1436" s="116"/>
      <c r="F1436" s="116"/>
      <c r="G1436" s="116"/>
      <c r="H1436" s="116"/>
    </row>
    <row r="1437" spans="1:28" x14ac:dyDescent="0.2">
      <c r="C1437" s="26" t="s">
        <v>1843</v>
      </c>
      <c r="D1437" s="116" t="s">
        <v>82</v>
      </c>
      <c r="E1437" s="116"/>
      <c r="F1437" s="116"/>
      <c r="G1437" s="116"/>
      <c r="H1437" s="116"/>
    </row>
    <row r="1438" spans="1:28" x14ac:dyDescent="0.2">
      <c r="C1438" s="26" t="s">
        <v>1844</v>
      </c>
      <c r="D1438" s="116" t="s">
        <v>82</v>
      </c>
      <c r="E1438" s="116"/>
      <c r="F1438" s="116"/>
      <c r="G1438" s="116"/>
      <c r="H1438" s="116"/>
    </row>
    <row r="1439" spans="1:28" x14ac:dyDescent="0.2">
      <c r="C1439" s="26" t="s">
        <v>1845</v>
      </c>
      <c r="D1439" s="116" t="s">
        <v>81</v>
      </c>
      <c r="E1439" s="116"/>
      <c r="F1439" s="116"/>
      <c r="G1439" s="116"/>
      <c r="H1439" s="116"/>
    </row>
    <row r="1440" spans="1:28" x14ac:dyDescent="0.2">
      <c r="C1440" s="9" t="s">
        <v>1835</v>
      </c>
      <c r="D1440" s="38"/>
      <c r="E1440" s="38"/>
      <c r="F1440" s="38">
        <f>Source!BZ336</f>
        <v>128</v>
      </c>
      <c r="G1440" s="61">
        <f>(Source!AF336+Source!AE336)*Source!FX336/100</f>
        <v>810.85824000000002</v>
      </c>
      <c r="H1440" s="61">
        <f>Source!X336</f>
        <v>559.83000000000004</v>
      </c>
    </row>
    <row r="1441" spans="1:28" x14ac:dyDescent="0.2">
      <c r="C1441" s="9" t="s">
        <v>1836</v>
      </c>
      <c r="D1441" s="38"/>
      <c r="E1441" s="38"/>
      <c r="F1441" s="38"/>
      <c r="G1441" s="38" t="str">
        <f>CONCATENATE(Source!DL336,Source!FT336, "=", Source!FX336, "%")</f>
        <v>*0,9=115,2%</v>
      </c>
      <c r="H1441" s="38" t="str">
        <f>CONCATENATE(Source!AT336)</f>
        <v>115</v>
      </c>
    </row>
    <row r="1442" spans="1:28" x14ac:dyDescent="0.2">
      <c r="C1442" s="9" t="s">
        <v>1837</v>
      </c>
      <c r="D1442" s="38"/>
      <c r="E1442" s="38"/>
      <c r="F1442" s="38">
        <f>Source!CA336</f>
        <v>83</v>
      </c>
      <c r="G1442" s="61">
        <f>(Source!AF336+Source!AE336)*Source!FY336/100</f>
        <v>496.580285</v>
      </c>
      <c r="H1442" s="61">
        <f>Source!Y336</f>
        <v>345.64</v>
      </c>
    </row>
    <row r="1443" spans="1:28" x14ac:dyDescent="0.2">
      <c r="C1443" s="9" t="s">
        <v>1838</v>
      </c>
      <c r="D1443" s="38"/>
      <c r="E1443" s="38"/>
      <c r="F1443" s="38"/>
      <c r="G1443" s="38" t="str">
        <f>CONCATENATE(Source!DM336,Source!FU336, "=", Source!FY336, "%")</f>
        <v>*0,85=70,55%</v>
      </c>
      <c r="H1443" s="38" t="str">
        <f>CONCATENATE(Source!AU336)</f>
        <v>71</v>
      </c>
    </row>
    <row r="1444" spans="1:28" x14ac:dyDescent="0.2">
      <c r="C1444" s="9" t="s">
        <v>1839</v>
      </c>
      <c r="D1444" s="38"/>
      <c r="E1444" s="38"/>
      <c r="F1444" s="38"/>
      <c r="G1444" s="61">
        <f>((Source!AF336+Source!AE336)*Source!FX336/100)+((Source!AF336+Source!AE336)*Source!FY336/100)+Source!AB336</f>
        <v>2158.768525</v>
      </c>
      <c r="H1444" s="61">
        <f>Source!O336+Source!X336+Source!Y336</f>
        <v>1494.2599999999998</v>
      </c>
    </row>
    <row r="1445" spans="1:28" ht="57" x14ac:dyDescent="0.2">
      <c r="A1445" s="50">
        <v>199</v>
      </c>
      <c r="B1445" s="50" t="str">
        <f>Source!E337</f>
        <v>102,1</v>
      </c>
      <c r="C1445" s="50" t="str">
        <f>Source!G337</f>
        <v>Хомуты для крепления канализационных и водосточных пластмассовых трубопроводов, диаметром 100 мм</v>
      </c>
      <c r="D1445" s="50" t="str">
        <f>Source!F337</f>
        <v>24.1.02.01-0112</v>
      </c>
      <c r="E1445" s="35" t="str">
        <f>Source!H337</f>
        <v>т</v>
      </c>
      <c r="F1445" s="12">
        <f>Source!I337</f>
        <v>5.9880000000000003E-3</v>
      </c>
      <c r="G1445" s="25">
        <f>Source!AB337</f>
        <v>37529.15</v>
      </c>
      <c r="H1445" s="25">
        <f>Source!O337</f>
        <v>1602.29</v>
      </c>
      <c r="T1445">
        <f>Source!O337+Source!X337+Source!Y337</f>
        <v>1602.29</v>
      </c>
      <c r="U1445">
        <f>Source!P337</f>
        <v>1602.29</v>
      </c>
      <c r="V1445">
        <f>Source!S337</f>
        <v>0</v>
      </c>
      <c r="W1445">
        <f>Source!Q337</f>
        <v>0</v>
      </c>
      <c r="X1445">
        <f>Source!R337</f>
        <v>0</v>
      </c>
      <c r="Y1445">
        <f>Source!U337</f>
        <v>0</v>
      </c>
      <c r="Z1445">
        <f>Source!V337</f>
        <v>0</v>
      </c>
      <c r="AA1445">
        <f>Source!X337</f>
        <v>0</v>
      </c>
      <c r="AB1445">
        <f>Source!Y337</f>
        <v>0</v>
      </c>
    </row>
    <row r="1446" spans="1:28" ht="14.25" x14ac:dyDescent="0.2">
      <c r="C1446" s="26" t="s">
        <v>1833</v>
      </c>
      <c r="D1446" s="26">
        <f>Source!BC337</f>
        <v>7.13</v>
      </c>
      <c r="F1446" s="12"/>
      <c r="G1446" s="12"/>
      <c r="H1446" s="12"/>
    </row>
    <row r="1447" spans="1:28" ht="28.5" x14ac:dyDescent="0.2">
      <c r="A1447" s="50">
        <v>200</v>
      </c>
      <c r="B1447" s="50" t="str">
        <f>Source!E338</f>
        <v>102,2</v>
      </c>
      <c r="C1447" s="50" t="str">
        <f>Source!G338</f>
        <v>Трубы безнапорные канализационные из полипропилена, диаметром 110 мм</v>
      </c>
      <c r="D1447" s="50" t="str">
        <f>Source!F338</f>
        <v>24.3.02.02-0004</v>
      </c>
      <c r="E1447" s="35" t="str">
        <f>Source!H338</f>
        <v>м</v>
      </c>
      <c r="F1447" s="12">
        <f>Source!I338</f>
        <v>9.6999999999999993</v>
      </c>
      <c r="G1447" s="25">
        <f>Source!AB338</f>
        <v>43.52</v>
      </c>
      <c r="H1447" s="25">
        <f>Source!O338</f>
        <v>3009.89</v>
      </c>
      <c r="T1447">
        <f>Source!O338+Source!X338+Source!Y338</f>
        <v>3009.89</v>
      </c>
      <c r="U1447">
        <f>Source!P338</f>
        <v>3009.89</v>
      </c>
      <c r="V1447">
        <f>Source!S338</f>
        <v>0</v>
      </c>
      <c r="W1447">
        <f>Source!Q338</f>
        <v>0</v>
      </c>
      <c r="X1447">
        <f>Source!R338</f>
        <v>0</v>
      </c>
      <c r="Y1447">
        <f>Source!U338</f>
        <v>0</v>
      </c>
      <c r="Z1447">
        <f>Source!V338</f>
        <v>0</v>
      </c>
      <c r="AA1447">
        <f>Source!X338</f>
        <v>0</v>
      </c>
      <c r="AB1447">
        <f>Source!Y338</f>
        <v>0</v>
      </c>
    </row>
    <row r="1448" spans="1:28" ht="14.25" x14ac:dyDescent="0.2">
      <c r="C1448" s="26" t="s">
        <v>1833</v>
      </c>
      <c r="D1448" s="26">
        <f>Source!BC338</f>
        <v>7.13</v>
      </c>
      <c r="F1448" s="12"/>
      <c r="G1448" s="12"/>
      <c r="H1448" s="12"/>
    </row>
    <row r="1449" spans="1:28" ht="28.5" x14ac:dyDescent="0.2">
      <c r="A1449" s="50">
        <v>201</v>
      </c>
      <c r="B1449" s="50" t="str">
        <f>Source!E339</f>
        <v>102,3</v>
      </c>
      <c r="C1449" s="50" t="str">
        <f>Source!G339</f>
        <v>Ревизия полипропиленовая с крышкой диаметром 100 мм</v>
      </c>
      <c r="D1449" s="50" t="str">
        <f>Source!F339</f>
        <v>24.3.05.12-0001</v>
      </c>
      <c r="E1449" s="35" t="str">
        <f>Source!H339</f>
        <v>шт.</v>
      </c>
      <c r="F1449" s="12">
        <f>Source!I339</f>
        <v>3</v>
      </c>
      <c r="G1449" s="25">
        <f>Source!AB339</f>
        <v>15.18</v>
      </c>
      <c r="H1449" s="25">
        <f>Source!O339</f>
        <v>324.7</v>
      </c>
      <c r="T1449">
        <f>Source!O339+Source!X339+Source!Y339</f>
        <v>324.7</v>
      </c>
      <c r="U1449">
        <f>Source!P339</f>
        <v>324.7</v>
      </c>
      <c r="V1449">
        <f>Source!S339</f>
        <v>0</v>
      </c>
      <c r="W1449">
        <f>Source!Q339</f>
        <v>0</v>
      </c>
      <c r="X1449">
        <f>Source!R339</f>
        <v>0</v>
      </c>
      <c r="Y1449">
        <f>Source!U339</f>
        <v>0</v>
      </c>
      <c r="Z1449">
        <f>Source!V339</f>
        <v>0</v>
      </c>
      <c r="AA1449">
        <f>Source!X339</f>
        <v>0</v>
      </c>
      <c r="AB1449">
        <f>Source!Y339</f>
        <v>0</v>
      </c>
    </row>
    <row r="1450" spans="1:28" ht="14.25" x14ac:dyDescent="0.2">
      <c r="C1450" s="26" t="s">
        <v>1833</v>
      </c>
      <c r="D1450" s="26">
        <f>Source!BC339</f>
        <v>7.13</v>
      </c>
      <c r="F1450" s="12"/>
      <c r="G1450" s="12"/>
      <c r="H1450" s="12"/>
    </row>
    <row r="1451" spans="1:28" ht="57" x14ac:dyDescent="0.2">
      <c r="A1451" s="50">
        <v>202</v>
      </c>
      <c r="B1451" s="50" t="str">
        <f>Source!E340</f>
        <v>102,4</v>
      </c>
      <c r="C1451" s="50" t="str">
        <f>Source!G340</f>
        <v>Трубопроводы канализации из полиэтиленовых труб высокой плотности с гильзами, диаметром 110 мм</v>
      </c>
      <c r="D1451" s="50" t="str">
        <f>Source!F340</f>
        <v>24.3.03.02</v>
      </c>
      <c r="E1451" s="35" t="str">
        <f>Source!H340</f>
        <v>м</v>
      </c>
      <c r="F1451" s="12">
        <f>Source!I340</f>
        <v>9.6999999999999993</v>
      </c>
      <c r="G1451" s="25">
        <f>Source!AB340</f>
        <v>0</v>
      </c>
      <c r="H1451" s="25">
        <f>Source!O340</f>
        <v>0</v>
      </c>
      <c r="T1451">
        <f>Source!O340+Source!X340+Source!Y340</f>
        <v>0</v>
      </c>
      <c r="U1451">
        <f>Source!P340</f>
        <v>0</v>
      </c>
      <c r="V1451">
        <f>Source!S340</f>
        <v>0</v>
      </c>
      <c r="W1451">
        <f>Source!Q340</f>
        <v>0</v>
      </c>
      <c r="X1451">
        <f>Source!R340</f>
        <v>0</v>
      </c>
      <c r="Y1451">
        <f>Source!U340</f>
        <v>0</v>
      </c>
      <c r="Z1451">
        <f>Source!V340</f>
        <v>0</v>
      </c>
      <c r="AA1451">
        <f>Source!X340</f>
        <v>0</v>
      </c>
      <c r="AB1451">
        <f>Source!Y340</f>
        <v>0</v>
      </c>
    </row>
    <row r="1452" spans="1:28" ht="14.25" x14ac:dyDescent="0.2">
      <c r="C1452" s="26" t="s">
        <v>1833</v>
      </c>
      <c r="D1452" s="26">
        <f>Source!BC340</f>
        <v>7.13</v>
      </c>
      <c r="F1452" s="12"/>
      <c r="G1452" s="12"/>
      <c r="H1452" s="12"/>
    </row>
    <row r="1453" spans="1:28" ht="28.5" x14ac:dyDescent="0.2">
      <c r="A1453" s="50">
        <v>203</v>
      </c>
      <c r="B1453" s="50" t="str">
        <f>Source!E341</f>
        <v>103</v>
      </c>
      <c r="C1453" s="50" t="str">
        <f>Source!G341</f>
        <v>Установка поддонов душевых чугунных и стальных мелких</v>
      </c>
      <c r="D1453" s="50" t="str">
        <f>Source!F341</f>
        <v>17-01-001-18</v>
      </c>
      <c r="E1453" s="35" t="str">
        <f>Source!H341</f>
        <v>10 компл</v>
      </c>
      <c r="F1453" s="12">
        <f>Source!I341</f>
        <v>0.2</v>
      </c>
      <c r="G1453" s="25">
        <f>Source!AB341</f>
        <v>262.31</v>
      </c>
      <c r="H1453" s="25">
        <f>Source!O341</f>
        <v>374.06</v>
      </c>
      <c r="T1453">
        <f>Source!O341+Source!X341+Source!Y341</f>
        <v>727.75</v>
      </c>
      <c r="U1453">
        <f>Source!P341</f>
        <v>116.82</v>
      </c>
      <c r="V1453">
        <f>Source!S341</f>
        <v>171.79</v>
      </c>
      <c r="W1453">
        <f>Source!Q341</f>
        <v>85.45</v>
      </c>
      <c r="X1453">
        <f>Source!R341</f>
        <v>18.37</v>
      </c>
      <c r="Y1453">
        <f>Source!U341</f>
        <v>2.5047000000000001</v>
      </c>
      <c r="Z1453">
        <f>Source!V341</f>
        <v>0.21250000000000002</v>
      </c>
      <c r="AA1453">
        <f>Source!X341</f>
        <v>218.68</v>
      </c>
      <c r="AB1453">
        <f>Source!Y341</f>
        <v>135.01</v>
      </c>
    </row>
    <row r="1454" spans="1:28" ht="14.25" x14ac:dyDescent="0.2">
      <c r="C1454" s="26" t="str">
        <f>"Объем: "&amp;Source!I341&amp;"=2/"&amp;"10"</f>
        <v>Объем: 0,2=2/10</v>
      </c>
      <c r="F1454" s="12"/>
      <c r="G1454" s="12"/>
      <c r="H1454" s="12"/>
    </row>
    <row r="1455" spans="1:28" x14ac:dyDescent="0.2">
      <c r="C1455" s="26" t="s">
        <v>1831</v>
      </c>
      <c r="D1455" s="26">
        <f>Source!BA341</f>
        <v>7.13</v>
      </c>
    </row>
    <row r="1456" spans="1:28" x14ac:dyDescent="0.2">
      <c r="C1456" s="26" t="s">
        <v>1832</v>
      </c>
      <c r="D1456" s="26">
        <f>Source!BB341</f>
        <v>7.13</v>
      </c>
    </row>
    <row r="1457" spans="1:28" x14ac:dyDescent="0.2">
      <c r="C1457" s="26" t="s">
        <v>1833</v>
      </c>
      <c r="D1457" s="26">
        <f>Source!BC341</f>
        <v>7.13</v>
      </c>
    </row>
    <row r="1458" spans="1:28" x14ac:dyDescent="0.2">
      <c r="C1458" s="26" t="s">
        <v>1834</v>
      </c>
      <c r="D1458" s="26">
        <f>Source!BS341</f>
        <v>7.13</v>
      </c>
    </row>
    <row r="1459" spans="1:28" x14ac:dyDescent="0.2">
      <c r="C1459" s="26" t="s">
        <v>1841</v>
      </c>
      <c r="D1459" s="116" t="s">
        <v>81</v>
      </c>
      <c r="E1459" s="116"/>
      <c r="F1459" s="116"/>
      <c r="G1459" s="116"/>
      <c r="H1459" s="116"/>
    </row>
    <row r="1460" spans="1:28" x14ac:dyDescent="0.2">
      <c r="C1460" s="26" t="s">
        <v>1842</v>
      </c>
      <c r="D1460" s="116" t="s">
        <v>81</v>
      </c>
      <c r="E1460" s="116"/>
      <c r="F1460" s="116"/>
      <c r="G1460" s="116"/>
      <c r="H1460" s="116"/>
    </row>
    <row r="1461" spans="1:28" x14ac:dyDescent="0.2">
      <c r="C1461" s="26" t="s">
        <v>1843</v>
      </c>
      <c r="D1461" s="116" t="s">
        <v>82</v>
      </c>
      <c r="E1461" s="116"/>
      <c r="F1461" s="116"/>
      <c r="G1461" s="116"/>
      <c r="H1461" s="116"/>
    </row>
    <row r="1462" spans="1:28" x14ac:dyDescent="0.2">
      <c r="C1462" s="26" t="s">
        <v>1844</v>
      </c>
      <c r="D1462" s="116" t="s">
        <v>82</v>
      </c>
      <c r="E1462" s="116"/>
      <c r="F1462" s="116"/>
      <c r="G1462" s="116"/>
      <c r="H1462" s="116"/>
    </row>
    <row r="1463" spans="1:28" x14ac:dyDescent="0.2">
      <c r="C1463" s="26" t="s">
        <v>1845</v>
      </c>
      <c r="D1463" s="116" t="s">
        <v>81</v>
      </c>
      <c r="E1463" s="116"/>
      <c r="F1463" s="116"/>
      <c r="G1463" s="116"/>
      <c r="H1463" s="116"/>
    </row>
    <row r="1464" spans="1:28" x14ac:dyDescent="0.2">
      <c r="C1464" s="9" t="s">
        <v>1835</v>
      </c>
      <c r="D1464" s="38"/>
      <c r="E1464" s="38"/>
      <c r="F1464" s="38">
        <f>Source!BZ341</f>
        <v>128</v>
      </c>
      <c r="G1464" s="61">
        <f>(Source!AF341+Source!AE341)*Source!FX341/100</f>
        <v>153.61920000000001</v>
      </c>
      <c r="H1464" s="61">
        <f>Source!X341</f>
        <v>218.68</v>
      </c>
    </row>
    <row r="1465" spans="1:28" x14ac:dyDescent="0.2">
      <c r="C1465" s="9" t="s">
        <v>1836</v>
      </c>
      <c r="D1465" s="38"/>
      <c r="E1465" s="38"/>
      <c r="F1465" s="38"/>
      <c r="G1465" s="38" t="str">
        <f>CONCATENATE(Source!DL341,Source!FT341, "=", Source!FX341, "%")</f>
        <v>*0,9=115,2%</v>
      </c>
      <c r="H1465" s="38" t="str">
        <f>CONCATENATE(Source!AT341)</f>
        <v>115</v>
      </c>
    </row>
    <row r="1466" spans="1:28" x14ac:dyDescent="0.2">
      <c r="C1466" s="9" t="s">
        <v>1837</v>
      </c>
      <c r="D1466" s="38"/>
      <c r="E1466" s="38"/>
      <c r="F1466" s="38">
        <f>Source!CA341</f>
        <v>83</v>
      </c>
      <c r="G1466" s="61">
        <f>(Source!AF341+Source!AE341)*Source!FY341/100</f>
        <v>94.078424999999982</v>
      </c>
      <c r="H1466" s="61">
        <f>Source!Y341</f>
        <v>135.01</v>
      </c>
    </row>
    <row r="1467" spans="1:28" x14ac:dyDescent="0.2">
      <c r="C1467" s="9" t="s">
        <v>1838</v>
      </c>
      <c r="D1467" s="38"/>
      <c r="E1467" s="38"/>
      <c r="F1467" s="38"/>
      <c r="G1467" s="38" t="str">
        <f>CONCATENATE(Source!DM341,Source!FU341, "=", Source!FY341, "%")</f>
        <v>*0,85=70,55%</v>
      </c>
      <c r="H1467" s="38" t="str">
        <f>CONCATENATE(Source!AU341)</f>
        <v>71</v>
      </c>
    </row>
    <row r="1468" spans="1:28" x14ac:dyDescent="0.2">
      <c r="C1468" s="9" t="s">
        <v>1839</v>
      </c>
      <c r="D1468" s="38"/>
      <c r="E1468" s="38"/>
      <c r="F1468" s="38"/>
      <c r="G1468" s="61">
        <f>((Source!AF341+Source!AE341)*Source!FX341/100)+((Source!AF341+Source!AE341)*Source!FY341/100)+Source!AB341</f>
        <v>510.00762499999996</v>
      </c>
      <c r="H1468" s="61">
        <f>Source!O341+Source!X341+Source!Y341</f>
        <v>727.75</v>
      </c>
    </row>
    <row r="1469" spans="1:28" ht="28.5" x14ac:dyDescent="0.2">
      <c r="A1469" s="50">
        <v>204</v>
      </c>
      <c r="B1469" s="50" t="str">
        <f>Source!E342</f>
        <v>103,1</v>
      </c>
      <c r="C1469" s="50" t="str">
        <f>Source!G342</f>
        <v>Поддоны душевые эмалированные стальные (согласно тех. заданию)</v>
      </c>
      <c r="D1469" s="50" t="str">
        <f>Source!F342</f>
        <v>18.2.02.07-0011</v>
      </c>
      <c r="E1469" s="35" t="str">
        <f>Source!H342</f>
        <v>компл.</v>
      </c>
      <c r="F1469" s="12">
        <f>Source!I342</f>
        <v>2</v>
      </c>
      <c r="G1469" s="25">
        <f>Source!AB342</f>
        <v>555.37</v>
      </c>
      <c r="H1469" s="25">
        <f>Source!O342</f>
        <v>7919.58</v>
      </c>
      <c r="T1469">
        <f>Source!O342+Source!X342+Source!Y342</f>
        <v>7919.58</v>
      </c>
      <c r="U1469">
        <f>Source!P342</f>
        <v>7919.58</v>
      </c>
      <c r="V1469">
        <f>Source!S342</f>
        <v>0</v>
      </c>
      <c r="W1469">
        <f>Source!Q342</f>
        <v>0</v>
      </c>
      <c r="X1469">
        <f>Source!R342</f>
        <v>0</v>
      </c>
      <c r="Y1469">
        <f>Source!U342</f>
        <v>0</v>
      </c>
      <c r="Z1469">
        <f>Source!V342</f>
        <v>0</v>
      </c>
      <c r="AA1469">
        <f>Source!X342</f>
        <v>0</v>
      </c>
      <c r="AB1469">
        <f>Source!Y342</f>
        <v>0</v>
      </c>
    </row>
    <row r="1470" spans="1:28" ht="14.25" x14ac:dyDescent="0.2">
      <c r="C1470" s="26" t="s">
        <v>1833</v>
      </c>
      <c r="D1470" s="26">
        <f>Source!BC342</f>
        <v>7.13</v>
      </c>
      <c r="F1470" s="12"/>
      <c r="G1470" s="12"/>
      <c r="H1470" s="12"/>
    </row>
    <row r="1471" spans="1:28" ht="28.5" x14ac:dyDescent="0.2">
      <c r="A1471" s="50">
        <v>205</v>
      </c>
      <c r="B1471" s="50" t="str">
        <f>Source!E343</f>
        <v>104</v>
      </c>
      <c r="C1471" s="50" t="str">
        <f>Source!G343</f>
        <v>Установка унитазов с функцией биде</v>
      </c>
      <c r="D1471" s="50" t="str">
        <f>Source!F343</f>
        <v>17-01-003-03</v>
      </c>
      <c r="E1471" s="35" t="str">
        <f>Source!H343</f>
        <v>10 компл</v>
      </c>
      <c r="F1471" s="12">
        <f>Source!I343</f>
        <v>0.3</v>
      </c>
      <c r="G1471" s="25">
        <f>Source!AB343</f>
        <v>4552.01</v>
      </c>
      <c r="H1471" s="25">
        <f>Source!O343</f>
        <v>9736.75</v>
      </c>
      <c r="T1471">
        <f>Source!O343+Source!X343+Source!Y343</f>
        <v>10737.77</v>
      </c>
      <c r="U1471">
        <f>Source!P343</f>
        <v>9147.2199999999993</v>
      </c>
      <c r="V1471">
        <f>Source!S343</f>
        <v>518.86</v>
      </c>
      <c r="W1471">
        <f>Source!Q343</f>
        <v>70.67</v>
      </c>
      <c r="X1471">
        <f>Source!R343</f>
        <v>19.32</v>
      </c>
      <c r="Y1471">
        <f>Source!U343</f>
        <v>7.652099999999999</v>
      </c>
      <c r="Z1471">
        <f>Source!V343</f>
        <v>0.21374999999999997</v>
      </c>
      <c r="AA1471">
        <f>Source!X343</f>
        <v>618.91</v>
      </c>
      <c r="AB1471">
        <f>Source!Y343</f>
        <v>382.11</v>
      </c>
    </row>
    <row r="1472" spans="1:28" ht="14.25" x14ac:dyDescent="0.2">
      <c r="C1472" s="26" t="str">
        <f>"Объем: "&amp;Source!I343&amp;"=3/"&amp;"10"</f>
        <v>Объем: 0,3=3/10</v>
      </c>
      <c r="F1472" s="12"/>
      <c r="G1472" s="12"/>
      <c r="H1472" s="12"/>
    </row>
    <row r="1473" spans="1:28" x14ac:dyDescent="0.2">
      <c r="C1473" s="26" t="s">
        <v>1831</v>
      </c>
      <c r="D1473" s="26">
        <f>Source!BA343</f>
        <v>7.13</v>
      </c>
    </row>
    <row r="1474" spans="1:28" x14ac:dyDescent="0.2">
      <c r="C1474" s="26" t="s">
        <v>1832</v>
      </c>
      <c r="D1474" s="26">
        <f>Source!BB343</f>
        <v>7.13</v>
      </c>
    </row>
    <row r="1475" spans="1:28" x14ac:dyDescent="0.2">
      <c r="C1475" s="26" t="s">
        <v>1833</v>
      </c>
      <c r="D1475" s="26">
        <f>Source!BC343</f>
        <v>7.13</v>
      </c>
    </row>
    <row r="1476" spans="1:28" x14ac:dyDescent="0.2">
      <c r="C1476" s="26" t="s">
        <v>1834</v>
      </c>
      <c r="D1476" s="26">
        <f>Source!BS343</f>
        <v>7.13</v>
      </c>
    </row>
    <row r="1477" spans="1:28" x14ac:dyDescent="0.2">
      <c r="C1477" s="26" t="s">
        <v>1841</v>
      </c>
      <c r="D1477" s="116" t="s">
        <v>81</v>
      </c>
      <c r="E1477" s="116"/>
      <c r="F1477" s="116"/>
      <c r="G1477" s="116"/>
      <c r="H1477" s="116"/>
    </row>
    <row r="1478" spans="1:28" x14ac:dyDescent="0.2">
      <c r="C1478" s="26" t="s">
        <v>1842</v>
      </c>
      <c r="D1478" s="116" t="s">
        <v>81</v>
      </c>
      <c r="E1478" s="116"/>
      <c r="F1478" s="116"/>
      <c r="G1478" s="116"/>
      <c r="H1478" s="116"/>
    </row>
    <row r="1479" spans="1:28" x14ac:dyDescent="0.2">
      <c r="C1479" s="26" t="s">
        <v>1843</v>
      </c>
      <c r="D1479" s="116" t="s">
        <v>82</v>
      </c>
      <c r="E1479" s="116"/>
      <c r="F1479" s="116"/>
      <c r="G1479" s="116"/>
      <c r="H1479" s="116"/>
    </row>
    <row r="1480" spans="1:28" x14ac:dyDescent="0.2">
      <c r="C1480" s="26" t="s">
        <v>1844</v>
      </c>
      <c r="D1480" s="116" t="s">
        <v>82</v>
      </c>
      <c r="E1480" s="116"/>
      <c r="F1480" s="116"/>
      <c r="G1480" s="116"/>
      <c r="H1480" s="116"/>
    </row>
    <row r="1481" spans="1:28" x14ac:dyDescent="0.2">
      <c r="C1481" s="26" t="s">
        <v>1845</v>
      </c>
      <c r="D1481" s="116" t="s">
        <v>81</v>
      </c>
      <c r="E1481" s="116"/>
      <c r="F1481" s="116"/>
      <c r="G1481" s="116"/>
      <c r="H1481" s="116"/>
    </row>
    <row r="1482" spans="1:28" x14ac:dyDescent="0.2">
      <c r="C1482" s="9" t="s">
        <v>1835</v>
      </c>
      <c r="D1482" s="38"/>
      <c r="E1482" s="38"/>
      <c r="F1482" s="38">
        <f>Source!BZ343</f>
        <v>128</v>
      </c>
      <c r="G1482" s="61">
        <f>(Source!AF343+Source!AE343)*Source!FX343/100</f>
        <v>289.84320000000002</v>
      </c>
      <c r="H1482" s="61">
        <f>Source!X343</f>
        <v>618.91</v>
      </c>
    </row>
    <row r="1483" spans="1:28" x14ac:dyDescent="0.2">
      <c r="C1483" s="9" t="s">
        <v>1836</v>
      </c>
      <c r="D1483" s="38"/>
      <c r="E1483" s="38"/>
      <c r="F1483" s="38"/>
      <c r="G1483" s="38" t="str">
        <f>CONCATENATE(Source!DL343,Source!FT343, "=", Source!FX343, "%")</f>
        <v>*0,9=115,2%</v>
      </c>
      <c r="H1483" s="38" t="str">
        <f>CONCATENATE(Source!AT343)</f>
        <v>115</v>
      </c>
    </row>
    <row r="1484" spans="1:28" x14ac:dyDescent="0.2">
      <c r="C1484" s="9" t="s">
        <v>1837</v>
      </c>
      <c r="D1484" s="38"/>
      <c r="E1484" s="38"/>
      <c r="F1484" s="38">
        <f>Source!CA343</f>
        <v>83</v>
      </c>
      <c r="G1484" s="61">
        <f>(Source!AF343+Source!AE343)*Source!FY343/100</f>
        <v>177.50379999999998</v>
      </c>
      <c r="H1484" s="61">
        <f>Source!Y343</f>
        <v>382.11</v>
      </c>
    </row>
    <row r="1485" spans="1:28" x14ac:dyDescent="0.2">
      <c r="C1485" s="9" t="s">
        <v>1838</v>
      </c>
      <c r="D1485" s="38"/>
      <c r="E1485" s="38"/>
      <c r="F1485" s="38"/>
      <c r="G1485" s="38" t="str">
        <f>CONCATENATE(Source!DM343,Source!FU343, "=", Source!FY343, "%")</f>
        <v>*0,85=70,55%</v>
      </c>
      <c r="H1485" s="38" t="str">
        <f>CONCATENATE(Source!AU343)</f>
        <v>71</v>
      </c>
    </row>
    <row r="1486" spans="1:28" x14ac:dyDescent="0.2">
      <c r="C1486" s="9" t="s">
        <v>1839</v>
      </c>
      <c r="D1486" s="38"/>
      <c r="E1486" s="38"/>
      <c r="F1486" s="38"/>
      <c r="G1486" s="61">
        <f>((Source!AF343+Source!AE343)*Source!FX343/100)+((Source!AF343+Source!AE343)*Source!FY343/100)+Source!AB343</f>
        <v>5019.357</v>
      </c>
      <c r="H1486" s="61">
        <f>Source!O343+Source!X343+Source!Y343</f>
        <v>10737.77</v>
      </c>
    </row>
    <row r="1487" spans="1:28" ht="28.5" x14ac:dyDescent="0.2">
      <c r="A1487" s="50">
        <v>206</v>
      </c>
      <c r="B1487" s="50" t="str">
        <f>Source!E344</f>
        <v>104,1</v>
      </c>
      <c r="C1487" s="50" t="str">
        <f>Source!G344</f>
        <v>Дюбели пластмассовые с шурупами 12х70 мм</v>
      </c>
      <c r="D1487" s="50" t="str">
        <f>Source!F344</f>
        <v>01.7.15.07-0012</v>
      </c>
      <c r="E1487" s="35" t="str">
        <f>Source!H344</f>
        <v>100 шт.</v>
      </c>
      <c r="F1487" s="12">
        <f>Source!I344</f>
        <v>0.06</v>
      </c>
      <c r="G1487" s="25">
        <f>Source!AB344</f>
        <v>83</v>
      </c>
      <c r="H1487" s="25">
        <f>Source!O344</f>
        <v>35.51</v>
      </c>
      <c r="T1487">
        <f>Source!O344+Source!X344+Source!Y344</f>
        <v>35.51</v>
      </c>
      <c r="U1487">
        <f>Source!P344</f>
        <v>35.51</v>
      </c>
      <c r="V1487">
        <f>Source!S344</f>
        <v>0</v>
      </c>
      <c r="W1487">
        <f>Source!Q344</f>
        <v>0</v>
      </c>
      <c r="X1487">
        <f>Source!R344</f>
        <v>0</v>
      </c>
      <c r="Y1487">
        <f>Source!U344</f>
        <v>0</v>
      </c>
      <c r="Z1487">
        <f>Source!V344</f>
        <v>0</v>
      </c>
      <c r="AA1487">
        <f>Source!X344</f>
        <v>0</v>
      </c>
      <c r="AB1487">
        <f>Source!Y344</f>
        <v>0</v>
      </c>
    </row>
    <row r="1488" spans="1:28" ht="14.25" x14ac:dyDescent="0.2">
      <c r="C1488" s="26" t="s">
        <v>1833</v>
      </c>
      <c r="D1488" s="26">
        <f>Source!BC344</f>
        <v>7.13</v>
      </c>
      <c r="F1488" s="12"/>
      <c r="G1488" s="12"/>
      <c r="H1488" s="12"/>
    </row>
    <row r="1489" spans="1:28" ht="28.5" x14ac:dyDescent="0.2">
      <c r="A1489" s="50">
        <v>207</v>
      </c>
      <c r="B1489" s="50" t="str">
        <f>Source!E345</f>
        <v>104,2</v>
      </c>
      <c r="C1489" s="50" t="str">
        <f>Source!G345</f>
        <v>Манжеты резиновые</v>
      </c>
      <c r="D1489" s="50" t="str">
        <f>Source!F345</f>
        <v>01.7.19.03-0011</v>
      </c>
      <c r="E1489" s="35" t="str">
        <f>Source!H345</f>
        <v>шт.</v>
      </c>
      <c r="F1489" s="12">
        <f>Source!I345</f>
        <v>3</v>
      </c>
      <c r="G1489" s="25">
        <f>Source!AB345</f>
        <v>10</v>
      </c>
      <c r="H1489" s="25">
        <f>Source!O345</f>
        <v>213.9</v>
      </c>
      <c r="T1489">
        <f>Source!O345+Source!X345+Source!Y345</f>
        <v>213.9</v>
      </c>
      <c r="U1489">
        <f>Source!P345</f>
        <v>213.9</v>
      </c>
      <c r="V1489">
        <f>Source!S345</f>
        <v>0</v>
      </c>
      <c r="W1489">
        <f>Source!Q345</f>
        <v>0</v>
      </c>
      <c r="X1489">
        <f>Source!R345</f>
        <v>0</v>
      </c>
      <c r="Y1489">
        <f>Source!U345</f>
        <v>0</v>
      </c>
      <c r="Z1489">
        <f>Source!V345</f>
        <v>0</v>
      </c>
      <c r="AA1489">
        <f>Source!X345</f>
        <v>0</v>
      </c>
      <c r="AB1489">
        <f>Source!Y345</f>
        <v>0</v>
      </c>
    </row>
    <row r="1490" spans="1:28" ht="14.25" x14ac:dyDescent="0.2">
      <c r="C1490" s="26" t="s">
        <v>1833</v>
      </c>
      <c r="D1490" s="26">
        <f>Source!BC345</f>
        <v>7.13</v>
      </c>
      <c r="F1490" s="12"/>
      <c r="G1490" s="12"/>
      <c r="H1490" s="12"/>
    </row>
    <row r="1491" spans="1:28" ht="28.5" x14ac:dyDescent="0.2">
      <c r="A1491" s="50">
        <v>208</v>
      </c>
      <c r="B1491" s="50" t="str">
        <f>Source!E346</f>
        <v>104,3</v>
      </c>
      <c r="C1491" s="50" t="str">
        <f>Source!G346</f>
        <v>Унитаз-компакт с функцией  марка Vitra Grand (9763D003)</v>
      </c>
      <c r="D1491" s="50" t="str">
        <f>Source!F346</f>
        <v>18.2.01.06-0001</v>
      </c>
      <c r="E1491" s="35" t="str">
        <f>Source!H346</f>
        <v>компл.</v>
      </c>
      <c r="F1491" s="12">
        <f>Source!I346</f>
        <v>3</v>
      </c>
      <c r="G1491" s="25">
        <f>Source!AB346</f>
        <v>318</v>
      </c>
      <c r="H1491" s="25">
        <f>Source!O346</f>
        <v>6802.02</v>
      </c>
      <c r="T1491">
        <f>Source!O346+Source!X346+Source!Y346</f>
        <v>6802.02</v>
      </c>
      <c r="U1491">
        <f>Source!P346</f>
        <v>6802.02</v>
      </c>
      <c r="V1491">
        <f>Source!S346</f>
        <v>0</v>
      </c>
      <c r="W1491">
        <f>Source!Q346</f>
        <v>0</v>
      </c>
      <c r="X1491">
        <f>Source!R346</f>
        <v>0</v>
      </c>
      <c r="Y1491">
        <f>Source!U346</f>
        <v>0</v>
      </c>
      <c r="Z1491">
        <f>Source!V346</f>
        <v>0</v>
      </c>
      <c r="AA1491">
        <f>Source!X346</f>
        <v>0</v>
      </c>
      <c r="AB1491">
        <f>Source!Y346</f>
        <v>0</v>
      </c>
    </row>
    <row r="1492" spans="1:28" ht="14.25" x14ac:dyDescent="0.2">
      <c r="C1492" s="26" t="s">
        <v>1833</v>
      </c>
      <c r="D1492" s="26">
        <f>Source!BC346</f>
        <v>7.13</v>
      </c>
      <c r="F1492" s="12"/>
      <c r="G1492" s="12"/>
      <c r="H1492" s="12"/>
    </row>
    <row r="1493" spans="1:28" ht="28.5" x14ac:dyDescent="0.2">
      <c r="A1493" s="50">
        <v>209</v>
      </c>
      <c r="B1493" s="50" t="str">
        <f>Source!E347</f>
        <v>105</v>
      </c>
      <c r="C1493" s="50" t="str">
        <f>Source!G347</f>
        <v>Установка моек на одно отделение</v>
      </c>
      <c r="D1493" s="50" t="str">
        <f>Source!F347</f>
        <v>17-01-005-01</v>
      </c>
      <c r="E1493" s="35" t="str">
        <f>Source!H347</f>
        <v>10 компл</v>
      </c>
      <c r="F1493" s="12">
        <f>Source!I347</f>
        <v>0.3</v>
      </c>
      <c r="G1493" s="25">
        <f>Source!AB347</f>
        <v>261.36</v>
      </c>
      <c r="H1493" s="25">
        <f>Source!O347</f>
        <v>559.04</v>
      </c>
      <c r="T1493">
        <f>Source!O347+Source!X347+Source!Y347</f>
        <v>1338.2</v>
      </c>
      <c r="U1493">
        <f>Source!P347</f>
        <v>113.73</v>
      </c>
      <c r="V1493">
        <f>Source!S347</f>
        <v>409.85</v>
      </c>
      <c r="W1493">
        <f>Source!Q347</f>
        <v>35.46</v>
      </c>
      <c r="X1493">
        <f>Source!R347</f>
        <v>9.0500000000000007</v>
      </c>
      <c r="Y1493">
        <f>Source!U347</f>
        <v>5.9753999999999996</v>
      </c>
      <c r="Z1493">
        <f>Source!V347</f>
        <v>0.10125000000000001</v>
      </c>
      <c r="AA1493">
        <f>Source!X347</f>
        <v>481.74</v>
      </c>
      <c r="AB1493">
        <f>Source!Y347</f>
        <v>297.42</v>
      </c>
    </row>
    <row r="1494" spans="1:28" ht="14.25" x14ac:dyDescent="0.2">
      <c r="C1494" s="26" t="str">
        <f>"Объем: "&amp;Source!I347&amp;"=3/"&amp;"10"</f>
        <v>Объем: 0,3=3/10</v>
      </c>
      <c r="F1494" s="12"/>
      <c r="G1494" s="12"/>
      <c r="H1494" s="12"/>
    </row>
    <row r="1495" spans="1:28" x14ac:dyDescent="0.2">
      <c r="C1495" s="26" t="s">
        <v>1831</v>
      </c>
      <c r="D1495" s="26">
        <f>Source!BA347</f>
        <v>7.13</v>
      </c>
    </row>
    <row r="1496" spans="1:28" x14ac:dyDescent="0.2">
      <c r="C1496" s="26" t="s">
        <v>1832</v>
      </c>
      <c r="D1496" s="26">
        <f>Source!BB347</f>
        <v>7.13</v>
      </c>
    </row>
    <row r="1497" spans="1:28" x14ac:dyDescent="0.2">
      <c r="C1497" s="26" t="s">
        <v>1833</v>
      </c>
      <c r="D1497" s="26">
        <f>Source!BC347</f>
        <v>7.13</v>
      </c>
    </row>
    <row r="1498" spans="1:28" x14ac:dyDescent="0.2">
      <c r="C1498" s="26" t="s">
        <v>1834</v>
      </c>
      <c r="D1498" s="26">
        <f>Source!BS347</f>
        <v>7.13</v>
      </c>
    </row>
    <row r="1499" spans="1:28" x14ac:dyDescent="0.2">
      <c r="C1499" s="26" t="s">
        <v>1841</v>
      </c>
      <c r="D1499" s="116" t="s">
        <v>81</v>
      </c>
      <c r="E1499" s="116"/>
      <c r="F1499" s="116"/>
      <c r="G1499" s="116"/>
      <c r="H1499" s="116"/>
    </row>
    <row r="1500" spans="1:28" x14ac:dyDescent="0.2">
      <c r="C1500" s="26" t="s">
        <v>1842</v>
      </c>
      <c r="D1500" s="116" t="s">
        <v>81</v>
      </c>
      <c r="E1500" s="116"/>
      <c r="F1500" s="116"/>
      <c r="G1500" s="116"/>
      <c r="H1500" s="116"/>
    </row>
    <row r="1501" spans="1:28" x14ac:dyDescent="0.2">
      <c r="C1501" s="26" t="s">
        <v>1843</v>
      </c>
      <c r="D1501" s="116" t="s">
        <v>82</v>
      </c>
      <c r="E1501" s="116"/>
      <c r="F1501" s="116"/>
      <c r="G1501" s="116"/>
      <c r="H1501" s="116"/>
    </row>
    <row r="1502" spans="1:28" x14ac:dyDescent="0.2">
      <c r="C1502" s="26" t="s">
        <v>1844</v>
      </c>
      <c r="D1502" s="116" t="s">
        <v>82</v>
      </c>
      <c r="E1502" s="116"/>
      <c r="F1502" s="116"/>
      <c r="G1502" s="116"/>
      <c r="H1502" s="116"/>
    </row>
    <row r="1503" spans="1:28" x14ac:dyDescent="0.2">
      <c r="C1503" s="26" t="s">
        <v>1845</v>
      </c>
      <c r="D1503" s="116" t="s">
        <v>81</v>
      </c>
      <c r="E1503" s="116"/>
      <c r="F1503" s="116"/>
      <c r="G1503" s="116"/>
      <c r="H1503" s="116"/>
    </row>
    <row r="1504" spans="1:28" x14ac:dyDescent="0.2">
      <c r="C1504" s="9" t="s">
        <v>1835</v>
      </c>
      <c r="D1504" s="38"/>
      <c r="E1504" s="38"/>
      <c r="F1504" s="38">
        <f>Source!BZ347</f>
        <v>128</v>
      </c>
      <c r="G1504" s="61">
        <f>(Source!AF347+Source!AE347)*Source!FX347/100</f>
        <v>225.60767999999999</v>
      </c>
      <c r="H1504" s="61">
        <f>Source!X347</f>
        <v>481.74</v>
      </c>
    </row>
    <row r="1505" spans="1:28" x14ac:dyDescent="0.2">
      <c r="C1505" s="9" t="s">
        <v>1836</v>
      </c>
      <c r="D1505" s="38"/>
      <c r="E1505" s="38"/>
      <c r="F1505" s="38"/>
      <c r="G1505" s="38" t="str">
        <f>CONCATENATE(Source!DL347,Source!FT347, "=", Source!FX347, "%")</f>
        <v>*0,9=115,2%</v>
      </c>
      <c r="H1505" s="38" t="str">
        <f>CONCATENATE(Source!AT347)</f>
        <v>115</v>
      </c>
    </row>
    <row r="1506" spans="1:28" x14ac:dyDescent="0.2">
      <c r="C1506" s="9" t="s">
        <v>1837</v>
      </c>
      <c r="D1506" s="38"/>
      <c r="E1506" s="38"/>
      <c r="F1506" s="38">
        <f>Source!CA347</f>
        <v>83</v>
      </c>
      <c r="G1506" s="61">
        <f>(Source!AF347+Source!AE347)*Source!FY347/100</f>
        <v>138.16512</v>
      </c>
      <c r="H1506" s="61">
        <f>Source!Y347</f>
        <v>297.42</v>
      </c>
    </row>
    <row r="1507" spans="1:28" x14ac:dyDescent="0.2">
      <c r="C1507" s="9" t="s">
        <v>1838</v>
      </c>
      <c r="D1507" s="38"/>
      <c r="E1507" s="38"/>
      <c r="F1507" s="38"/>
      <c r="G1507" s="38" t="str">
        <f>CONCATENATE(Source!DM347,Source!FU347, "=", Source!FY347, "%")</f>
        <v>*0,85=70,55%</v>
      </c>
      <c r="H1507" s="38" t="str">
        <f>CONCATENATE(Source!AU347)</f>
        <v>71</v>
      </c>
    </row>
    <row r="1508" spans="1:28" x14ac:dyDescent="0.2">
      <c r="C1508" s="9" t="s">
        <v>1839</v>
      </c>
      <c r="D1508" s="38"/>
      <c r="E1508" s="38"/>
      <c r="F1508" s="38"/>
      <c r="G1508" s="61">
        <f>((Source!AF347+Source!AE347)*Source!FX347/100)+((Source!AF347+Source!AE347)*Source!FY347/100)+Source!AB347</f>
        <v>625.13279999999997</v>
      </c>
      <c r="H1508" s="61">
        <f>Source!O347+Source!X347+Source!Y347</f>
        <v>1338.2</v>
      </c>
    </row>
    <row r="1509" spans="1:28" ht="57" x14ac:dyDescent="0.2">
      <c r="A1509" s="50">
        <v>210</v>
      </c>
      <c r="B1509" s="50" t="str">
        <f>Source!E348</f>
        <v>105,1</v>
      </c>
      <c r="C1509" s="50" t="str">
        <f>Source!G348</f>
        <v>Мойки стальные эмалированные на одно отделение с одной чашей  с креплениями МСК  в комплекте с сифоном (согласно тех. заданию)</v>
      </c>
      <c r="D1509" s="50" t="str">
        <f>Source!F348</f>
        <v>18.2.02.05-0005</v>
      </c>
      <c r="E1509" s="35" t="str">
        <f>Source!H348</f>
        <v>компл.</v>
      </c>
      <c r="F1509" s="12">
        <f>Source!I348</f>
        <v>3</v>
      </c>
      <c r="G1509" s="25">
        <f>Source!AB348</f>
        <v>280</v>
      </c>
      <c r="H1509" s="25">
        <f>Source!O348</f>
        <v>5989.2</v>
      </c>
      <c r="T1509">
        <f>Source!O348+Source!X348+Source!Y348</f>
        <v>5989.2</v>
      </c>
      <c r="U1509">
        <f>Source!P348</f>
        <v>5989.2</v>
      </c>
      <c r="V1509">
        <f>Source!S348</f>
        <v>0</v>
      </c>
      <c r="W1509">
        <f>Source!Q348</f>
        <v>0</v>
      </c>
      <c r="X1509">
        <f>Source!R348</f>
        <v>0</v>
      </c>
      <c r="Y1509">
        <f>Source!U348</f>
        <v>0</v>
      </c>
      <c r="Z1509">
        <f>Source!V348</f>
        <v>0</v>
      </c>
      <c r="AA1509">
        <f>Source!X348</f>
        <v>0</v>
      </c>
      <c r="AB1509">
        <f>Source!Y348</f>
        <v>0</v>
      </c>
    </row>
    <row r="1510" spans="1:28" ht="14.25" x14ac:dyDescent="0.2">
      <c r="C1510" s="26" t="s">
        <v>1833</v>
      </c>
      <c r="D1510" s="26">
        <f>Source!BC348</f>
        <v>7.13</v>
      </c>
      <c r="F1510" s="12"/>
      <c r="G1510" s="12"/>
      <c r="H1510" s="12"/>
    </row>
    <row r="1511" spans="1:28" ht="28.5" x14ac:dyDescent="0.2">
      <c r="A1511" s="50">
        <v>211</v>
      </c>
      <c r="B1511" s="50" t="str">
        <f>Source!E349</f>
        <v>106</v>
      </c>
      <c r="C1511" s="50" t="str">
        <f>Source!G349</f>
        <v>Установка раковин</v>
      </c>
      <c r="D1511" s="50" t="str">
        <f>Source!F349</f>
        <v>17-01-005-04</v>
      </c>
      <c r="E1511" s="35" t="str">
        <f>Source!H349</f>
        <v>10 компл</v>
      </c>
      <c r="F1511" s="12">
        <f>Source!I349</f>
        <v>0.5</v>
      </c>
      <c r="G1511" s="25">
        <f>Source!AB349</f>
        <v>169.59</v>
      </c>
      <c r="H1511" s="25">
        <f>Source!O349</f>
        <v>604.59</v>
      </c>
      <c r="T1511">
        <f>Source!O349+Source!X349+Source!Y349</f>
        <v>1285.3200000000002</v>
      </c>
      <c r="U1511">
        <f>Source!P349</f>
        <v>199.28</v>
      </c>
      <c r="V1511">
        <f>Source!S349</f>
        <v>354.54</v>
      </c>
      <c r="W1511">
        <f>Source!Q349</f>
        <v>50.77</v>
      </c>
      <c r="X1511">
        <f>Source!R349</f>
        <v>11.44</v>
      </c>
      <c r="Y1511">
        <f>Source!U349</f>
        <v>5.1692499999999999</v>
      </c>
      <c r="Z1511">
        <f>Source!V349</f>
        <v>0.13125000000000001</v>
      </c>
      <c r="AA1511">
        <f>Source!X349</f>
        <v>420.88</v>
      </c>
      <c r="AB1511">
        <f>Source!Y349</f>
        <v>259.85000000000002</v>
      </c>
    </row>
    <row r="1512" spans="1:28" ht="14.25" x14ac:dyDescent="0.2">
      <c r="C1512" s="26" t="str">
        <f>"Объем: "&amp;Source!I349&amp;"=5/"&amp;"10"</f>
        <v>Объем: 0,5=5/10</v>
      </c>
      <c r="F1512" s="12"/>
      <c r="G1512" s="12"/>
      <c r="H1512" s="12"/>
    </row>
    <row r="1513" spans="1:28" x14ac:dyDescent="0.2">
      <c r="C1513" s="26" t="s">
        <v>1831</v>
      </c>
      <c r="D1513" s="26">
        <f>Source!BA349</f>
        <v>7.13</v>
      </c>
    </row>
    <row r="1514" spans="1:28" x14ac:dyDescent="0.2">
      <c r="C1514" s="26" t="s">
        <v>1832</v>
      </c>
      <c r="D1514" s="26">
        <f>Source!BB349</f>
        <v>7.13</v>
      </c>
    </row>
    <row r="1515" spans="1:28" x14ac:dyDescent="0.2">
      <c r="C1515" s="26" t="s">
        <v>1833</v>
      </c>
      <c r="D1515" s="26">
        <f>Source!BC349</f>
        <v>7.13</v>
      </c>
    </row>
    <row r="1516" spans="1:28" x14ac:dyDescent="0.2">
      <c r="C1516" s="26" t="s">
        <v>1834</v>
      </c>
      <c r="D1516" s="26">
        <f>Source!BS349</f>
        <v>7.13</v>
      </c>
    </row>
    <row r="1517" spans="1:28" x14ac:dyDescent="0.2">
      <c r="C1517" s="26" t="s">
        <v>1841</v>
      </c>
      <c r="D1517" s="116" t="s">
        <v>81</v>
      </c>
      <c r="E1517" s="116"/>
      <c r="F1517" s="116"/>
      <c r="G1517" s="116"/>
      <c r="H1517" s="116"/>
    </row>
    <row r="1518" spans="1:28" x14ac:dyDescent="0.2">
      <c r="C1518" s="26" t="s">
        <v>1842</v>
      </c>
      <c r="D1518" s="116" t="s">
        <v>81</v>
      </c>
      <c r="E1518" s="116"/>
      <c r="F1518" s="116"/>
      <c r="G1518" s="116"/>
      <c r="H1518" s="116"/>
    </row>
    <row r="1519" spans="1:28" x14ac:dyDescent="0.2">
      <c r="C1519" s="26" t="s">
        <v>1843</v>
      </c>
      <c r="D1519" s="116" t="s">
        <v>82</v>
      </c>
      <c r="E1519" s="116"/>
      <c r="F1519" s="116"/>
      <c r="G1519" s="116"/>
      <c r="H1519" s="116"/>
    </row>
    <row r="1520" spans="1:28" x14ac:dyDescent="0.2">
      <c r="C1520" s="26" t="s">
        <v>1844</v>
      </c>
      <c r="D1520" s="116" t="s">
        <v>82</v>
      </c>
      <c r="E1520" s="116"/>
      <c r="F1520" s="116"/>
      <c r="G1520" s="116"/>
      <c r="H1520" s="116"/>
    </row>
    <row r="1521" spans="1:28" x14ac:dyDescent="0.2">
      <c r="C1521" s="26" t="s">
        <v>1845</v>
      </c>
      <c r="D1521" s="116" t="s">
        <v>81</v>
      </c>
      <c r="E1521" s="116"/>
      <c r="F1521" s="116"/>
      <c r="G1521" s="116"/>
      <c r="H1521" s="116"/>
    </row>
    <row r="1522" spans="1:28" x14ac:dyDescent="0.2">
      <c r="C1522" s="9" t="s">
        <v>1835</v>
      </c>
      <c r="D1522" s="38"/>
      <c r="E1522" s="38"/>
      <c r="F1522" s="38">
        <f>Source!BZ349</f>
        <v>128</v>
      </c>
      <c r="G1522" s="61">
        <f>(Source!AF349+Source!AE349)*Source!FX349/100</f>
        <v>118.26432000000001</v>
      </c>
      <c r="H1522" s="61">
        <f>Source!X349</f>
        <v>420.88</v>
      </c>
    </row>
    <row r="1523" spans="1:28" x14ac:dyDescent="0.2">
      <c r="C1523" s="9" t="s">
        <v>1836</v>
      </c>
      <c r="D1523" s="38"/>
      <c r="E1523" s="38"/>
      <c r="F1523" s="38"/>
      <c r="G1523" s="38" t="str">
        <f>CONCATENATE(Source!DL349,Source!FT349, "=", Source!FX349, "%")</f>
        <v>*0,9=115,2%</v>
      </c>
      <c r="H1523" s="38" t="str">
        <f>CONCATENATE(Source!AT349)</f>
        <v>115</v>
      </c>
    </row>
    <row r="1524" spans="1:28" x14ac:dyDescent="0.2">
      <c r="C1524" s="9" t="s">
        <v>1837</v>
      </c>
      <c r="D1524" s="38"/>
      <c r="E1524" s="38"/>
      <c r="F1524" s="38">
        <f>Source!CA349</f>
        <v>83</v>
      </c>
      <c r="G1524" s="61">
        <f>(Source!AF349+Source!AE349)*Source!FY349/100</f>
        <v>72.426629999999989</v>
      </c>
      <c r="H1524" s="61">
        <f>Source!Y349</f>
        <v>259.85000000000002</v>
      </c>
    </row>
    <row r="1525" spans="1:28" x14ac:dyDescent="0.2">
      <c r="C1525" s="9" t="s">
        <v>1838</v>
      </c>
      <c r="D1525" s="38"/>
      <c r="E1525" s="38"/>
      <c r="F1525" s="38"/>
      <c r="G1525" s="38" t="str">
        <f>CONCATENATE(Source!DM349,Source!FU349, "=", Source!FY349, "%")</f>
        <v>*0,85=70,55%</v>
      </c>
      <c r="H1525" s="38" t="str">
        <f>CONCATENATE(Source!AU349)</f>
        <v>71</v>
      </c>
    </row>
    <row r="1526" spans="1:28" x14ac:dyDescent="0.2">
      <c r="C1526" s="9" t="s">
        <v>1839</v>
      </c>
      <c r="D1526" s="38"/>
      <c r="E1526" s="38"/>
      <c r="F1526" s="38"/>
      <c r="G1526" s="61">
        <f>((Source!AF349+Source!AE349)*Source!FX349/100)+((Source!AF349+Source!AE349)*Source!FY349/100)+Source!AB349</f>
        <v>360.28094999999996</v>
      </c>
      <c r="H1526" s="61">
        <f>Source!O349+Source!X349+Source!Y349</f>
        <v>1285.3200000000002</v>
      </c>
    </row>
    <row r="1527" spans="1:28" ht="28.5" x14ac:dyDescent="0.2">
      <c r="A1527" s="50">
        <v>212</v>
      </c>
      <c r="B1527" s="50" t="str">
        <f>Source!E350</f>
        <v>106,1</v>
      </c>
      <c r="C1527" s="50" t="str">
        <f>Source!G350</f>
        <v>Подстолье под раковину</v>
      </c>
      <c r="D1527" s="50" t="str">
        <f>Source!F350</f>
        <v>11.2.04.06-0071</v>
      </c>
      <c r="E1527" s="35" t="str">
        <f>Source!H350</f>
        <v>шт.</v>
      </c>
      <c r="F1527" s="12">
        <f>Source!I350</f>
        <v>5</v>
      </c>
      <c r="G1527" s="25">
        <f>Source!AB350</f>
        <v>460.67</v>
      </c>
      <c r="H1527" s="25">
        <f>Source!O350</f>
        <v>16422.89</v>
      </c>
      <c r="T1527">
        <f>Source!O350+Source!X350+Source!Y350</f>
        <v>16422.89</v>
      </c>
      <c r="U1527">
        <f>Source!P350</f>
        <v>16422.89</v>
      </c>
      <c r="V1527">
        <f>Source!S350</f>
        <v>0</v>
      </c>
      <c r="W1527">
        <f>Source!Q350</f>
        <v>0</v>
      </c>
      <c r="X1527">
        <f>Source!R350</f>
        <v>0</v>
      </c>
      <c r="Y1527">
        <f>Source!U350</f>
        <v>0</v>
      </c>
      <c r="Z1527">
        <f>Source!V350</f>
        <v>0</v>
      </c>
      <c r="AA1527">
        <f>Source!X350</f>
        <v>0</v>
      </c>
      <c r="AB1527">
        <f>Source!Y350</f>
        <v>0</v>
      </c>
    </row>
    <row r="1528" spans="1:28" ht="14.25" x14ac:dyDescent="0.2">
      <c r="C1528" s="26" t="s">
        <v>1833</v>
      </c>
      <c r="D1528" s="26">
        <f>Source!BC350</f>
        <v>7.13</v>
      </c>
      <c r="F1528" s="12"/>
      <c r="G1528" s="12"/>
      <c r="H1528" s="12"/>
    </row>
    <row r="1529" spans="1:28" ht="28.5" x14ac:dyDescent="0.2">
      <c r="A1529" s="50">
        <v>213</v>
      </c>
      <c r="B1529" s="50" t="str">
        <f>Source!E351</f>
        <v>106,2</v>
      </c>
      <c r="C1529" s="50" t="str">
        <f>Source!G351</f>
        <v>Дюбели пластмассовые с шурупами 12х70 мм</v>
      </c>
      <c r="D1529" s="50" t="str">
        <f>Source!F351</f>
        <v>01.7.15.07-0012</v>
      </c>
      <c r="E1529" s="35" t="str">
        <f>Source!H351</f>
        <v>100 шт.</v>
      </c>
      <c r="F1529" s="12">
        <f>Source!I351</f>
        <v>0.2</v>
      </c>
      <c r="G1529" s="25">
        <f>Source!AB351</f>
        <v>83</v>
      </c>
      <c r="H1529" s="25">
        <f>Source!O351</f>
        <v>118.36</v>
      </c>
      <c r="T1529">
        <f>Source!O351+Source!X351+Source!Y351</f>
        <v>118.36</v>
      </c>
      <c r="U1529">
        <f>Source!P351</f>
        <v>118.36</v>
      </c>
      <c r="V1529">
        <f>Source!S351</f>
        <v>0</v>
      </c>
      <c r="W1529">
        <f>Source!Q351</f>
        <v>0</v>
      </c>
      <c r="X1529">
        <f>Source!R351</f>
        <v>0</v>
      </c>
      <c r="Y1529">
        <f>Source!U351</f>
        <v>0</v>
      </c>
      <c r="Z1529">
        <f>Source!V351</f>
        <v>0</v>
      </c>
      <c r="AA1529">
        <f>Source!X351</f>
        <v>0</v>
      </c>
      <c r="AB1529">
        <f>Source!Y351</f>
        <v>0</v>
      </c>
    </row>
    <row r="1530" spans="1:28" ht="14.25" x14ac:dyDescent="0.2">
      <c r="C1530" s="26" t="s">
        <v>1833</v>
      </c>
      <c r="D1530" s="26">
        <f>Source!BC351</f>
        <v>7.13</v>
      </c>
      <c r="F1530" s="12"/>
      <c r="G1530" s="12"/>
      <c r="H1530" s="12"/>
    </row>
    <row r="1531" spans="1:28" ht="42.75" x14ac:dyDescent="0.2">
      <c r="A1531" s="50">
        <v>214</v>
      </c>
      <c r="B1531" s="50" t="str">
        <f>Source!E352</f>
        <v>107</v>
      </c>
      <c r="C1531" s="50" t="str">
        <f>Source!G352</f>
        <v>Установка гарнитуры туалетной: вешалок, подстаканников, поручней для ванн и т.д.</v>
      </c>
      <c r="D1531" s="50" t="str">
        <f>Source!F352</f>
        <v>17-01-002-04</v>
      </c>
      <c r="E1531" s="35" t="str">
        <f>Source!H352</f>
        <v>10 ШТ</v>
      </c>
      <c r="F1531" s="12">
        <f>Source!I352</f>
        <v>0.4</v>
      </c>
      <c r="G1531" s="25">
        <f>Source!AB352</f>
        <v>31.58</v>
      </c>
      <c r="H1531" s="25">
        <f>Source!O352</f>
        <v>90.06</v>
      </c>
      <c r="T1531">
        <f>Source!O352+Source!X352+Source!Y352</f>
        <v>254.39</v>
      </c>
      <c r="U1531">
        <f>Source!P352</f>
        <v>1.71</v>
      </c>
      <c r="V1531">
        <f>Source!S352</f>
        <v>88.35</v>
      </c>
      <c r="W1531">
        <f>Source!Q352</f>
        <v>0</v>
      </c>
      <c r="X1531">
        <f>Source!R352</f>
        <v>0</v>
      </c>
      <c r="Y1531">
        <f>Source!U352</f>
        <v>1.288</v>
      </c>
      <c r="Z1531">
        <f>Source!V352</f>
        <v>0</v>
      </c>
      <c r="AA1531">
        <f>Source!X352</f>
        <v>101.6</v>
      </c>
      <c r="AB1531">
        <f>Source!Y352</f>
        <v>62.73</v>
      </c>
    </row>
    <row r="1532" spans="1:28" ht="14.25" x14ac:dyDescent="0.2">
      <c r="C1532" s="26" t="str">
        <f>"Объем: "&amp;Source!I352&amp;"=4/"&amp;"10"</f>
        <v>Объем: 0,4=4/10</v>
      </c>
      <c r="F1532" s="12"/>
      <c r="G1532" s="12"/>
      <c r="H1532" s="12"/>
    </row>
    <row r="1533" spans="1:28" x14ac:dyDescent="0.2">
      <c r="C1533" s="26" t="s">
        <v>1831</v>
      </c>
      <c r="D1533" s="26">
        <f>Source!BA352</f>
        <v>7.13</v>
      </c>
    </row>
    <row r="1534" spans="1:28" x14ac:dyDescent="0.2">
      <c r="C1534" s="26" t="s">
        <v>1832</v>
      </c>
      <c r="D1534" s="26">
        <f>Source!BB352</f>
        <v>7.13</v>
      </c>
    </row>
    <row r="1535" spans="1:28" x14ac:dyDescent="0.2">
      <c r="C1535" s="26" t="s">
        <v>1833</v>
      </c>
      <c r="D1535" s="26">
        <f>Source!BC352</f>
        <v>7.13</v>
      </c>
    </row>
    <row r="1536" spans="1:28" x14ac:dyDescent="0.2">
      <c r="C1536" s="26" t="s">
        <v>1834</v>
      </c>
      <c r="D1536" s="26">
        <f>Source!BS352</f>
        <v>7.13</v>
      </c>
    </row>
    <row r="1537" spans="1:28" x14ac:dyDescent="0.2">
      <c r="C1537" s="26" t="s">
        <v>1841</v>
      </c>
      <c r="D1537" s="116" t="s">
        <v>81</v>
      </c>
      <c r="E1537" s="116"/>
      <c r="F1537" s="116"/>
      <c r="G1537" s="116"/>
      <c r="H1537" s="116"/>
    </row>
    <row r="1538" spans="1:28" x14ac:dyDescent="0.2">
      <c r="C1538" s="26" t="s">
        <v>1842</v>
      </c>
      <c r="D1538" s="116" t="s">
        <v>81</v>
      </c>
      <c r="E1538" s="116"/>
      <c r="F1538" s="116"/>
      <c r="G1538" s="116"/>
      <c r="H1538" s="116"/>
    </row>
    <row r="1539" spans="1:28" x14ac:dyDescent="0.2">
      <c r="C1539" s="26" t="s">
        <v>1843</v>
      </c>
      <c r="D1539" s="116" t="s">
        <v>82</v>
      </c>
      <c r="E1539" s="116"/>
      <c r="F1539" s="116"/>
      <c r="G1539" s="116"/>
      <c r="H1539" s="116"/>
    </row>
    <row r="1540" spans="1:28" x14ac:dyDescent="0.2">
      <c r="C1540" s="26" t="s">
        <v>1844</v>
      </c>
      <c r="D1540" s="116" t="s">
        <v>82</v>
      </c>
      <c r="E1540" s="116"/>
      <c r="F1540" s="116"/>
      <c r="G1540" s="116"/>
      <c r="H1540" s="116"/>
    </row>
    <row r="1541" spans="1:28" x14ac:dyDescent="0.2">
      <c r="C1541" s="26" t="s">
        <v>1845</v>
      </c>
      <c r="D1541" s="116" t="s">
        <v>81</v>
      </c>
      <c r="E1541" s="116"/>
      <c r="F1541" s="116"/>
      <c r="G1541" s="116"/>
      <c r="H1541" s="116"/>
    </row>
    <row r="1542" spans="1:28" x14ac:dyDescent="0.2">
      <c r="C1542" s="9" t="s">
        <v>1835</v>
      </c>
      <c r="D1542" s="38"/>
      <c r="E1542" s="38"/>
      <c r="F1542" s="38">
        <f>Source!BZ352</f>
        <v>128</v>
      </c>
      <c r="G1542" s="61">
        <f>(Source!AF352+Source!AE352)*Source!FX352/100</f>
        <v>35.688960000000002</v>
      </c>
      <c r="H1542" s="61">
        <f>Source!X352</f>
        <v>101.6</v>
      </c>
    </row>
    <row r="1543" spans="1:28" x14ac:dyDescent="0.2">
      <c r="C1543" s="9" t="s">
        <v>1836</v>
      </c>
      <c r="D1543" s="38"/>
      <c r="E1543" s="38"/>
      <c r="F1543" s="38"/>
      <c r="G1543" s="38" t="str">
        <f>CONCATENATE(Source!DL352,Source!FT352, "=", Source!FX352, "%")</f>
        <v>*0,9=115,2%</v>
      </c>
      <c r="H1543" s="38" t="str">
        <f>CONCATENATE(Source!AT352)</f>
        <v>115</v>
      </c>
    </row>
    <row r="1544" spans="1:28" x14ac:dyDescent="0.2">
      <c r="C1544" s="9" t="s">
        <v>1837</v>
      </c>
      <c r="D1544" s="38"/>
      <c r="E1544" s="38"/>
      <c r="F1544" s="38">
        <f>Source!CA352</f>
        <v>83</v>
      </c>
      <c r="G1544" s="61">
        <f>(Source!AF352+Source!AE352)*Source!FY352/100</f>
        <v>21.856390000000001</v>
      </c>
      <c r="H1544" s="61">
        <f>Source!Y352</f>
        <v>62.73</v>
      </c>
    </row>
    <row r="1545" spans="1:28" x14ac:dyDescent="0.2">
      <c r="C1545" s="9" t="s">
        <v>1838</v>
      </c>
      <c r="D1545" s="38"/>
      <c r="E1545" s="38"/>
      <c r="F1545" s="38"/>
      <c r="G1545" s="38" t="str">
        <f>CONCATENATE(Source!DM352,Source!FU352, "=", Source!FY352, "%")</f>
        <v>*0,85=70,55%</v>
      </c>
      <c r="H1545" s="38" t="str">
        <f>CONCATENATE(Source!AU352)</f>
        <v>71</v>
      </c>
    </row>
    <row r="1546" spans="1:28" x14ac:dyDescent="0.2">
      <c r="C1546" s="9" t="s">
        <v>1839</v>
      </c>
      <c r="D1546" s="38"/>
      <c r="E1546" s="38"/>
      <c r="F1546" s="38"/>
      <c r="G1546" s="61">
        <f>((Source!AF352+Source!AE352)*Source!FX352/100)+((Source!AF352+Source!AE352)*Source!FY352/100)+Source!AB352</f>
        <v>89.125349999999997</v>
      </c>
      <c r="H1546" s="61">
        <f>Source!O352+Source!X352+Source!Y352</f>
        <v>254.39</v>
      </c>
    </row>
    <row r="1547" spans="1:28" ht="28.5" x14ac:dyDescent="0.2">
      <c r="A1547" s="50">
        <v>215</v>
      </c>
      <c r="B1547" s="50" t="str">
        <f>Source!E353</f>
        <v>107,1</v>
      </c>
      <c r="C1547" s="50" t="str">
        <f>Source!G353</f>
        <v>Дюбели пластмассовые с шурупами 10х60 мм</v>
      </c>
      <c r="D1547" s="50" t="str">
        <f>Source!F353</f>
        <v>01.7.15.07-0011</v>
      </c>
      <c r="E1547" s="35" t="str">
        <f>Source!H353</f>
        <v>100 шт.</v>
      </c>
      <c r="F1547" s="12">
        <f>Source!I353</f>
        <v>0.08</v>
      </c>
      <c r="G1547" s="25">
        <f>Source!AB353</f>
        <v>45.9</v>
      </c>
      <c r="H1547" s="25">
        <f>Source!O353</f>
        <v>26.18</v>
      </c>
      <c r="T1547">
        <f>Source!O353+Source!X353+Source!Y353</f>
        <v>26.18</v>
      </c>
      <c r="U1547">
        <f>Source!P353</f>
        <v>26.18</v>
      </c>
      <c r="V1547">
        <f>Source!S353</f>
        <v>0</v>
      </c>
      <c r="W1547">
        <f>Source!Q353</f>
        <v>0</v>
      </c>
      <c r="X1547">
        <f>Source!R353</f>
        <v>0</v>
      </c>
      <c r="Y1547">
        <f>Source!U353</f>
        <v>0</v>
      </c>
      <c r="Z1547">
        <f>Source!V353</f>
        <v>0</v>
      </c>
      <c r="AA1547">
        <f>Source!X353</f>
        <v>0</v>
      </c>
      <c r="AB1547">
        <f>Source!Y353</f>
        <v>0</v>
      </c>
    </row>
    <row r="1548" spans="1:28" ht="14.25" x14ac:dyDescent="0.2">
      <c r="C1548" s="26" t="s">
        <v>1833</v>
      </c>
      <c r="D1548" s="26">
        <f>Source!BC353</f>
        <v>7.13</v>
      </c>
      <c r="F1548" s="12"/>
      <c r="G1548" s="12"/>
      <c r="H1548" s="12"/>
    </row>
    <row r="1549" spans="1:28" ht="28.5" x14ac:dyDescent="0.2">
      <c r="A1549" s="50">
        <v>216</v>
      </c>
      <c r="B1549" s="50" t="str">
        <f>Source!E354</f>
        <v>107,2</v>
      </c>
      <c r="C1549" s="50" t="str">
        <f>Source!G354</f>
        <v>Зеркало декоративное фигурное с деталями крепления</v>
      </c>
      <c r="D1549" s="50" t="str">
        <f>Source!F354</f>
        <v>18.2.06.04-0011</v>
      </c>
      <c r="E1549" s="35" t="str">
        <f>Source!H354</f>
        <v>м2</v>
      </c>
      <c r="F1549" s="12">
        <f>Source!I354</f>
        <v>1.2</v>
      </c>
      <c r="G1549" s="25">
        <f>Source!AB354</f>
        <v>211.81</v>
      </c>
      <c r="H1549" s="25">
        <f>Source!O354</f>
        <v>1812.25</v>
      </c>
      <c r="T1549">
        <f>Source!O354+Source!X354+Source!Y354</f>
        <v>1812.25</v>
      </c>
      <c r="U1549">
        <f>Source!P354</f>
        <v>1812.25</v>
      </c>
      <c r="V1549">
        <f>Source!S354</f>
        <v>0</v>
      </c>
      <c r="W1549">
        <f>Source!Q354</f>
        <v>0</v>
      </c>
      <c r="X1549">
        <f>Source!R354</f>
        <v>0</v>
      </c>
      <c r="Y1549">
        <f>Source!U354</f>
        <v>0</v>
      </c>
      <c r="Z1549">
        <f>Source!V354</f>
        <v>0</v>
      </c>
      <c r="AA1549">
        <f>Source!X354</f>
        <v>0</v>
      </c>
      <c r="AB1549">
        <f>Source!Y354</f>
        <v>0</v>
      </c>
    </row>
    <row r="1550" spans="1:28" ht="14.25" x14ac:dyDescent="0.2">
      <c r="C1550" s="26" t="s">
        <v>1833</v>
      </c>
      <c r="D1550" s="26">
        <f>Source!BC354</f>
        <v>7.13</v>
      </c>
      <c r="F1550" s="12"/>
      <c r="G1550" s="12"/>
      <c r="H1550" s="12"/>
    </row>
    <row r="1551" spans="1:28" ht="42.75" x14ac:dyDescent="0.2">
      <c r="A1551" s="50">
        <v>217</v>
      </c>
      <c r="B1551" s="50" t="str">
        <f>Source!E355</f>
        <v>108</v>
      </c>
      <c r="C1551" s="50" t="str">
        <f>Source!G355</f>
        <v>Врезка в действующие внутренние сети трубопроводов канализации диаметром 50 мм</v>
      </c>
      <c r="D1551" s="50" t="str">
        <f>Source!F355</f>
        <v>16-07-004-01</v>
      </c>
      <c r="E1551" s="35" t="str">
        <f>Source!H355</f>
        <v>ШТ</v>
      </c>
      <c r="F1551" s="12">
        <f>Source!I355</f>
        <v>3</v>
      </c>
      <c r="G1551" s="25">
        <f>Source!AB355</f>
        <v>140.09</v>
      </c>
      <c r="H1551" s="25">
        <f>Source!O355</f>
        <v>2996.52</v>
      </c>
      <c r="T1551">
        <f>Source!O355+Source!X355+Source!Y355</f>
        <v>5754.0400000000009</v>
      </c>
      <c r="U1551">
        <f>Source!P355</f>
        <v>1499.44</v>
      </c>
      <c r="V1551">
        <f>Source!S355</f>
        <v>1479.33</v>
      </c>
      <c r="W1551">
        <f>Source!Q355</f>
        <v>17.75</v>
      </c>
      <c r="X1551">
        <f>Source!R355</f>
        <v>3.21</v>
      </c>
      <c r="Y1551">
        <f>Source!U355</f>
        <v>24.322499999999998</v>
      </c>
      <c r="Z1551">
        <f>Source!V355</f>
        <v>3.7500000000000006E-2</v>
      </c>
      <c r="AA1551">
        <f>Source!X355</f>
        <v>1704.92</v>
      </c>
      <c r="AB1551">
        <f>Source!Y355</f>
        <v>1052.5999999999999</v>
      </c>
    </row>
    <row r="1552" spans="1:28" ht="14.25" x14ac:dyDescent="0.2">
      <c r="C1552" s="26" t="s">
        <v>1831</v>
      </c>
      <c r="D1552" s="26">
        <f>Source!BA355</f>
        <v>7.13</v>
      </c>
      <c r="F1552" s="12"/>
      <c r="G1552" s="12"/>
      <c r="H1552" s="12"/>
    </row>
    <row r="1553" spans="1:28" x14ac:dyDescent="0.2">
      <c r="C1553" s="26" t="s">
        <v>1832</v>
      </c>
      <c r="D1553" s="26">
        <f>Source!BB355</f>
        <v>7.13</v>
      </c>
    </row>
    <row r="1554" spans="1:28" x14ac:dyDescent="0.2">
      <c r="C1554" s="26" t="s">
        <v>1833</v>
      </c>
      <c r="D1554" s="26">
        <f>Source!BC355</f>
        <v>7.13</v>
      </c>
    </row>
    <row r="1555" spans="1:28" x14ac:dyDescent="0.2">
      <c r="C1555" s="26" t="s">
        <v>1834</v>
      </c>
      <c r="D1555" s="26">
        <f>Source!BS355</f>
        <v>7.13</v>
      </c>
    </row>
    <row r="1556" spans="1:28" x14ac:dyDescent="0.2">
      <c r="C1556" s="26" t="s">
        <v>1841</v>
      </c>
      <c r="D1556" s="116" t="s">
        <v>81</v>
      </c>
      <c r="E1556" s="116"/>
      <c r="F1556" s="116"/>
      <c r="G1556" s="116"/>
      <c r="H1556" s="116"/>
    </row>
    <row r="1557" spans="1:28" x14ac:dyDescent="0.2">
      <c r="C1557" s="26" t="s">
        <v>1842</v>
      </c>
      <c r="D1557" s="116" t="s">
        <v>81</v>
      </c>
      <c r="E1557" s="116"/>
      <c r="F1557" s="116"/>
      <c r="G1557" s="116"/>
      <c r="H1557" s="116"/>
    </row>
    <row r="1558" spans="1:28" x14ac:dyDescent="0.2">
      <c r="C1558" s="26" t="s">
        <v>1843</v>
      </c>
      <c r="D1558" s="116" t="s">
        <v>82</v>
      </c>
      <c r="E1558" s="116"/>
      <c r="F1558" s="116"/>
      <c r="G1558" s="116"/>
      <c r="H1558" s="116"/>
    </row>
    <row r="1559" spans="1:28" x14ac:dyDescent="0.2">
      <c r="C1559" s="26" t="s">
        <v>1844</v>
      </c>
      <c r="D1559" s="116" t="s">
        <v>82</v>
      </c>
      <c r="E1559" s="116"/>
      <c r="F1559" s="116"/>
      <c r="G1559" s="116"/>
      <c r="H1559" s="116"/>
    </row>
    <row r="1560" spans="1:28" x14ac:dyDescent="0.2">
      <c r="C1560" s="26" t="s">
        <v>1845</v>
      </c>
      <c r="D1560" s="116" t="s">
        <v>81</v>
      </c>
      <c r="E1560" s="116"/>
      <c r="F1560" s="116"/>
      <c r="G1560" s="116"/>
      <c r="H1560" s="116"/>
    </row>
    <row r="1561" spans="1:28" x14ac:dyDescent="0.2">
      <c r="C1561" s="9" t="s">
        <v>1835</v>
      </c>
      <c r="D1561" s="38"/>
      <c r="E1561" s="38"/>
      <c r="F1561" s="38">
        <f>Source!BZ355</f>
        <v>128</v>
      </c>
      <c r="G1561" s="61">
        <f>(Source!AF355+Source!AE355)*Source!FX355/100</f>
        <v>79.845120000000009</v>
      </c>
      <c r="H1561" s="61">
        <f>Source!X355</f>
        <v>1704.92</v>
      </c>
    </row>
    <row r="1562" spans="1:28" x14ac:dyDescent="0.2">
      <c r="C1562" s="9" t="s">
        <v>1836</v>
      </c>
      <c r="D1562" s="38"/>
      <c r="E1562" s="38"/>
      <c r="F1562" s="38"/>
      <c r="G1562" s="38" t="str">
        <f>CONCATENATE(Source!DL355,Source!FT355, "=", Source!FX355, "%")</f>
        <v>*0,9=115,2%</v>
      </c>
      <c r="H1562" s="38" t="str">
        <f>CONCATENATE(Source!AT355)</f>
        <v>115</v>
      </c>
    </row>
    <row r="1563" spans="1:28" x14ac:dyDescent="0.2">
      <c r="C1563" s="9" t="s">
        <v>1837</v>
      </c>
      <c r="D1563" s="38"/>
      <c r="E1563" s="38"/>
      <c r="F1563" s="38">
        <f>Source!CA355</f>
        <v>83</v>
      </c>
      <c r="G1563" s="61">
        <f>(Source!AF355+Source!AE355)*Source!FY355/100</f>
        <v>48.898204999999997</v>
      </c>
      <c r="H1563" s="61">
        <f>Source!Y355</f>
        <v>1052.5999999999999</v>
      </c>
    </row>
    <row r="1564" spans="1:28" x14ac:dyDescent="0.2">
      <c r="C1564" s="9" t="s">
        <v>1838</v>
      </c>
      <c r="D1564" s="38"/>
      <c r="E1564" s="38"/>
      <c r="F1564" s="38"/>
      <c r="G1564" s="38" t="str">
        <f>CONCATENATE(Source!DM355,Source!FU355, "=", Source!FY355, "%")</f>
        <v>*0,85=70,55%</v>
      </c>
      <c r="H1564" s="38" t="str">
        <f>CONCATENATE(Source!AU355)</f>
        <v>71</v>
      </c>
    </row>
    <row r="1565" spans="1:28" x14ac:dyDescent="0.2">
      <c r="C1565" s="9" t="s">
        <v>1839</v>
      </c>
      <c r="D1565" s="38"/>
      <c r="E1565" s="38"/>
      <c r="F1565" s="38"/>
      <c r="G1565" s="61">
        <f>((Source!AF355+Source!AE355)*Source!FX355/100)+((Source!AF355+Source!AE355)*Source!FY355/100)+Source!AB355</f>
        <v>268.833325</v>
      </c>
      <c r="H1565" s="61">
        <f>Source!O355+Source!X355+Source!Y355</f>
        <v>5754.0400000000009</v>
      </c>
    </row>
    <row r="1566" spans="1:28" ht="42.75" x14ac:dyDescent="0.2">
      <c r="A1566" s="50">
        <v>218</v>
      </c>
      <c r="B1566" s="50" t="str">
        <f>Source!E356</f>
        <v>109</v>
      </c>
      <c r="C1566" s="50" t="str">
        <f>Source!G356</f>
        <v>Врезка в действующие внутренние сети трубопроводов канализации диаметром 100 мм</v>
      </c>
      <c r="D1566" s="50" t="str">
        <f>Source!F356</f>
        <v>16-07-004-02</v>
      </c>
      <c r="E1566" s="35" t="str">
        <f>Source!H356</f>
        <v>ШТ</v>
      </c>
      <c r="F1566" s="12">
        <f>Source!I356</f>
        <v>3</v>
      </c>
      <c r="G1566" s="25">
        <f>Source!AB356</f>
        <v>224.04</v>
      </c>
      <c r="H1566" s="25">
        <f>Source!O356</f>
        <v>4792.21</v>
      </c>
      <c r="T1566">
        <f>Source!O356+Source!X356+Source!Y356</f>
        <v>8287.36</v>
      </c>
      <c r="U1566">
        <f>Source!P356</f>
        <v>2898.56</v>
      </c>
      <c r="V1566">
        <f>Source!S356</f>
        <v>1875.9</v>
      </c>
      <c r="W1566">
        <f>Source!Q356</f>
        <v>17.75</v>
      </c>
      <c r="X1566">
        <f>Source!R356</f>
        <v>3.21</v>
      </c>
      <c r="Y1566">
        <f>Source!U356</f>
        <v>30.842999999999996</v>
      </c>
      <c r="Z1566">
        <f>Source!V356</f>
        <v>3.7500000000000006E-2</v>
      </c>
      <c r="AA1566">
        <f>Source!X356</f>
        <v>2160.98</v>
      </c>
      <c r="AB1566">
        <f>Source!Y356</f>
        <v>1334.17</v>
      </c>
    </row>
    <row r="1567" spans="1:28" ht="14.25" x14ac:dyDescent="0.2">
      <c r="C1567" s="26" t="s">
        <v>1831</v>
      </c>
      <c r="D1567" s="26">
        <f>Source!BA356</f>
        <v>7.13</v>
      </c>
      <c r="F1567" s="12"/>
      <c r="G1567" s="12"/>
      <c r="H1567" s="12"/>
    </row>
    <row r="1568" spans="1:28" x14ac:dyDescent="0.2">
      <c r="C1568" s="26" t="s">
        <v>1832</v>
      </c>
      <c r="D1568" s="26">
        <f>Source!BB356</f>
        <v>7.13</v>
      </c>
    </row>
    <row r="1569" spans="1:8" x14ac:dyDescent="0.2">
      <c r="C1569" s="26" t="s">
        <v>1833</v>
      </c>
      <c r="D1569" s="26">
        <f>Source!BC356</f>
        <v>7.13</v>
      </c>
    </row>
    <row r="1570" spans="1:8" x14ac:dyDescent="0.2">
      <c r="C1570" s="26" t="s">
        <v>1834</v>
      </c>
      <c r="D1570" s="26">
        <f>Source!BS356</f>
        <v>7.13</v>
      </c>
    </row>
    <row r="1571" spans="1:8" x14ac:dyDescent="0.2">
      <c r="C1571" s="26" t="s">
        <v>1841</v>
      </c>
      <c r="D1571" s="116" t="s">
        <v>81</v>
      </c>
      <c r="E1571" s="116"/>
      <c r="F1571" s="116"/>
      <c r="G1571" s="116"/>
      <c r="H1571" s="116"/>
    </row>
    <row r="1572" spans="1:8" x14ac:dyDescent="0.2">
      <c r="C1572" s="26" t="s">
        <v>1842</v>
      </c>
      <c r="D1572" s="116" t="s">
        <v>81</v>
      </c>
      <c r="E1572" s="116"/>
      <c r="F1572" s="116"/>
      <c r="G1572" s="116"/>
      <c r="H1572" s="116"/>
    </row>
    <row r="1573" spans="1:8" x14ac:dyDescent="0.2">
      <c r="C1573" s="26" t="s">
        <v>1843</v>
      </c>
      <c r="D1573" s="116" t="s">
        <v>82</v>
      </c>
      <c r="E1573" s="116"/>
      <c r="F1573" s="116"/>
      <c r="G1573" s="116"/>
      <c r="H1573" s="116"/>
    </row>
    <row r="1574" spans="1:8" x14ac:dyDescent="0.2">
      <c r="C1574" s="26" t="s">
        <v>1844</v>
      </c>
      <c r="D1574" s="116" t="s">
        <v>82</v>
      </c>
      <c r="E1574" s="116"/>
      <c r="F1574" s="116"/>
      <c r="G1574" s="116"/>
      <c r="H1574" s="116"/>
    </row>
    <row r="1575" spans="1:8" x14ac:dyDescent="0.2">
      <c r="C1575" s="26" t="s">
        <v>1845</v>
      </c>
      <c r="D1575" s="116" t="s">
        <v>81</v>
      </c>
      <c r="E1575" s="116"/>
      <c r="F1575" s="116"/>
      <c r="G1575" s="116"/>
      <c r="H1575" s="116"/>
    </row>
    <row r="1576" spans="1:8" x14ac:dyDescent="0.2">
      <c r="C1576" s="9" t="s">
        <v>1835</v>
      </c>
      <c r="D1576" s="38"/>
      <c r="E1576" s="38"/>
      <c r="F1576" s="38">
        <f>Source!BZ356</f>
        <v>128</v>
      </c>
      <c r="G1576" s="61">
        <f>(Source!AF356+Source!AE356)*Source!FX356/100</f>
        <v>101.20320000000001</v>
      </c>
      <c r="H1576" s="61">
        <f>Source!X356</f>
        <v>2160.98</v>
      </c>
    </row>
    <row r="1577" spans="1:8" x14ac:dyDescent="0.2">
      <c r="C1577" s="9" t="s">
        <v>1836</v>
      </c>
      <c r="D1577" s="38"/>
      <c r="E1577" s="38"/>
      <c r="F1577" s="38"/>
      <c r="G1577" s="38" t="str">
        <f>CONCATENATE(Source!DL356,Source!FT356, "=", Source!FX356, "%")</f>
        <v>*0,9=115,2%</v>
      </c>
      <c r="H1577" s="38" t="str">
        <f>CONCATENATE(Source!AT356)</f>
        <v>115</v>
      </c>
    </row>
    <row r="1578" spans="1:8" x14ac:dyDescent="0.2">
      <c r="C1578" s="9" t="s">
        <v>1837</v>
      </c>
      <c r="D1578" s="38"/>
      <c r="E1578" s="38"/>
      <c r="F1578" s="38">
        <f>Source!CA356</f>
        <v>83</v>
      </c>
      <c r="G1578" s="61">
        <f>(Source!AF356+Source!AE356)*Source!FY356/100</f>
        <v>61.978175</v>
      </c>
      <c r="H1578" s="61">
        <f>Source!Y356</f>
        <v>1334.17</v>
      </c>
    </row>
    <row r="1579" spans="1:8" x14ac:dyDescent="0.2">
      <c r="C1579" s="9" t="s">
        <v>1838</v>
      </c>
      <c r="D1579" s="38"/>
      <c r="E1579" s="38"/>
      <c r="F1579" s="38"/>
      <c r="G1579" s="38" t="str">
        <f>CONCATENATE(Source!DM356,Source!FU356, "=", Source!FY356, "%")</f>
        <v>*0,85=70,55%</v>
      </c>
      <c r="H1579" s="38" t="str">
        <f>CONCATENATE(Source!AU356)</f>
        <v>71</v>
      </c>
    </row>
    <row r="1580" spans="1:8" x14ac:dyDescent="0.2">
      <c r="C1580" s="9" t="s">
        <v>1839</v>
      </c>
      <c r="D1580" s="38"/>
      <c r="E1580" s="38"/>
      <c r="F1580" s="38"/>
      <c r="G1580" s="61">
        <f>((Source!AF356+Source!AE356)*Source!FX356/100)+((Source!AF356+Source!AE356)*Source!FY356/100)+Source!AB356</f>
        <v>387.22137499999997</v>
      </c>
      <c r="H1580" s="61">
        <f>Source!O356+Source!X356+Source!Y356</f>
        <v>8287.36</v>
      </c>
    </row>
    <row r="1582" spans="1:8" ht="15" x14ac:dyDescent="0.25">
      <c r="A1582" s="62"/>
      <c r="B1582" s="62"/>
      <c r="C1582" s="91" t="str">
        <f>CONCATENATE("Итого по разделу: ",IF(Source!G358&lt;&gt;"Новый раздел", Source!G358, ""))</f>
        <v>Итого по разделу: Внутренняя система канализации</v>
      </c>
      <c r="D1582" s="91"/>
      <c r="E1582" s="91"/>
      <c r="F1582" s="91"/>
      <c r="G1582" s="62"/>
      <c r="H1582" s="63">
        <f>IF(SUM(T1332:T1581)=0, "-", SUM(T1332:T1581))</f>
        <v>86918.95</v>
      </c>
    </row>
    <row r="1583" spans="1:8" ht="15" x14ac:dyDescent="0.25">
      <c r="A1583" s="62"/>
      <c r="B1583" s="62"/>
      <c r="C1583" s="62"/>
      <c r="D1583" s="62"/>
      <c r="E1583" s="62"/>
      <c r="F1583" s="62"/>
      <c r="G1583" s="62"/>
      <c r="H1583" s="62"/>
    </row>
    <row r="1585" spans="1:28" ht="14.25" x14ac:dyDescent="0.2">
      <c r="C1585" s="117" t="str">
        <f>Source!H386</f>
        <v>Всего</v>
      </c>
      <c r="D1585" s="117"/>
      <c r="E1585" s="117"/>
      <c r="F1585" s="117"/>
      <c r="G1585" s="83">
        <f>IF(Source!F386=0, "", Source!F386)</f>
        <v>86918.95</v>
      </c>
      <c r="H1585" s="83"/>
    </row>
    <row r="1586" spans="1:28" ht="14.25" x14ac:dyDescent="0.2">
      <c r="C1586" s="117" t="str">
        <f>Source!H387</f>
        <v>Итого НДС 18%</v>
      </c>
      <c r="D1586" s="117"/>
      <c r="E1586" s="117"/>
      <c r="F1586" s="117"/>
      <c r="G1586" s="83">
        <f>IF(Source!F387=0, "", Source!F387)</f>
        <v>15645.41</v>
      </c>
      <c r="H1586" s="83"/>
    </row>
    <row r="1587" spans="1:28" ht="14.25" x14ac:dyDescent="0.2">
      <c r="C1587" s="117" t="str">
        <f>Source!H388</f>
        <v>Всего по смете</v>
      </c>
      <c r="D1587" s="117"/>
      <c r="E1587" s="117"/>
      <c r="F1587" s="117"/>
      <c r="G1587" s="83">
        <f>IF(Source!F388=0, "", Source!F388)</f>
        <v>102564.36</v>
      </c>
      <c r="H1587" s="83"/>
    </row>
    <row r="1589" spans="1:28" ht="16.5" x14ac:dyDescent="0.25">
      <c r="A1589" s="89" t="str">
        <f>CONCATENATE("Раздел: ",IF(Source!G390&lt;&gt;"Новый раздел", Source!G390, ""))</f>
        <v>Раздел: Внутренняя система водоснабжения</v>
      </c>
      <c r="B1589" s="89"/>
      <c r="C1589" s="89"/>
      <c r="D1589" s="89"/>
      <c r="E1589" s="89"/>
      <c r="F1589" s="89"/>
      <c r="G1589" s="89"/>
      <c r="H1589" s="89"/>
    </row>
    <row r="1590" spans="1:28" ht="42.75" x14ac:dyDescent="0.2">
      <c r="A1590" s="50">
        <v>219</v>
      </c>
      <c r="B1590" s="50" t="str">
        <f>Source!E394</f>
        <v>110</v>
      </c>
      <c r="C1590" s="50" t="str">
        <f>Source!G394</f>
        <v>Разборка трубопроводов из водогазопроводных труб диаметром до 32 мм</v>
      </c>
      <c r="D1590" s="50" t="str">
        <f>Source!F394</f>
        <v>65-1-1</v>
      </c>
      <c r="E1590" s="35" t="str">
        <f>Source!H394</f>
        <v>100 м</v>
      </c>
      <c r="F1590" s="12">
        <f>Source!I394</f>
        <v>0.90300000000000002</v>
      </c>
      <c r="G1590" s="25">
        <f>Source!AB394</f>
        <v>295.11</v>
      </c>
      <c r="H1590" s="25">
        <f>Source!O394</f>
        <v>1900.04</v>
      </c>
      <c r="T1590">
        <f>Source!O394+Source!X394+Source!Y394</f>
        <v>4210.26</v>
      </c>
      <c r="U1590">
        <f>Source!P394</f>
        <v>0</v>
      </c>
      <c r="V1590">
        <f>Source!S394</f>
        <v>1854.39</v>
      </c>
      <c r="W1590">
        <f>Source!Q394</f>
        <v>45.65</v>
      </c>
      <c r="X1590">
        <f>Source!R394</f>
        <v>8.69</v>
      </c>
      <c r="Y1590">
        <f>Source!U394</f>
        <v>31.297979999999999</v>
      </c>
      <c r="Z1590">
        <f>Source!V394</f>
        <v>9.0300000000000005E-2</v>
      </c>
      <c r="AA1590">
        <f>Source!X394</f>
        <v>1378.68</v>
      </c>
      <c r="AB1590">
        <f>Source!Y394</f>
        <v>931.54</v>
      </c>
    </row>
    <row r="1591" spans="1:28" ht="14.25" x14ac:dyDescent="0.2">
      <c r="C1591" s="26" t="str">
        <f>"Объем: "&amp;Source!I394&amp;"=90,3/"&amp;"100"</f>
        <v>Объем: 0,903=90,3/100</v>
      </c>
      <c r="F1591" s="12"/>
      <c r="G1591" s="12"/>
      <c r="H1591" s="12"/>
    </row>
    <row r="1592" spans="1:28" x14ac:dyDescent="0.2">
      <c r="C1592" s="26" t="s">
        <v>1831</v>
      </c>
      <c r="D1592" s="26">
        <f>Source!BA394</f>
        <v>7.13</v>
      </c>
    </row>
    <row r="1593" spans="1:28" x14ac:dyDescent="0.2">
      <c r="C1593" s="26" t="s">
        <v>1832</v>
      </c>
      <c r="D1593" s="26">
        <f>Source!BB394</f>
        <v>7.13</v>
      </c>
    </row>
    <row r="1594" spans="1:28" x14ac:dyDescent="0.2">
      <c r="C1594" s="26" t="s">
        <v>1833</v>
      </c>
      <c r="D1594" s="26">
        <f>Source!BC394</f>
        <v>7.13</v>
      </c>
    </row>
    <row r="1595" spans="1:28" x14ac:dyDescent="0.2">
      <c r="C1595" s="26" t="s">
        <v>1834</v>
      </c>
      <c r="D1595" s="26">
        <f>Source!BS394</f>
        <v>7.13</v>
      </c>
    </row>
    <row r="1596" spans="1:28" x14ac:dyDescent="0.2">
      <c r="C1596" s="26" t="s">
        <v>1840</v>
      </c>
      <c r="D1596" s="116" t="s">
        <v>30</v>
      </c>
      <c r="E1596" s="116"/>
      <c r="F1596" s="116"/>
      <c r="G1596" s="116"/>
      <c r="H1596" s="116"/>
    </row>
    <row r="1597" spans="1:28" x14ac:dyDescent="0.2">
      <c r="C1597" s="9" t="s">
        <v>1835</v>
      </c>
      <c r="D1597" s="38"/>
      <c r="E1597" s="38"/>
      <c r="F1597" s="38">
        <f>Source!BZ394</f>
        <v>74</v>
      </c>
      <c r="G1597" s="61">
        <f>(Source!AF394+Source!AE394)*Source!FX394/100</f>
        <v>214.13380000000001</v>
      </c>
      <c r="H1597" s="61">
        <f>Source!X394</f>
        <v>1378.68</v>
      </c>
    </row>
    <row r="1598" spans="1:28" x14ac:dyDescent="0.2">
      <c r="C1598" s="9" t="s">
        <v>1837</v>
      </c>
      <c r="D1598" s="38"/>
      <c r="E1598" s="38"/>
      <c r="F1598" s="38">
        <f>Source!CA394</f>
        <v>50</v>
      </c>
      <c r="G1598" s="61">
        <f>(Source!AF394+Source!AE394)*Source!FY394/100</f>
        <v>144.685</v>
      </c>
      <c r="H1598" s="61">
        <f>Source!Y394</f>
        <v>931.54</v>
      </c>
    </row>
    <row r="1599" spans="1:28" x14ac:dyDescent="0.2">
      <c r="C1599" s="9" t="s">
        <v>1839</v>
      </c>
      <c r="D1599" s="38"/>
      <c r="E1599" s="38"/>
      <c r="F1599" s="38"/>
      <c r="G1599" s="61">
        <f>((Source!AF394+Source!AE394)*Source!FX394/100)+((Source!AF394+Source!AE394)*Source!FY394/100)+Source!AB394</f>
        <v>653.92880000000002</v>
      </c>
      <c r="H1599" s="61">
        <f>Source!O394+Source!X394+Source!Y394</f>
        <v>4210.26</v>
      </c>
    </row>
    <row r="1600" spans="1:28" ht="57" x14ac:dyDescent="0.2">
      <c r="A1600" s="50">
        <v>220</v>
      </c>
      <c r="B1600" s="50" t="str">
        <f>Source!E395</f>
        <v>111</v>
      </c>
      <c r="C1600" s="50" t="str">
        <f>Source!G395</f>
        <v>Прокладка трубопроводов водоснабжения из напорных полиэтиленовых труб наружным диаметром 20 мм</v>
      </c>
      <c r="D1600" s="50" t="str">
        <f>Source!F395</f>
        <v>16-04-002-01</v>
      </c>
      <c r="E1600" s="35" t="str">
        <f>Source!H395</f>
        <v>100 м</v>
      </c>
      <c r="F1600" s="12">
        <f>Source!I395</f>
        <v>0.34399999999999997</v>
      </c>
      <c r="G1600" s="25">
        <f>Source!AB395</f>
        <v>3922.98</v>
      </c>
      <c r="H1600" s="25">
        <f>Source!O395</f>
        <v>9621.9699999999993</v>
      </c>
      <c r="T1600">
        <f>Source!O395+Source!X395+Source!Y395</f>
        <v>20570.54</v>
      </c>
      <c r="U1600">
        <f>Source!P395</f>
        <v>137.06</v>
      </c>
      <c r="V1600">
        <f>Source!S395</f>
        <v>5323.04</v>
      </c>
      <c r="W1600">
        <f>Source!Q395</f>
        <v>4161.87</v>
      </c>
      <c r="X1600">
        <f>Source!R395</f>
        <v>563.29</v>
      </c>
      <c r="Y1600">
        <f>Source!U395</f>
        <v>75.258943999999985</v>
      </c>
      <c r="Z1600">
        <f>Source!V395</f>
        <v>5.8651999999999997</v>
      </c>
      <c r="AA1600">
        <f>Source!X395</f>
        <v>6769.28</v>
      </c>
      <c r="AB1600">
        <f>Source!Y395</f>
        <v>4179.29</v>
      </c>
    </row>
    <row r="1601" spans="1:28" ht="14.25" x14ac:dyDescent="0.2">
      <c r="C1601" s="26" t="str">
        <f>"Объем: "&amp;Source!I395&amp;"=34,4/"&amp;"100"</f>
        <v>Объем: 0,344=34,4/100</v>
      </c>
      <c r="F1601" s="12"/>
      <c r="G1601" s="12"/>
      <c r="H1601" s="12"/>
    </row>
    <row r="1602" spans="1:28" x14ac:dyDescent="0.2">
      <c r="C1602" s="26" t="s">
        <v>1831</v>
      </c>
      <c r="D1602" s="26">
        <f>Source!BA395</f>
        <v>7.13</v>
      </c>
    </row>
    <row r="1603" spans="1:28" x14ac:dyDescent="0.2">
      <c r="C1603" s="26" t="s">
        <v>1832</v>
      </c>
      <c r="D1603" s="26">
        <f>Source!BB395</f>
        <v>7.13</v>
      </c>
    </row>
    <row r="1604" spans="1:28" x14ac:dyDescent="0.2">
      <c r="C1604" s="26" t="s">
        <v>1833</v>
      </c>
      <c r="D1604" s="26">
        <f>Source!BC395</f>
        <v>7.13</v>
      </c>
    </row>
    <row r="1605" spans="1:28" x14ac:dyDescent="0.2">
      <c r="C1605" s="26" t="s">
        <v>1834</v>
      </c>
      <c r="D1605" s="26">
        <f>Source!BS395</f>
        <v>7.13</v>
      </c>
    </row>
    <row r="1606" spans="1:28" x14ac:dyDescent="0.2">
      <c r="C1606" s="26" t="s">
        <v>1841</v>
      </c>
      <c r="D1606" s="116" t="s">
        <v>81</v>
      </c>
      <c r="E1606" s="116"/>
      <c r="F1606" s="116"/>
      <c r="G1606" s="116"/>
      <c r="H1606" s="116"/>
    </row>
    <row r="1607" spans="1:28" x14ac:dyDescent="0.2">
      <c r="C1607" s="26" t="s">
        <v>1842</v>
      </c>
      <c r="D1607" s="116" t="s">
        <v>81</v>
      </c>
      <c r="E1607" s="116"/>
      <c r="F1607" s="116"/>
      <c r="G1607" s="116"/>
      <c r="H1607" s="116"/>
    </row>
    <row r="1608" spans="1:28" x14ac:dyDescent="0.2">
      <c r="C1608" s="26" t="s">
        <v>1843</v>
      </c>
      <c r="D1608" s="116" t="s">
        <v>82</v>
      </c>
      <c r="E1608" s="116"/>
      <c r="F1608" s="116"/>
      <c r="G1608" s="116"/>
      <c r="H1608" s="116"/>
    </row>
    <row r="1609" spans="1:28" x14ac:dyDescent="0.2">
      <c r="C1609" s="26" t="s">
        <v>1844</v>
      </c>
      <c r="D1609" s="116" t="s">
        <v>82</v>
      </c>
      <c r="E1609" s="116"/>
      <c r="F1609" s="116"/>
      <c r="G1609" s="116"/>
      <c r="H1609" s="116"/>
    </row>
    <row r="1610" spans="1:28" x14ac:dyDescent="0.2">
      <c r="C1610" s="26" t="s">
        <v>1845</v>
      </c>
      <c r="D1610" s="116" t="s">
        <v>81</v>
      </c>
      <c r="E1610" s="116"/>
      <c r="F1610" s="116"/>
      <c r="G1610" s="116"/>
      <c r="H1610" s="116"/>
    </row>
    <row r="1611" spans="1:28" x14ac:dyDescent="0.2">
      <c r="C1611" s="9" t="s">
        <v>1835</v>
      </c>
      <c r="D1611" s="38"/>
      <c r="E1611" s="38"/>
      <c r="F1611" s="38">
        <f>Source!BZ395</f>
        <v>128</v>
      </c>
      <c r="G1611" s="61">
        <f>(Source!AF395+Source!AE395)*Source!FX395/100</f>
        <v>2764.7078400000005</v>
      </c>
      <c r="H1611" s="61">
        <f>Source!X395</f>
        <v>6769.28</v>
      </c>
    </row>
    <row r="1612" spans="1:28" x14ac:dyDescent="0.2">
      <c r="C1612" s="9" t="s">
        <v>1836</v>
      </c>
      <c r="D1612" s="38"/>
      <c r="E1612" s="38"/>
      <c r="F1612" s="38"/>
      <c r="G1612" s="38" t="str">
        <f>CONCATENATE(Source!DL395,Source!FT395, "=", Source!FX395, "%")</f>
        <v>*0,9=115,2%</v>
      </c>
      <c r="H1612" s="38" t="str">
        <f>CONCATENATE(Source!AT395)</f>
        <v>115</v>
      </c>
    </row>
    <row r="1613" spans="1:28" x14ac:dyDescent="0.2">
      <c r="C1613" s="9" t="s">
        <v>1837</v>
      </c>
      <c r="D1613" s="38"/>
      <c r="E1613" s="38"/>
      <c r="F1613" s="38">
        <f>Source!CA395</f>
        <v>83</v>
      </c>
      <c r="G1613" s="61">
        <f>(Source!AF395+Source!AE395)*Source!FY395/100</f>
        <v>1693.14356</v>
      </c>
      <c r="H1613" s="61">
        <f>Source!Y395</f>
        <v>4179.29</v>
      </c>
    </row>
    <row r="1614" spans="1:28" x14ac:dyDescent="0.2">
      <c r="C1614" s="9" t="s">
        <v>1838</v>
      </c>
      <c r="D1614" s="38"/>
      <c r="E1614" s="38"/>
      <c r="F1614" s="38"/>
      <c r="G1614" s="38" t="str">
        <f>CONCATENATE(Source!DM395,Source!FU395, "=", Source!FY395, "%")</f>
        <v>*0,85=70,55%</v>
      </c>
      <c r="H1614" s="38" t="str">
        <f>CONCATENATE(Source!AU395)</f>
        <v>71</v>
      </c>
    </row>
    <row r="1615" spans="1:28" x14ac:dyDescent="0.2">
      <c r="C1615" s="9" t="s">
        <v>1839</v>
      </c>
      <c r="D1615" s="38"/>
      <c r="E1615" s="38"/>
      <c r="F1615" s="38"/>
      <c r="G1615" s="61">
        <f>((Source!AF395+Source!AE395)*Source!FX395/100)+((Source!AF395+Source!AE395)*Source!FY395/100)+Source!AB395</f>
        <v>8380.8314000000009</v>
      </c>
      <c r="H1615" s="61">
        <f>Source!O395+Source!X395+Source!Y395</f>
        <v>20570.54</v>
      </c>
    </row>
    <row r="1616" spans="1:28" ht="42.75" x14ac:dyDescent="0.2">
      <c r="A1616" s="50">
        <v>221</v>
      </c>
      <c r="B1616" s="50" t="str">
        <f>Source!E396</f>
        <v>111,1</v>
      </c>
      <c r="C1616" s="50" t="str">
        <f>Source!G396</f>
        <v>Хомут стальной оцинкованный с саморезом и резиновой прокладкой для крепления труб диаметром 20 мм</v>
      </c>
      <c r="D1616" s="50" t="str">
        <f>Source!F396</f>
        <v>23.1.02.06-0042</v>
      </c>
      <c r="E1616" s="35" t="str">
        <f>Source!H396</f>
        <v>10 шт.</v>
      </c>
      <c r="F1616" s="12">
        <f>Source!I396</f>
        <v>0.19999999999999998</v>
      </c>
      <c r="G1616" s="25">
        <f>Source!AB396</f>
        <v>57.5</v>
      </c>
      <c r="H1616" s="25">
        <f>Source!O396</f>
        <v>82</v>
      </c>
      <c r="T1616">
        <f>Source!O396+Source!X396+Source!Y396</f>
        <v>82</v>
      </c>
      <c r="U1616">
        <f>Source!P396</f>
        <v>82</v>
      </c>
      <c r="V1616">
        <f>Source!S396</f>
        <v>0</v>
      </c>
      <c r="W1616">
        <f>Source!Q396</f>
        <v>0</v>
      </c>
      <c r="X1616">
        <f>Source!R396</f>
        <v>0</v>
      </c>
      <c r="Y1616">
        <f>Source!U396</f>
        <v>0</v>
      </c>
      <c r="Z1616">
        <f>Source!V396</f>
        <v>0</v>
      </c>
      <c r="AA1616">
        <f>Source!X396</f>
        <v>0</v>
      </c>
      <c r="AB1616">
        <f>Source!Y396</f>
        <v>0</v>
      </c>
    </row>
    <row r="1617" spans="1:28" ht="14.25" x14ac:dyDescent="0.2">
      <c r="C1617" s="26" t="s">
        <v>1833</v>
      </c>
      <c r="D1617" s="26">
        <f>Source!BC396</f>
        <v>7.13</v>
      </c>
      <c r="F1617" s="12"/>
      <c r="G1617" s="12"/>
      <c r="H1617" s="12"/>
    </row>
    <row r="1618" spans="1:28" ht="85.5" x14ac:dyDescent="0.2">
      <c r="A1618" s="50">
        <v>222</v>
      </c>
      <c r="B1618" s="50" t="str">
        <f>Source!E397</f>
        <v>111,2</v>
      </c>
      <c r="C1618" s="50" t="str">
        <f>Source!G397</f>
        <v>Трубопроводы напорные из полипропилена PPRS с гильзами и креплениями для холодного и горячего водоснабжения PN20 SDR 6, диаметром 20 мм, толщина стенки 3,4 мм</v>
      </c>
      <c r="D1618" s="50" t="str">
        <f>Source!F397</f>
        <v>24.3.02.01-0012</v>
      </c>
      <c r="E1618" s="35" t="str">
        <f>Source!H397</f>
        <v>м</v>
      </c>
      <c r="F1618" s="12">
        <f>Source!I397</f>
        <v>34.4</v>
      </c>
      <c r="G1618" s="25">
        <f>Source!AB397</f>
        <v>9.7899999999999991</v>
      </c>
      <c r="H1618" s="25">
        <f>Source!O397</f>
        <v>2401.21</v>
      </c>
      <c r="T1618">
        <f>Source!O397+Source!X397+Source!Y397</f>
        <v>2401.21</v>
      </c>
      <c r="U1618">
        <f>Source!P397</f>
        <v>2401.21</v>
      </c>
      <c r="V1618">
        <f>Source!S397</f>
        <v>0</v>
      </c>
      <c r="W1618">
        <f>Source!Q397</f>
        <v>0</v>
      </c>
      <c r="X1618">
        <f>Source!R397</f>
        <v>0</v>
      </c>
      <c r="Y1618">
        <f>Source!U397</f>
        <v>0</v>
      </c>
      <c r="Z1618">
        <f>Source!V397</f>
        <v>0</v>
      </c>
      <c r="AA1618">
        <f>Source!X397</f>
        <v>0</v>
      </c>
      <c r="AB1618">
        <f>Source!Y397</f>
        <v>0</v>
      </c>
    </row>
    <row r="1619" spans="1:28" ht="14.25" x14ac:dyDescent="0.2">
      <c r="C1619" s="26" t="s">
        <v>1833</v>
      </c>
      <c r="D1619" s="26">
        <f>Source!BC397</f>
        <v>7.13</v>
      </c>
      <c r="F1619" s="12"/>
      <c r="G1619" s="12"/>
      <c r="H1619" s="12"/>
    </row>
    <row r="1620" spans="1:28" ht="57" x14ac:dyDescent="0.2">
      <c r="A1620" s="50">
        <v>223</v>
      </c>
      <c r="B1620" s="50" t="str">
        <f>Source!E398</f>
        <v>112</v>
      </c>
      <c r="C1620" s="50" t="str">
        <f>Source!G398</f>
        <v>Прокладка трубопроводов водоснабжения из напорных полиэтиленовых труб наружным диаметром 25 мм</v>
      </c>
      <c r="D1620" s="50" t="str">
        <f>Source!F398</f>
        <v>16-04-002-02</v>
      </c>
      <c r="E1620" s="35" t="str">
        <f>Source!H398</f>
        <v>100 м</v>
      </c>
      <c r="F1620" s="12">
        <f>Source!I398</f>
        <v>0.28599999999999998</v>
      </c>
      <c r="G1620" s="25">
        <f>Source!AB398</f>
        <v>2792.16</v>
      </c>
      <c r="H1620" s="25">
        <f>Source!O398</f>
        <v>5693.71</v>
      </c>
      <c r="T1620">
        <f>Source!O398+Source!X398+Source!Y398</f>
        <v>12705.490000000002</v>
      </c>
      <c r="U1620">
        <f>Source!P398</f>
        <v>84.38</v>
      </c>
      <c r="V1620">
        <f>Source!S398</f>
        <v>3481.06</v>
      </c>
      <c r="W1620">
        <f>Source!Q398</f>
        <v>2128.27</v>
      </c>
      <c r="X1620">
        <f>Source!R398</f>
        <v>288.70999999999998</v>
      </c>
      <c r="Y1620">
        <f>Source!U398</f>
        <v>49.216595999999988</v>
      </c>
      <c r="Z1620">
        <f>Source!V398</f>
        <v>3.0101499999999999</v>
      </c>
      <c r="AA1620">
        <f>Source!X398</f>
        <v>4335.24</v>
      </c>
      <c r="AB1620">
        <f>Source!Y398</f>
        <v>2676.54</v>
      </c>
    </row>
    <row r="1621" spans="1:28" ht="14.25" x14ac:dyDescent="0.2">
      <c r="C1621" s="26" t="str">
        <f>"Объем: "&amp;Source!I398&amp;"=28,6/"&amp;"100"</f>
        <v>Объем: 0,286=28,6/100</v>
      </c>
      <c r="F1621" s="12"/>
      <c r="G1621" s="12"/>
      <c r="H1621" s="12"/>
    </row>
    <row r="1622" spans="1:28" x14ac:dyDescent="0.2">
      <c r="C1622" s="26" t="s">
        <v>1831</v>
      </c>
      <c r="D1622" s="26">
        <f>Source!BA398</f>
        <v>7.13</v>
      </c>
    </row>
    <row r="1623" spans="1:28" x14ac:dyDescent="0.2">
      <c r="C1623" s="26" t="s">
        <v>1832</v>
      </c>
      <c r="D1623" s="26">
        <f>Source!BB398</f>
        <v>7.13</v>
      </c>
    </row>
    <row r="1624" spans="1:28" x14ac:dyDescent="0.2">
      <c r="C1624" s="26" t="s">
        <v>1833</v>
      </c>
      <c r="D1624" s="26">
        <f>Source!BC398</f>
        <v>7.13</v>
      </c>
    </row>
    <row r="1625" spans="1:28" x14ac:dyDescent="0.2">
      <c r="C1625" s="26" t="s">
        <v>1834</v>
      </c>
      <c r="D1625" s="26">
        <f>Source!BS398</f>
        <v>7.13</v>
      </c>
    </row>
    <row r="1626" spans="1:28" x14ac:dyDescent="0.2">
      <c r="C1626" s="26" t="s">
        <v>1841</v>
      </c>
      <c r="D1626" s="116" t="s">
        <v>81</v>
      </c>
      <c r="E1626" s="116"/>
      <c r="F1626" s="116"/>
      <c r="G1626" s="116"/>
      <c r="H1626" s="116"/>
    </row>
    <row r="1627" spans="1:28" x14ac:dyDescent="0.2">
      <c r="C1627" s="26" t="s">
        <v>1842</v>
      </c>
      <c r="D1627" s="116" t="s">
        <v>81</v>
      </c>
      <c r="E1627" s="116"/>
      <c r="F1627" s="116"/>
      <c r="G1627" s="116"/>
      <c r="H1627" s="116"/>
    </row>
    <row r="1628" spans="1:28" x14ac:dyDescent="0.2">
      <c r="C1628" s="26" t="s">
        <v>1843</v>
      </c>
      <c r="D1628" s="116" t="s">
        <v>82</v>
      </c>
      <c r="E1628" s="116"/>
      <c r="F1628" s="116"/>
      <c r="G1628" s="116"/>
      <c r="H1628" s="116"/>
    </row>
    <row r="1629" spans="1:28" x14ac:dyDescent="0.2">
      <c r="C1629" s="26" t="s">
        <v>1844</v>
      </c>
      <c r="D1629" s="116" t="s">
        <v>82</v>
      </c>
      <c r="E1629" s="116"/>
      <c r="F1629" s="116"/>
      <c r="G1629" s="116"/>
      <c r="H1629" s="116"/>
    </row>
    <row r="1630" spans="1:28" x14ac:dyDescent="0.2">
      <c r="C1630" s="26" t="s">
        <v>1845</v>
      </c>
      <c r="D1630" s="116" t="s">
        <v>81</v>
      </c>
      <c r="E1630" s="116"/>
      <c r="F1630" s="116"/>
      <c r="G1630" s="116"/>
      <c r="H1630" s="116"/>
    </row>
    <row r="1631" spans="1:28" x14ac:dyDescent="0.2">
      <c r="C1631" s="9" t="s">
        <v>1835</v>
      </c>
      <c r="D1631" s="38"/>
      <c r="E1631" s="38"/>
      <c r="F1631" s="38">
        <f>Source!BZ398</f>
        <v>128</v>
      </c>
      <c r="G1631" s="61">
        <f>(Source!AF398+Source!AE398)*Source!FX398/100</f>
        <v>2129.6678400000001</v>
      </c>
      <c r="H1631" s="61">
        <f>Source!X398</f>
        <v>4335.24</v>
      </c>
    </row>
    <row r="1632" spans="1:28" x14ac:dyDescent="0.2">
      <c r="C1632" s="9" t="s">
        <v>1836</v>
      </c>
      <c r="D1632" s="38"/>
      <c r="E1632" s="38"/>
      <c r="F1632" s="38"/>
      <c r="G1632" s="38" t="str">
        <f>CONCATENATE(Source!DL398,Source!FT398, "=", Source!FX398, "%")</f>
        <v>*0,9=115,2%</v>
      </c>
      <c r="H1632" s="38" t="str">
        <f>CONCATENATE(Source!AT398)</f>
        <v>115</v>
      </c>
    </row>
    <row r="1633" spans="1:28" x14ac:dyDescent="0.2">
      <c r="C1633" s="9" t="s">
        <v>1837</v>
      </c>
      <c r="D1633" s="38"/>
      <c r="E1633" s="38"/>
      <c r="F1633" s="38">
        <f>Source!CA398</f>
        <v>83</v>
      </c>
      <c r="G1633" s="61">
        <f>(Source!AF398+Source!AE398)*Source!FY398/100</f>
        <v>1304.2366849999999</v>
      </c>
      <c r="H1633" s="61">
        <f>Source!Y398</f>
        <v>2676.54</v>
      </c>
    </row>
    <row r="1634" spans="1:28" x14ac:dyDescent="0.2">
      <c r="C1634" s="9" t="s">
        <v>1838</v>
      </c>
      <c r="D1634" s="38"/>
      <c r="E1634" s="38"/>
      <c r="F1634" s="38"/>
      <c r="G1634" s="38" t="str">
        <f>CONCATENATE(Source!DM398,Source!FU398, "=", Source!FY398, "%")</f>
        <v>*0,85=70,55%</v>
      </c>
      <c r="H1634" s="38" t="str">
        <f>CONCATENATE(Source!AU398)</f>
        <v>71</v>
      </c>
    </row>
    <row r="1635" spans="1:28" x14ac:dyDescent="0.2">
      <c r="C1635" s="9" t="s">
        <v>1839</v>
      </c>
      <c r="D1635" s="38"/>
      <c r="E1635" s="38"/>
      <c r="F1635" s="38"/>
      <c r="G1635" s="61">
        <f>((Source!AF398+Source!AE398)*Source!FX398/100)+((Source!AF398+Source!AE398)*Source!FY398/100)+Source!AB398</f>
        <v>6226.0645249999998</v>
      </c>
      <c r="H1635" s="61">
        <f>Source!O398+Source!X398+Source!Y398</f>
        <v>12705.490000000002</v>
      </c>
    </row>
    <row r="1636" spans="1:28" ht="42.75" x14ac:dyDescent="0.2">
      <c r="A1636" s="50">
        <v>224</v>
      </c>
      <c r="B1636" s="50" t="str">
        <f>Source!E399</f>
        <v>112,1</v>
      </c>
      <c r="C1636" s="50" t="str">
        <f>Source!G399</f>
        <v>Хомут стальной оцинкованный с саморезом и резиновой прокладкой для крепления труб диаметром 25 мм</v>
      </c>
      <c r="D1636" s="50" t="str">
        <f>Source!F399</f>
        <v>23.1.02.06-0043</v>
      </c>
      <c r="E1636" s="35" t="str">
        <f>Source!H399</f>
        <v>10 шт.</v>
      </c>
      <c r="F1636" s="12">
        <f>Source!I399</f>
        <v>0.2</v>
      </c>
      <c r="G1636" s="25">
        <f>Source!AB399</f>
        <v>58.3</v>
      </c>
      <c r="H1636" s="25">
        <f>Source!O399</f>
        <v>83.14</v>
      </c>
      <c r="T1636">
        <f>Source!O399+Source!X399+Source!Y399</f>
        <v>83.14</v>
      </c>
      <c r="U1636">
        <f>Source!P399</f>
        <v>83.14</v>
      </c>
      <c r="V1636">
        <f>Source!S399</f>
        <v>0</v>
      </c>
      <c r="W1636">
        <f>Source!Q399</f>
        <v>0</v>
      </c>
      <c r="X1636">
        <f>Source!R399</f>
        <v>0</v>
      </c>
      <c r="Y1636">
        <f>Source!U399</f>
        <v>0</v>
      </c>
      <c r="Z1636">
        <f>Source!V399</f>
        <v>0</v>
      </c>
      <c r="AA1636">
        <f>Source!X399</f>
        <v>0</v>
      </c>
      <c r="AB1636">
        <f>Source!Y399</f>
        <v>0</v>
      </c>
    </row>
    <row r="1637" spans="1:28" ht="14.25" x14ac:dyDescent="0.2">
      <c r="C1637" s="26" t="s">
        <v>1833</v>
      </c>
      <c r="D1637" s="26">
        <f>Source!BC399</f>
        <v>7.13</v>
      </c>
      <c r="F1637" s="12"/>
      <c r="G1637" s="12"/>
      <c r="H1637" s="12"/>
    </row>
    <row r="1638" spans="1:28" ht="85.5" x14ac:dyDescent="0.2">
      <c r="A1638" s="50">
        <v>225</v>
      </c>
      <c r="B1638" s="50" t="str">
        <f>Source!E400</f>
        <v>112,2</v>
      </c>
      <c r="C1638" s="50" t="str">
        <f>Source!G400</f>
        <v>Трубопроводы напорные из полипропилена PPRS с гильзами и креплениями для холодного и горячего водоснабжения PN20 SDR 6, диаметром 25 мм, толщина стенки 4,2 мм</v>
      </c>
      <c r="D1638" s="50" t="str">
        <f>Source!F400</f>
        <v>24.3.02.01-0013</v>
      </c>
      <c r="E1638" s="35" t="str">
        <f>Source!H400</f>
        <v>м</v>
      </c>
      <c r="F1638" s="12">
        <f>Source!I400</f>
        <v>28.6</v>
      </c>
      <c r="G1638" s="25">
        <f>Source!AB400</f>
        <v>13.99</v>
      </c>
      <c r="H1638" s="25">
        <f>Source!O400</f>
        <v>2852.81</v>
      </c>
      <c r="T1638">
        <f>Source!O400+Source!X400+Source!Y400</f>
        <v>2852.81</v>
      </c>
      <c r="U1638">
        <f>Source!P400</f>
        <v>2852.81</v>
      </c>
      <c r="V1638">
        <f>Source!S400</f>
        <v>0</v>
      </c>
      <c r="W1638">
        <f>Source!Q400</f>
        <v>0</v>
      </c>
      <c r="X1638">
        <f>Source!R400</f>
        <v>0</v>
      </c>
      <c r="Y1638">
        <f>Source!U400</f>
        <v>0</v>
      </c>
      <c r="Z1638">
        <f>Source!V400</f>
        <v>0</v>
      </c>
      <c r="AA1638">
        <f>Source!X400</f>
        <v>0</v>
      </c>
      <c r="AB1638">
        <f>Source!Y400</f>
        <v>0</v>
      </c>
    </row>
    <row r="1639" spans="1:28" ht="14.25" x14ac:dyDescent="0.2">
      <c r="C1639" s="26" t="s">
        <v>1833</v>
      </c>
      <c r="D1639" s="26">
        <f>Source!BC400</f>
        <v>7.13</v>
      </c>
      <c r="F1639" s="12"/>
      <c r="G1639" s="12"/>
      <c r="H1639" s="12"/>
    </row>
    <row r="1640" spans="1:28" ht="57" x14ac:dyDescent="0.2">
      <c r="A1640" s="50">
        <v>226</v>
      </c>
      <c r="B1640" s="50" t="str">
        <f>Source!E401</f>
        <v>113</v>
      </c>
      <c r="C1640" s="50" t="str">
        <f>Source!G401</f>
        <v>Прокладка трубопроводов водоснабжения из напорных полиэтиленовых труб наружным диаметром 32 мм</v>
      </c>
      <c r="D1640" s="50" t="str">
        <f>Source!F401</f>
        <v>16-04-002-03</v>
      </c>
      <c r="E1640" s="35" t="str">
        <f>Source!H401</f>
        <v>100 м</v>
      </c>
      <c r="F1640" s="12">
        <f>Source!I401</f>
        <v>0.16300000000000001</v>
      </c>
      <c r="G1640" s="25">
        <f>Source!AB401</f>
        <v>2034.72</v>
      </c>
      <c r="H1640" s="25">
        <f>Source!O401</f>
        <v>2364.73</v>
      </c>
      <c r="T1640">
        <f>Source!O401+Source!X401+Source!Y401</f>
        <v>5547.47</v>
      </c>
      <c r="U1640">
        <f>Source!P401</f>
        <v>42.97</v>
      </c>
      <c r="V1640">
        <f>Source!S401</f>
        <v>1614.86</v>
      </c>
      <c r="W1640">
        <f>Source!Q401</f>
        <v>706.9</v>
      </c>
      <c r="X1640">
        <f>Source!R401</f>
        <v>96.29</v>
      </c>
      <c r="Y1640">
        <f>Source!U401</f>
        <v>22.831409999999998</v>
      </c>
      <c r="Z1640">
        <f>Source!V401</f>
        <v>1.0065250000000001</v>
      </c>
      <c r="AA1640">
        <f>Source!X401</f>
        <v>1967.82</v>
      </c>
      <c r="AB1640">
        <f>Source!Y401</f>
        <v>1214.92</v>
      </c>
    </row>
    <row r="1641" spans="1:28" ht="14.25" x14ac:dyDescent="0.2">
      <c r="C1641" s="26" t="str">
        <f>"Объем: "&amp;Source!I401&amp;"=16,3/"&amp;"100"</f>
        <v>Объем: 0,163=16,3/100</v>
      </c>
      <c r="F1641" s="12"/>
      <c r="G1641" s="12"/>
      <c r="H1641" s="12"/>
    </row>
    <row r="1642" spans="1:28" x14ac:dyDescent="0.2">
      <c r="C1642" s="26" t="s">
        <v>1831</v>
      </c>
      <c r="D1642" s="26">
        <f>Source!BA401</f>
        <v>7.13</v>
      </c>
    </row>
    <row r="1643" spans="1:28" x14ac:dyDescent="0.2">
      <c r="C1643" s="26" t="s">
        <v>1832</v>
      </c>
      <c r="D1643" s="26">
        <f>Source!BB401</f>
        <v>7.13</v>
      </c>
    </row>
    <row r="1644" spans="1:28" x14ac:dyDescent="0.2">
      <c r="C1644" s="26" t="s">
        <v>1833</v>
      </c>
      <c r="D1644" s="26">
        <f>Source!BC401</f>
        <v>7.13</v>
      </c>
    </row>
    <row r="1645" spans="1:28" x14ac:dyDescent="0.2">
      <c r="C1645" s="26" t="s">
        <v>1834</v>
      </c>
      <c r="D1645" s="26">
        <f>Source!BS401</f>
        <v>7.13</v>
      </c>
    </row>
    <row r="1646" spans="1:28" x14ac:dyDescent="0.2">
      <c r="C1646" s="26" t="s">
        <v>1841</v>
      </c>
      <c r="D1646" s="116" t="s">
        <v>81</v>
      </c>
      <c r="E1646" s="116"/>
      <c r="F1646" s="116"/>
      <c r="G1646" s="116"/>
      <c r="H1646" s="116"/>
    </row>
    <row r="1647" spans="1:28" x14ac:dyDescent="0.2">
      <c r="C1647" s="26" t="s">
        <v>1842</v>
      </c>
      <c r="D1647" s="116" t="s">
        <v>81</v>
      </c>
      <c r="E1647" s="116"/>
      <c r="F1647" s="116"/>
      <c r="G1647" s="116"/>
      <c r="H1647" s="116"/>
    </row>
    <row r="1648" spans="1:28" x14ac:dyDescent="0.2">
      <c r="C1648" s="26" t="s">
        <v>1843</v>
      </c>
      <c r="D1648" s="116" t="s">
        <v>82</v>
      </c>
      <c r="E1648" s="116"/>
      <c r="F1648" s="116"/>
      <c r="G1648" s="116"/>
      <c r="H1648" s="116"/>
    </row>
    <row r="1649" spans="1:28" x14ac:dyDescent="0.2">
      <c r="C1649" s="26" t="s">
        <v>1844</v>
      </c>
      <c r="D1649" s="116" t="s">
        <v>82</v>
      </c>
      <c r="E1649" s="116"/>
      <c r="F1649" s="116"/>
      <c r="G1649" s="116"/>
      <c r="H1649" s="116"/>
    </row>
    <row r="1650" spans="1:28" x14ac:dyDescent="0.2">
      <c r="C1650" s="26" t="s">
        <v>1845</v>
      </c>
      <c r="D1650" s="116" t="s">
        <v>81</v>
      </c>
      <c r="E1650" s="116"/>
      <c r="F1650" s="116"/>
      <c r="G1650" s="116"/>
      <c r="H1650" s="116"/>
    </row>
    <row r="1651" spans="1:28" x14ac:dyDescent="0.2">
      <c r="C1651" s="9" t="s">
        <v>1835</v>
      </c>
      <c r="D1651" s="38"/>
      <c r="E1651" s="38"/>
      <c r="F1651" s="38">
        <f>Source!BZ401</f>
        <v>128</v>
      </c>
      <c r="G1651" s="61">
        <f>(Source!AF401+Source!AE401)*Source!FX401/100</f>
        <v>1696.1472000000001</v>
      </c>
      <c r="H1651" s="61">
        <f>Source!X401</f>
        <v>1967.82</v>
      </c>
    </row>
    <row r="1652" spans="1:28" x14ac:dyDescent="0.2">
      <c r="C1652" s="9" t="s">
        <v>1836</v>
      </c>
      <c r="D1652" s="38"/>
      <c r="E1652" s="38"/>
      <c r="F1652" s="38"/>
      <c r="G1652" s="38" t="str">
        <f>CONCATENATE(Source!DL401,Source!FT401, "=", Source!FX401, "%")</f>
        <v>*0,9=115,2%</v>
      </c>
      <c r="H1652" s="38" t="str">
        <f>CONCATENATE(Source!AT401)</f>
        <v>115</v>
      </c>
    </row>
    <row r="1653" spans="1:28" x14ac:dyDescent="0.2">
      <c r="C1653" s="9" t="s">
        <v>1837</v>
      </c>
      <c r="D1653" s="38"/>
      <c r="E1653" s="38"/>
      <c r="F1653" s="38">
        <f>Source!CA401</f>
        <v>83</v>
      </c>
      <c r="G1653" s="61">
        <f>(Source!AF401+Source!AE401)*Source!FY401/100</f>
        <v>1038.742925</v>
      </c>
      <c r="H1653" s="61">
        <f>Source!Y401</f>
        <v>1214.92</v>
      </c>
    </row>
    <row r="1654" spans="1:28" x14ac:dyDescent="0.2">
      <c r="C1654" s="9" t="s">
        <v>1838</v>
      </c>
      <c r="D1654" s="38"/>
      <c r="E1654" s="38"/>
      <c r="F1654" s="38"/>
      <c r="G1654" s="38" t="str">
        <f>CONCATENATE(Source!DM401,Source!FU401, "=", Source!FY401, "%")</f>
        <v>*0,85=70,55%</v>
      </c>
      <c r="H1654" s="38" t="str">
        <f>CONCATENATE(Source!AU401)</f>
        <v>71</v>
      </c>
    </row>
    <row r="1655" spans="1:28" x14ac:dyDescent="0.2">
      <c r="C1655" s="9" t="s">
        <v>1839</v>
      </c>
      <c r="D1655" s="38"/>
      <c r="E1655" s="38"/>
      <c r="F1655" s="38"/>
      <c r="G1655" s="61">
        <f>((Source!AF401+Source!AE401)*Source!FX401/100)+((Source!AF401+Source!AE401)*Source!FY401/100)+Source!AB401</f>
        <v>4769.6101250000002</v>
      </c>
      <c r="H1655" s="61">
        <f>Source!O401+Source!X401+Source!Y401</f>
        <v>5547.47</v>
      </c>
    </row>
    <row r="1656" spans="1:28" ht="42.75" x14ac:dyDescent="0.2">
      <c r="A1656" s="50">
        <v>227</v>
      </c>
      <c r="B1656" s="50" t="str">
        <f>Source!E402</f>
        <v>113,1</v>
      </c>
      <c r="C1656" s="50" t="str">
        <f>Source!G402</f>
        <v>Хомут стальной оцинкованный с саморезом и резиновой прокладкой для крепления труб диаметром 32 мм</v>
      </c>
      <c r="D1656" s="50" t="str">
        <f>Source!F402</f>
        <v>23.1.02.06-0044</v>
      </c>
      <c r="E1656" s="35" t="str">
        <f>Source!H402</f>
        <v>10 шт.</v>
      </c>
      <c r="F1656" s="12">
        <f>Source!I402</f>
        <v>0.2</v>
      </c>
      <c r="G1656" s="25">
        <f>Source!AB402</f>
        <v>59.2</v>
      </c>
      <c r="H1656" s="25">
        <f>Source!O402</f>
        <v>84.42</v>
      </c>
      <c r="T1656">
        <f>Source!O402+Source!X402+Source!Y402</f>
        <v>84.42</v>
      </c>
      <c r="U1656">
        <f>Source!P402</f>
        <v>84.42</v>
      </c>
      <c r="V1656">
        <f>Source!S402</f>
        <v>0</v>
      </c>
      <c r="W1656">
        <f>Source!Q402</f>
        <v>0</v>
      </c>
      <c r="X1656">
        <f>Source!R402</f>
        <v>0</v>
      </c>
      <c r="Y1656">
        <f>Source!U402</f>
        <v>0</v>
      </c>
      <c r="Z1656">
        <f>Source!V402</f>
        <v>0</v>
      </c>
      <c r="AA1656">
        <f>Source!X402</f>
        <v>0</v>
      </c>
      <c r="AB1656">
        <f>Source!Y402</f>
        <v>0</v>
      </c>
    </row>
    <row r="1657" spans="1:28" ht="14.25" x14ac:dyDescent="0.2">
      <c r="C1657" s="26" t="s">
        <v>1833</v>
      </c>
      <c r="D1657" s="26">
        <f>Source!BC402</f>
        <v>7.13</v>
      </c>
      <c r="F1657" s="12"/>
      <c r="G1657" s="12"/>
      <c r="H1657" s="12"/>
    </row>
    <row r="1658" spans="1:28" ht="85.5" x14ac:dyDescent="0.2">
      <c r="A1658" s="50">
        <v>228</v>
      </c>
      <c r="B1658" s="50" t="str">
        <f>Source!E403</f>
        <v>113,2</v>
      </c>
      <c r="C1658" s="50" t="str">
        <f>Source!G403</f>
        <v>Трубопроводы напорные из полипропилена PPRS с гильзами и креплениями для холодного и горячего водоснабжения PN20 SDR 6, диаметром 32 мм, толщина стенки 5,4 мм</v>
      </c>
      <c r="D1658" s="50" t="str">
        <f>Source!F403</f>
        <v>24.3.02.01-0014</v>
      </c>
      <c r="E1658" s="35" t="str">
        <f>Source!H403</f>
        <v>м</v>
      </c>
      <c r="F1658" s="12">
        <f>Source!I403</f>
        <v>16.3</v>
      </c>
      <c r="G1658" s="25">
        <f>Source!AB403</f>
        <v>22.38</v>
      </c>
      <c r="H1658" s="25">
        <f>Source!O403</f>
        <v>2600.98</v>
      </c>
      <c r="T1658">
        <f>Source!O403+Source!X403+Source!Y403</f>
        <v>2600.98</v>
      </c>
      <c r="U1658">
        <f>Source!P403</f>
        <v>2600.98</v>
      </c>
      <c r="V1658">
        <f>Source!S403</f>
        <v>0</v>
      </c>
      <c r="W1658">
        <f>Source!Q403</f>
        <v>0</v>
      </c>
      <c r="X1658">
        <f>Source!R403</f>
        <v>0</v>
      </c>
      <c r="Y1658">
        <f>Source!U403</f>
        <v>0</v>
      </c>
      <c r="Z1658">
        <f>Source!V403</f>
        <v>0</v>
      </c>
      <c r="AA1658">
        <f>Source!X403</f>
        <v>0</v>
      </c>
      <c r="AB1658">
        <f>Source!Y403</f>
        <v>0</v>
      </c>
    </row>
    <row r="1659" spans="1:28" ht="14.25" x14ac:dyDescent="0.2">
      <c r="C1659" s="26" t="s">
        <v>1833</v>
      </c>
      <c r="D1659" s="26">
        <f>Source!BC403</f>
        <v>7.13</v>
      </c>
      <c r="F1659" s="12"/>
      <c r="G1659" s="12"/>
      <c r="H1659" s="12"/>
    </row>
    <row r="1660" spans="1:28" ht="57" x14ac:dyDescent="0.2">
      <c r="A1660" s="50">
        <v>229</v>
      </c>
      <c r="B1660" s="50" t="str">
        <f>Source!E404</f>
        <v>114</v>
      </c>
      <c r="C1660" s="50" t="str">
        <f>Source!G404</f>
        <v>Установка вентилей, задвижек, затворов, клапанов обратных, кранов проходных на трубопроводах из стальных труб диаметром до 25 мм</v>
      </c>
      <c r="D1660" s="50" t="str">
        <f>Source!F404</f>
        <v>16-05-001-01</v>
      </c>
      <c r="E1660" s="35" t="str">
        <f>Source!H404</f>
        <v>ШТ</v>
      </c>
      <c r="F1660" s="12">
        <f>Source!I404</f>
        <v>28</v>
      </c>
      <c r="G1660" s="25">
        <f>Source!AB404</f>
        <v>44.92</v>
      </c>
      <c r="H1660" s="25">
        <f>Source!O404</f>
        <v>8967.82</v>
      </c>
      <c r="T1660">
        <f>Source!O404+Source!X404+Source!Y404</f>
        <v>14716.02</v>
      </c>
      <c r="U1660">
        <f>Source!P404</f>
        <v>5032.92</v>
      </c>
      <c r="V1660">
        <f>Source!S404</f>
        <v>3060.48</v>
      </c>
      <c r="W1660">
        <f>Source!Q404</f>
        <v>874.42</v>
      </c>
      <c r="X1660">
        <f>Source!R404</f>
        <v>29.95</v>
      </c>
      <c r="Y1660">
        <f>Source!U404</f>
        <v>47.333999999999996</v>
      </c>
      <c r="Z1660">
        <f>Source!V404</f>
        <v>0.35000000000000003</v>
      </c>
      <c r="AA1660">
        <f>Source!X404</f>
        <v>3553.99</v>
      </c>
      <c r="AB1660">
        <f>Source!Y404</f>
        <v>2194.21</v>
      </c>
    </row>
    <row r="1661" spans="1:28" ht="14.25" x14ac:dyDescent="0.2">
      <c r="C1661" s="26" t="s">
        <v>1831</v>
      </c>
      <c r="D1661" s="26">
        <f>Source!BA404</f>
        <v>7.13</v>
      </c>
      <c r="F1661" s="12"/>
      <c r="G1661" s="12"/>
      <c r="H1661" s="12"/>
    </row>
    <row r="1662" spans="1:28" x14ac:dyDescent="0.2">
      <c r="C1662" s="26" t="s">
        <v>1832</v>
      </c>
      <c r="D1662" s="26">
        <f>Source!BB404</f>
        <v>7.13</v>
      </c>
    </row>
    <row r="1663" spans="1:28" x14ac:dyDescent="0.2">
      <c r="C1663" s="26" t="s">
        <v>1833</v>
      </c>
      <c r="D1663" s="26">
        <f>Source!BC404</f>
        <v>7.13</v>
      </c>
    </row>
    <row r="1664" spans="1:28" x14ac:dyDescent="0.2">
      <c r="C1664" s="26" t="s">
        <v>1834</v>
      </c>
      <c r="D1664" s="26">
        <f>Source!BS404</f>
        <v>7.13</v>
      </c>
    </row>
    <row r="1665" spans="1:28" x14ac:dyDescent="0.2">
      <c r="C1665" s="26" t="s">
        <v>1841</v>
      </c>
      <c r="D1665" s="116" t="s">
        <v>81</v>
      </c>
      <c r="E1665" s="116"/>
      <c r="F1665" s="116"/>
      <c r="G1665" s="116"/>
      <c r="H1665" s="116"/>
    </row>
    <row r="1666" spans="1:28" x14ac:dyDescent="0.2">
      <c r="C1666" s="26" t="s">
        <v>1842</v>
      </c>
      <c r="D1666" s="116" t="s">
        <v>81</v>
      </c>
      <c r="E1666" s="116"/>
      <c r="F1666" s="116"/>
      <c r="G1666" s="116"/>
      <c r="H1666" s="116"/>
    </row>
    <row r="1667" spans="1:28" x14ac:dyDescent="0.2">
      <c r="C1667" s="26" t="s">
        <v>1843</v>
      </c>
      <c r="D1667" s="116" t="s">
        <v>82</v>
      </c>
      <c r="E1667" s="116"/>
      <c r="F1667" s="116"/>
      <c r="G1667" s="116"/>
      <c r="H1667" s="116"/>
    </row>
    <row r="1668" spans="1:28" x14ac:dyDescent="0.2">
      <c r="C1668" s="26" t="s">
        <v>1844</v>
      </c>
      <c r="D1668" s="116" t="s">
        <v>82</v>
      </c>
      <c r="E1668" s="116"/>
      <c r="F1668" s="116"/>
      <c r="G1668" s="116"/>
      <c r="H1668" s="116"/>
    </row>
    <row r="1669" spans="1:28" x14ac:dyDescent="0.2">
      <c r="C1669" s="26" t="s">
        <v>1845</v>
      </c>
      <c r="D1669" s="116" t="s">
        <v>81</v>
      </c>
      <c r="E1669" s="116"/>
      <c r="F1669" s="116"/>
      <c r="G1669" s="116"/>
      <c r="H1669" s="116"/>
    </row>
    <row r="1670" spans="1:28" x14ac:dyDescent="0.2">
      <c r="C1670" s="9" t="s">
        <v>1835</v>
      </c>
      <c r="D1670" s="38"/>
      <c r="E1670" s="38"/>
      <c r="F1670" s="38">
        <f>Source!BZ404</f>
        <v>128</v>
      </c>
      <c r="G1670" s="61">
        <f>(Source!AF404+Source!AE404)*Source!FX404/100</f>
        <v>17.83296</v>
      </c>
      <c r="H1670" s="61">
        <f>Source!X404</f>
        <v>3553.99</v>
      </c>
    </row>
    <row r="1671" spans="1:28" x14ac:dyDescent="0.2">
      <c r="C1671" s="9" t="s">
        <v>1836</v>
      </c>
      <c r="D1671" s="38"/>
      <c r="E1671" s="38"/>
      <c r="F1671" s="38"/>
      <c r="G1671" s="38" t="str">
        <f>CONCATENATE(Source!DL404,Source!FT404, "=", Source!FX404, "%")</f>
        <v>*0,9=115,2%</v>
      </c>
      <c r="H1671" s="38" t="str">
        <f>CONCATENATE(Source!AT404)</f>
        <v>115</v>
      </c>
    </row>
    <row r="1672" spans="1:28" x14ac:dyDescent="0.2">
      <c r="C1672" s="9" t="s">
        <v>1837</v>
      </c>
      <c r="D1672" s="38"/>
      <c r="E1672" s="38"/>
      <c r="F1672" s="38">
        <f>Source!CA404</f>
        <v>83</v>
      </c>
      <c r="G1672" s="61">
        <f>(Source!AF404+Source!AE404)*Source!FY404/100</f>
        <v>10.921140000000001</v>
      </c>
      <c r="H1672" s="61">
        <f>Source!Y404</f>
        <v>2194.21</v>
      </c>
    </row>
    <row r="1673" spans="1:28" x14ac:dyDescent="0.2">
      <c r="C1673" s="9" t="s">
        <v>1838</v>
      </c>
      <c r="D1673" s="38"/>
      <c r="E1673" s="38"/>
      <c r="F1673" s="38"/>
      <c r="G1673" s="38" t="str">
        <f>CONCATENATE(Source!DM404,Source!FU404, "=", Source!FY404, "%")</f>
        <v>*0,85=70,55%</v>
      </c>
      <c r="H1673" s="38" t="str">
        <f>CONCATENATE(Source!AU404)</f>
        <v>71</v>
      </c>
    </row>
    <row r="1674" spans="1:28" x14ac:dyDescent="0.2">
      <c r="C1674" s="9" t="s">
        <v>1839</v>
      </c>
      <c r="D1674" s="38"/>
      <c r="E1674" s="38"/>
      <c r="F1674" s="38"/>
      <c r="G1674" s="61">
        <f>((Source!AF404+Source!AE404)*Source!FX404/100)+((Source!AF404+Source!AE404)*Source!FY404/100)+Source!AB404</f>
        <v>73.67410000000001</v>
      </c>
      <c r="H1674" s="61">
        <f>Source!O404+Source!X404+Source!Y404</f>
        <v>14716.02</v>
      </c>
    </row>
    <row r="1675" spans="1:28" ht="28.5" x14ac:dyDescent="0.2">
      <c r="A1675" s="50">
        <v>230</v>
      </c>
      <c r="B1675" s="50" t="str">
        <f>Source!E405</f>
        <v>114,1</v>
      </c>
      <c r="C1675" s="50" t="str">
        <f>Source!G405</f>
        <v>Кран шаровый муфтовый Valtec для воды диаметром 15 мм, тип в/н</v>
      </c>
      <c r="D1675" s="50" t="str">
        <f>Source!F405</f>
        <v>18.1.09.06-0064</v>
      </c>
      <c r="E1675" s="35" t="str">
        <f>Source!H405</f>
        <v>шт.</v>
      </c>
      <c r="F1675" s="12">
        <f>Source!I405</f>
        <v>22</v>
      </c>
      <c r="G1675" s="25">
        <f>Source!AB405</f>
        <v>32.22</v>
      </c>
      <c r="H1675" s="25">
        <f>Source!O405</f>
        <v>5054.03</v>
      </c>
      <c r="T1675">
        <f>Source!O405+Source!X405+Source!Y405</f>
        <v>5054.03</v>
      </c>
      <c r="U1675">
        <f>Source!P405</f>
        <v>5054.03</v>
      </c>
      <c r="V1675">
        <f>Source!S405</f>
        <v>0</v>
      </c>
      <c r="W1675">
        <f>Source!Q405</f>
        <v>0</v>
      </c>
      <c r="X1675">
        <f>Source!R405</f>
        <v>0</v>
      </c>
      <c r="Y1675">
        <f>Source!U405</f>
        <v>0</v>
      </c>
      <c r="Z1675">
        <f>Source!V405</f>
        <v>0</v>
      </c>
      <c r="AA1675">
        <f>Source!X405</f>
        <v>0</v>
      </c>
      <c r="AB1675">
        <f>Source!Y405</f>
        <v>0</v>
      </c>
    </row>
    <row r="1676" spans="1:28" ht="14.25" x14ac:dyDescent="0.2">
      <c r="C1676" s="26" t="s">
        <v>1833</v>
      </c>
      <c r="D1676" s="26">
        <f>Source!BC405</f>
        <v>7.13</v>
      </c>
      <c r="F1676" s="12"/>
      <c r="G1676" s="12"/>
      <c r="H1676" s="12"/>
    </row>
    <row r="1677" spans="1:28" ht="28.5" x14ac:dyDescent="0.2">
      <c r="A1677" s="50">
        <v>231</v>
      </c>
      <c r="B1677" s="50" t="str">
        <f>Source!E406</f>
        <v>114,2</v>
      </c>
      <c r="C1677" s="50" t="str">
        <f>Source!G406</f>
        <v>Кран шаровый муфтовый Valtec для воды диаметром 25 мм со сгоном</v>
      </c>
      <c r="D1677" s="50" t="str">
        <f>Source!F406</f>
        <v>18.1.09.06-0072</v>
      </c>
      <c r="E1677" s="35" t="str">
        <f>Source!H406</f>
        <v>шт.</v>
      </c>
      <c r="F1677" s="12">
        <f>Source!I406</f>
        <v>6</v>
      </c>
      <c r="G1677" s="25">
        <f>Source!AB406</f>
        <v>101.68</v>
      </c>
      <c r="H1677" s="25">
        <f>Source!O406</f>
        <v>4349.87</v>
      </c>
      <c r="T1677">
        <f>Source!O406+Source!X406+Source!Y406</f>
        <v>4349.87</v>
      </c>
      <c r="U1677">
        <f>Source!P406</f>
        <v>4349.87</v>
      </c>
      <c r="V1677">
        <f>Source!S406</f>
        <v>0</v>
      </c>
      <c r="W1677">
        <f>Source!Q406</f>
        <v>0</v>
      </c>
      <c r="X1677">
        <f>Source!R406</f>
        <v>0</v>
      </c>
      <c r="Y1677">
        <f>Source!U406</f>
        <v>0</v>
      </c>
      <c r="Z1677">
        <f>Source!V406</f>
        <v>0</v>
      </c>
      <c r="AA1677">
        <f>Source!X406</f>
        <v>0</v>
      </c>
      <c r="AB1677">
        <f>Source!Y406</f>
        <v>0</v>
      </c>
    </row>
    <row r="1678" spans="1:28" ht="14.25" x14ac:dyDescent="0.2">
      <c r="C1678" s="26" t="s">
        <v>1833</v>
      </c>
      <c r="D1678" s="26">
        <f>Source!BC406</f>
        <v>7.13</v>
      </c>
      <c r="F1678" s="12"/>
      <c r="G1678" s="12"/>
      <c r="H1678" s="12"/>
    </row>
    <row r="1679" spans="1:28" ht="14.25" x14ac:dyDescent="0.2">
      <c r="A1679" s="50">
        <v>232</v>
      </c>
      <c r="B1679" s="50" t="str">
        <f>Source!E407</f>
        <v>115</v>
      </c>
      <c r="C1679" s="50" t="str">
        <f>Source!G407</f>
        <v>Снятие смесителя с душевой сеткой</v>
      </c>
      <c r="D1679" s="50" t="str">
        <f>Source!F407</f>
        <v>65-3-6</v>
      </c>
      <c r="E1679" s="35" t="str">
        <f>Source!H407</f>
        <v>100 ШТ</v>
      </c>
      <c r="F1679" s="12">
        <f>Source!I407</f>
        <v>0.03</v>
      </c>
      <c r="G1679" s="25">
        <f>Source!AB407</f>
        <v>494.82</v>
      </c>
      <c r="H1679" s="25">
        <f>Source!O407</f>
        <v>105.84</v>
      </c>
      <c r="T1679">
        <f>Source!O407+Source!X407+Source!Y407</f>
        <v>236.52999999999997</v>
      </c>
      <c r="U1679">
        <f>Source!P407</f>
        <v>0</v>
      </c>
      <c r="V1679">
        <f>Source!S407</f>
        <v>105.04</v>
      </c>
      <c r="W1679">
        <f>Source!Q407</f>
        <v>0.8</v>
      </c>
      <c r="X1679">
        <f>Source!R407</f>
        <v>0.35</v>
      </c>
      <c r="Y1679">
        <f>Source!U407</f>
        <v>1.7270999999999999</v>
      </c>
      <c r="Z1679">
        <f>Source!V407</f>
        <v>3.5999999999999999E-3</v>
      </c>
      <c r="AA1679">
        <f>Source!X407</f>
        <v>77.989999999999995</v>
      </c>
      <c r="AB1679">
        <f>Source!Y407</f>
        <v>52.7</v>
      </c>
    </row>
    <row r="1680" spans="1:28" ht="14.25" x14ac:dyDescent="0.2">
      <c r="C1680" s="26" t="str">
        <f>"Объем: "&amp;Source!I407&amp;"=3/"&amp;"100"</f>
        <v>Объем: 0,03=3/100</v>
      </c>
      <c r="F1680" s="12"/>
      <c r="G1680" s="12"/>
      <c r="H1680" s="12"/>
    </row>
    <row r="1681" spans="1:28" x14ac:dyDescent="0.2">
      <c r="C1681" s="26" t="s">
        <v>1831</v>
      </c>
      <c r="D1681" s="26">
        <f>Source!BA407</f>
        <v>7.13</v>
      </c>
    </row>
    <row r="1682" spans="1:28" x14ac:dyDescent="0.2">
      <c r="C1682" s="26" t="s">
        <v>1832</v>
      </c>
      <c r="D1682" s="26">
        <f>Source!BB407</f>
        <v>7.13</v>
      </c>
    </row>
    <row r="1683" spans="1:28" x14ac:dyDescent="0.2">
      <c r="C1683" s="26" t="s">
        <v>1833</v>
      </c>
      <c r="D1683" s="26">
        <f>Source!BC407</f>
        <v>7.13</v>
      </c>
    </row>
    <row r="1684" spans="1:28" x14ac:dyDescent="0.2">
      <c r="C1684" s="26" t="s">
        <v>1834</v>
      </c>
      <c r="D1684" s="26">
        <f>Source!BS407</f>
        <v>7.13</v>
      </c>
    </row>
    <row r="1685" spans="1:28" x14ac:dyDescent="0.2">
      <c r="C1685" s="9" t="s">
        <v>1835</v>
      </c>
      <c r="D1685" s="38"/>
      <c r="E1685" s="38"/>
      <c r="F1685" s="38">
        <f>Source!BZ407</f>
        <v>74</v>
      </c>
      <c r="G1685" s="61">
        <f>(Source!AF407+Source!AE407)*Source!FX407/100</f>
        <v>364.59059999999999</v>
      </c>
      <c r="H1685" s="61">
        <f>Source!X407</f>
        <v>77.989999999999995</v>
      </c>
    </row>
    <row r="1686" spans="1:28" x14ac:dyDescent="0.2">
      <c r="C1686" s="9" t="s">
        <v>1837</v>
      </c>
      <c r="D1686" s="38"/>
      <c r="E1686" s="38"/>
      <c r="F1686" s="38">
        <f>Source!CA407</f>
        <v>50</v>
      </c>
      <c r="G1686" s="61">
        <f>(Source!AF407+Source!AE407)*Source!FY407/100</f>
        <v>246.345</v>
      </c>
      <c r="H1686" s="61">
        <f>Source!Y407</f>
        <v>52.7</v>
      </c>
    </row>
    <row r="1687" spans="1:28" x14ac:dyDescent="0.2">
      <c r="C1687" s="9" t="s">
        <v>1839</v>
      </c>
      <c r="D1687" s="38"/>
      <c r="E1687" s="38"/>
      <c r="F1687" s="38"/>
      <c r="G1687" s="61">
        <f>((Source!AF407+Source!AE407)*Source!FX407/100)+((Source!AF407+Source!AE407)*Source!FY407/100)+Source!AB407</f>
        <v>1105.7556</v>
      </c>
      <c r="H1687" s="61">
        <f>Source!O407+Source!X407+Source!Y407</f>
        <v>236.52999999999997</v>
      </c>
    </row>
    <row r="1688" spans="1:28" ht="14.25" x14ac:dyDescent="0.2">
      <c r="A1688" s="50">
        <v>233</v>
      </c>
      <c r="B1688" s="50" t="str">
        <f>Source!E408</f>
        <v>116</v>
      </c>
      <c r="C1688" s="50" t="str">
        <f>Source!G408</f>
        <v>Снятие смесителя без душевой сетки</v>
      </c>
      <c r="D1688" s="50" t="str">
        <f>Source!F408</f>
        <v>65-3-7</v>
      </c>
      <c r="E1688" s="35" t="str">
        <f>Source!H408</f>
        <v>100 ШТ</v>
      </c>
      <c r="F1688" s="12">
        <f>Source!I408</f>
        <v>0.08</v>
      </c>
      <c r="G1688" s="25">
        <f>Source!AB408</f>
        <v>315.33</v>
      </c>
      <c r="H1688" s="25">
        <f>Source!O408</f>
        <v>179.87</v>
      </c>
      <c r="T1688">
        <f>Source!O408+Source!X408+Source!Y408</f>
        <v>402.03000000000003</v>
      </c>
      <c r="U1688">
        <f>Source!P408</f>
        <v>0</v>
      </c>
      <c r="V1688">
        <f>Source!S408</f>
        <v>178.62</v>
      </c>
      <c r="W1688">
        <f>Source!Q408</f>
        <v>1.25</v>
      </c>
      <c r="X1688">
        <f>Source!R408</f>
        <v>0.54</v>
      </c>
      <c r="Y1688">
        <f>Source!U408</f>
        <v>2.9368000000000003</v>
      </c>
      <c r="Z1688">
        <f>Source!V408</f>
        <v>5.6000000000000008E-3</v>
      </c>
      <c r="AA1688">
        <f>Source!X408</f>
        <v>132.58000000000001</v>
      </c>
      <c r="AB1688">
        <f>Source!Y408</f>
        <v>89.58</v>
      </c>
    </row>
    <row r="1689" spans="1:28" ht="14.25" x14ac:dyDescent="0.2">
      <c r="C1689" s="26" t="str">
        <f>"Объем: "&amp;Source!I408&amp;"=8/"&amp;"100"</f>
        <v>Объем: 0,08=8/100</v>
      </c>
      <c r="F1689" s="12"/>
      <c r="G1689" s="12"/>
      <c r="H1689" s="12"/>
    </row>
    <row r="1690" spans="1:28" x14ac:dyDescent="0.2">
      <c r="C1690" s="26" t="s">
        <v>1831</v>
      </c>
      <c r="D1690" s="26">
        <f>Source!BA408</f>
        <v>7.13</v>
      </c>
    </row>
    <row r="1691" spans="1:28" x14ac:dyDescent="0.2">
      <c r="C1691" s="26" t="s">
        <v>1832</v>
      </c>
      <c r="D1691" s="26">
        <f>Source!BB408</f>
        <v>7.13</v>
      </c>
    </row>
    <row r="1692" spans="1:28" x14ac:dyDescent="0.2">
      <c r="C1692" s="26" t="s">
        <v>1833</v>
      </c>
      <c r="D1692" s="26">
        <f>Source!BC408</f>
        <v>7.13</v>
      </c>
    </row>
    <row r="1693" spans="1:28" x14ac:dyDescent="0.2">
      <c r="C1693" s="26" t="s">
        <v>1834</v>
      </c>
      <c r="D1693" s="26">
        <f>Source!BS408</f>
        <v>7.13</v>
      </c>
    </row>
    <row r="1694" spans="1:28" x14ac:dyDescent="0.2">
      <c r="C1694" s="9" t="s">
        <v>1835</v>
      </c>
      <c r="D1694" s="38"/>
      <c r="E1694" s="38"/>
      <c r="F1694" s="38">
        <f>Source!BZ408</f>
        <v>74</v>
      </c>
      <c r="G1694" s="61">
        <f>(Source!AF408+Source!AE408)*Source!FX408/100</f>
        <v>232.42660000000001</v>
      </c>
      <c r="H1694" s="61">
        <f>Source!X408</f>
        <v>132.58000000000001</v>
      </c>
    </row>
    <row r="1695" spans="1:28" x14ac:dyDescent="0.2">
      <c r="C1695" s="9" t="s">
        <v>1837</v>
      </c>
      <c r="D1695" s="38"/>
      <c r="E1695" s="38"/>
      <c r="F1695" s="38">
        <f>Source!CA408</f>
        <v>50</v>
      </c>
      <c r="G1695" s="61">
        <f>(Source!AF408+Source!AE408)*Source!FY408/100</f>
        <v>157.04499999999999</v>
      </c>
      <c r="H1695" s="61">
        <f>Source!Y408</f>
        <v>89.58</v>
      </c>
    </row>
    <row r="1696" spans="1:28" x14ac:dyDescent="0.2">
      <c r="C1696" s="9" t="s">
        <v>1839</v>
      </c>
      <c r="D1696" s="38"/>
      <c r="E1696" s="38"/>
      <c r="F1696" s="38"/>
      <c r="G1696" s="61">
        <f>((Source!AF408+Source!AE408)*Source!FX408/100)+((Source!AF408+Source!AE408)*Source!FY408/100)+Source!AB408</f>
        <v>704.80160000000001</v>
      </c>
      <c r="H1696" s="61">
        <f>Source!O408+Source!X408+Source!Y408</f>
        <v>402.03000000000003</v>
      </c>
    </row>
    <row r="1697" spans="1:28" ht="28.5" x14ac:dyDescent="0.2">
      <c r="A1697" s="50">
        <v>234</v>
      </c>
      <c r="B1697" s="50" t="str">
        <f>Source!E409</f>
        <v>117</v>
      </c>
      <c r="C1697" s="50" t="str">
        <f>Source!G409</f>
        <v>Установка смесителей</v>
      </c>
      <c r="D1697" s="50" t="str">
        <f>Source!F409</f>
        <v>17-01-002-03</v>
      </c>
      <c r="E1697" s="35" t="str">
        <f>Source!H409</f>
        <v>10 ШТ</v>
      </c>
      <c r="F1697" s="12">
        <f>Source!I409</f>
        <v>1.1000000000000001</v>
      </c>
      <c r="G1697" s="25">
        <f>Source!AB409</f>
        <v>88.42</v>
      </c>
      <c r="H1697" s="25">
        <f>Source!O409</f>
        <v>693.48</v>
      </c>
      <c r="T1697">
        <f>Source!O409+Source!X409+Source!Y409</f>
        <v>1823.17</v>
      </c>
      <c r="U1697">
        <f>Source!P409</f>
        <v>86.12</v>
      </c>
      <c r="V1697">
        <f>Source!S409</f>
        <v>607.36</v>
      </c>
      <c r="W1697">
        <f>Source!Q409</f>
        <v>0</v>
      </c>
      <c r="X1697">
        <f>Source!R409</f>
        <v>0</v>
      </c>
      <c r="Y1697">
        <f>Source!U409</f>
        <v>8.8550000000000004</v>
      </c>
      <c r="Z1697">
        <f>Source!V409</f>
        <v>0</v>
      </c>
      <c r="AA1697">
        <f>Source!X409</f>
        <v>698.46</v>
      </c>
      <c r="AB1697">
        <f>Source!Y409</f>
        <v>431.23</v>
      </c>
    </row>
    <row r="1698" spans="1:28" ht="14.25" x14ac:dyDescent="0.2">
      <c r="C1698" s="26" t="str">
        <f>"Объем: "&amp;Source!I409&amp;"=11/"&amp;"10"</f>
        <v>Объем: 1,1=11/10</v>
      </c>
      <c r="F1698" s="12"/>
      <c r="G1698" s="12"/>
      <c r="H1698" s="12"/>
    </row>
    <row r="1699" spans="1:28" x14ac:dyDescent="0.2">
      <c r="C1699" s="26" t="s">
        <v>1831</v>
      </c>
      <c r="D1699" s="26">
        <f>Source!BA409</f>
        <v>7.13</v>
      </c>
    </row>
    <row r="1700" spans="1:28" x14ac:dyDescent="0.2">
      <c r="C1700" s="26" t="s">
        <v>1832</v>
      </c>
      <c r="D1700" s="26">
        <f>Source!BB409</f>
        <v>7.13</v>
      </c>
    </row>
    <row r="1701" spans="1:28" x14ac:dyDescent="0.2">
      <c r="C1701" s="26" t="s">
        <v>1833</v>
      </c>
      <c r="D1701" s="26">
        <f>Source!BC409</f>
        <v>7.13</v>
      </c>
    </row>
    <row r="1702" spans="1:28" x14ac:dyDescent="0.2">
      <c r="C1702" s="26" t="s">
        <v>1834</v>
      </c>
      <c r="D1702" s="26">
        <f>Source!BS409</f>
        <v>7.13</v>
      </c>
    </row>
    <row r="1703" spans="1:28" x14ac:dyDescent="0.2">
      <c r="C1703" s="26" t="s">
        <v>1841</v>
      </c>
      <c r="D1703" s="116" t="s">
        <v>81</v>
      </c>
      <c r="E1703" s="116"/>
      <c r="F1703" s="116"/>
      <c r="G1703" s="116"/>
      <c r="H1703" s="116"/>
    </row>
    <row r="1704" spans="1:28" x14ac:dyDescent="0.2">
      <c r="C1704" s="26" t="s">
        <v>1842</v>
      </c>
      <c r="D1704" s="116" t="s">
        <v>81</v>
      </c>
      <c r="E1704" s="116"/>
      <c r="F1704" s="116"/>
      <c r="G1704" s="116"/>
      <c r="H1704" s="116"/>
    </row>
    <row r="1705" spans="1:28" x14ac:dyDescent="0.2">
      <c r="C1705" s="26" t="s">
        <v>1843</v>
      </c>
      <c r="D1705" s="116" t="s">
        <v>82</v>
      </c>
      <c r="E1705" s="116"/>
      <c r="F1705" s="116"/>
      <c r="G1705" s="116"/>
      <c r="H1705" s="116"/>
    </row>
    <row r="1706" spans="1:28" x14ac:dyDescent="0.2">
      <c r="C1706" s="26" t="s">
        <v>1844</v>
      </c>
      <c r="D1706" s="116" t="s">
        <v>82</v>
      </c>
      <c r="E1706" s="116"/>
      <c r="F1706" s="116"/>
      <c r="G1706" s="116"/>
      <c r="H1706" s="116"/>
    </row>
    <row r="1707" spans="1:28" x14ac:dyDescent="0.2">
      <c r="C1707" s="26" t="s">
        <v>1845</v>
      </c>
      <c r="D1707" s="116" t="s">
        <v>81</v>
      </c>
      <c r="E1707" s="116"/>
      <c r="F1707" s="116"/>
      <c r="G1707" s="116"/>
      <c r="H1707" s="116"/>
    </row>
    <row r="1708" spans="1:28" x14ac:dyDescent="0.2">
      <c r="C1708" s="9" t="s">
        <v>1835</v>
      </c>
      <c r="D1708" s="38"/>
      <c r="E1708" s="38"/>
      <c r="F1708" s="38">
        <f>Source!BZ409</f>
        <v>128</v>
      </c>
      <c r="G1708" s="61">
        <f>(Source!AF409+Source!AE409)*Source!FX409/100</f>
        <v>89.210880000000003</v>
      </c>
      <c r="H1708" s="61">
        <f>Source!X409</f>
        <v>698.46</v>
      </c>
    </row>
    <row r="1709" spans="1:28" x14ac:dyDescent="0.2">
      <c r="C1709" s="9" t="s">
        <v>1836</v>
      </c>
      <c r="D1709" s="38"/>
      <c r="E1709" s="38"/>
      <c r="F1709" s="38"/>
      <c r="G1709" s="38" t="str">
        <f>CONCATENATE(Source!DL409,Source!FT409, "=", Source!FX409, "%")</f>
        <v>*0,9=115,2%</v>
      </c>
      <c r="H1709" s="38" t="str">
        <f>CONCATENATE(Source!AT409)</f>
        <v>115</v>
      </c>
    </row>
    <row r="1710" spans="1:28" x14ac:dyDescent="0.2">
      <c r="C1710" s="9" t="s">
        <v>1837</v>
      </c>
      <c r="D1710" s="38"/>
      <c r="E1710" s="38"/>
      <c r="F1710" s="38">
        <f>Source!CA409</f>
        <v>83</v>
      </c>
      <c r="G1710" s="61">
        <f>(Source!AF409+Source!AE409)*Source!FY409/100</f>
        <v>54.633919999999996</v>
      </c>
      <c r="H1710" s="61">
        <f>Source!Y409</f>
        <v>431.23</v>
      </c>
    </row>
    <row r="1711" spans="1:28" x14ac:dyDescent="0.2">
      <c r="C1711" s="9" t="s">
        <v>1838</v>
      </c>
      <c r="D1711" s="38"/>
      <c r="E1711" s="38"/>
      <c r="F1711" s="38"/>
      <c r="G1711" s="38" t="str">
        <f>CONCATENATE(Source!DM409,Source!FU409, "=", Source!FY409, "%")</f>
        <v>*0,85=70,55%</v>
      </c>
      <c r="H1711" s="38" t="str">
        <f>CONCATENATE(Source!AU409)</f>
        <v>71</v>
      </c>
    </row>
    <row r="1712" spans="1:28" x14ac:dyDescent="0.2">
      <c r="C1712" s="9" t="s">
        <v>1839</v>
      </c>
      <c r="D1712" s="38"/>
      <c r="E1712" s="38"/>
      <c r="F1712" s="38"/>
      <c r="G1712" s="61">
        <f>((Source!AF409+Source!AE409)*Source!FX409/100)+((Source!AF409+Source!AE409)*Source!FY409/100)+Source!AB409</f>
        <v>232.26479999999998</v>
      </c>
      <c r="H1712" s="61">
        <f>Source!O409+Source!X409+Source!Y409</f>
        <v>1823.17</v>
      </c>
    </row>
    <row r="1713" spans="1:28" ht="28.5" x14ac:dyDescent="0.2">
      <c r="A1713" s="50">
        <v>235</v>
      </c>
      <c r="B1713" s="50" t="str">
        <f>Source!E410</f>
        <v>117,1</v>
      </c>
      <c r="C1713" s="50" t="str">
        <f>Source!G410</f>
        <v>Подводка гибкая армированная резиновая 500 мм</v>
      </c>
      <c r="D1713" s="50" t="str">
        <f>Source!F410</f>
        <v>18.2.06.08-0013</v>
      </c>
      <c r="E1713" s="35" t="str">
        <f>Source!H410</f>
        <v>10 шт.</v>
      </c>
      <c r="F1713" s="12">
        <f>Source!I410</f>
        <v>2.2999999999999998</v>
      </c>
      <c r="G1713" s="25">
        <f>Source!AB410</f>
        <v>204.5</v>
      </c>
      <c r="H1713" s="25">
        <f>Source!O410</f>
        <v>3353.6</v>
      </c>
      <c r="T1713">
        <f>Source!O410+Source!X410+Source!Y410</f>
        <v>3353.6</v>
      </c>
      <c r="U1713">
        <f>Source!P410</f>
        <v>3353.6</v>
      </c>
      <c r="V1713">
        <f>Source!S410</f>
        <v>0</v>
      </c>
      <c r="W1713">
        <f>Source!Q410</f>
        <v>0</v>
      </c>
      <c r="X1713">
        <f>Source!R410</f>
        <v>0</v>
      </c>
      <c r="Y1713">
        <f>Source!U410</f>
        <v>0</v>
      </c>
      <c r="Z1713">
        <f>Source!V410</f>
        <v>0</v>
      </c>
      <c r="AA1713">
        <f>Source!X410</f>
        <v>0</v>
      </c>
      <c r="AB1713">
        <f>Source!Y410</f>
        <v>0</v>
      </c>
    </row>
    <row r="1714" spans="1:28" ht="14.25" x14ac:dyDescent="0.2">
      <c r="C1714" s="26" t="s">
        <v>1833</v>
      </c>
      <c r="D1714" s="26">
        <f>Source!BC410</f>
        <v>7.13</v>
      </c>
      <c r="F1714" s="12"/>
      <c r="G1714" s="12"/>
      <c r="H1714" s="12"/>
    </row>
    <row r="1715" spans="1:28" ht="57" x14ac:dyDescent="0.2">
      <c r="A1715" s="50">
        <v>236</v>
      </c>
      <c r="B1715" s="50" t="str">
        <f>Source!E411</f>
        <v>117,2</v>
      </c>
      <c r="C1715" s="50" t="str">
        <f>Source!G411</f>
        <v>Смесители для ванн СМ-Д-Шл с душевой сеткой на гибком шланге, с кнопочным переключателем, с латунными маховичками, штангой</v>
      </c>
      <c r="D1715" s="50" t="str">
        <f>Source!F411</f>
        <v>18.1.10.10-0014</v>
      </c>
      <c r="E1715" s="35" t="str">
        <f>Source!H411</f>
        <v>компл.</v>
      </c>
      <c r="F1715" s="12">
        <f>Source!I411</f>
        <v>3</v>
      </c>
      <c r="G1715" s="25">
        <f>Source!AB411</f>
        <v>252.5</v>
      </c>
      <c r="H1715" s="25">
        <f>Source!O411</f>
        <v>5400.98</v>
      </c>
      <c r="T1715">
        <f>Source!O411+Source!X411+Source!Y411</f>
        <v>5400.98</v>
      </c>
      <c r="U1715">
        <f>Source!P411</f>
        <v>5400.98</v>
      </c>
      <c r="V1715">
        <f>Source!S411</f>
        <v>0</v>
      </c>
      <c r="W1715">
        <f>Source!Q411</f>
        <v>0</v>
      </c>
      <c r="X1715">
        <f>Source!R411</f>
        <v>0</v>
      </c>
      <c r="Y1715">
        <f>Source!U411</f>
        <v>0</v>
      </c>
      <c r="Z1715">
        <f>Source!V411</f>
        <v>0</v>
      </c>
      <c r="AA1715">
        <f>Source!X411</f>
        <v>0</v>
      </c>
      <c r="AB1715">
        <f>Source!Y411</f>
        <v>0</v>
      </c>
    </row>
    <row r="1716" spans="1:28" ht="14.25" x14ac:dyDescent="0.2">
      <c r="C1716" s="26" t="s">
        <v>1833</v>
      </c>
      <c r="D1716" s="26">
        <f>Source!BC411</f>
        <v>7.13</v>
      </c>
      <c r="F1716" s="12"/>
      <c r="G1716" s="12"/>
      <c r="H1716" s="12"/>
    </row>
    <row r="1717" spans="1:28" ht="42.75" x14ac:dyDescent="0.2">
      <c r="A1717" s="50">
        <v>237</v>
      </c>
      <c r="B1717" s="50" t="str">
        <f>Source!E412</f>
        <v>117,3</v>
      </c>
      <c r="C1717" s="50" t="str">
        <f>Source!G412</f>
        <v>Смесители для умывальников СМ-УМ-НКСА настольные, с нижней камерой смешения с аэратором</v>
      </c>
      <c r="D1717" s="50" t="str">
        <f>Source!F412</f>
        <v>18.1.10.10-0042</v>
      </c>
      <c r="E1717" s="35" t="str">
        <f>Source!H412</f>
        <v>компл.</v>
      </c>
      <c r="F1717" s="12">
        <f>Source!I412</f>
        <v>3</v>
      </c>
      <c r="G1717" s="25">
        <f>Source!AB412</f>
        <v>106.93</v>
      </c>
      <c r="H1717" s="25">
        <f>Source!O412</f>
        <v>2287.23</v>
      </c>
      <c r="T1717">
        <f>Source!O412+Source!X412+Source!Y412</f>
        <v>2287.23</v>
      </c>
      <c r="U1717">
        <f>Source!P412</f>
        <v>2287.23</v>
      </c>
      <c r="V1717">
        <f>Source!S412</f>
        <v>0</v>
      </c>
      <c r="W1717">
        <f>Source!Q412</f>
        <v>0</v>
      </c>
      <c r="X1717">
        <f>Source!R412</f>
        <v>0</v>
      </c>
      <c r="Y1717">
        <f>Source!U412</f>
        <v>0</v>
      </c>
      <c r="Z1717">
        <f>Source!V412</f>
        <v>0</v>
      </c>
      <c r="AA1717">
        <f>Source!X412</f>
        <v>0</v>
      </c>
      <c r="AB1717">
        <f>Source!Y412</f>
        <v>0</v>
      </c>
    </row>
    <row r="1718" spans="1:28" ht="14.25" x14ac:dyDescent="0.2">
      <c r="C1718" s="26" t="s">
        <v>1833</v>
      </c>
      <c r="D1718" s="26">
        <f>Source!BC412</f>
        <v>7.13</v>
      </c>
      <c r="F1718" s="12"/>
      <c r="G1718" s="12"/>
      <c r="H1718" s="12"/>
    </row>
    <row r="1719" spans="1:28" ht="42.75" x14ac:dyDescent="0.2">
      <c r="A1719" s="50">
        <v>238</v>
      </c>
      <c r="B1719" s="50" t="str">
        <f>Source!E413</f>
        <v>117,4</v>
      </c>
      <c r="C1719" s="50" t="str">
        <f>Source!G413</f>
        <v>Смесители для умывальников СМ-УМ-ЦА настольные, с верхней камерой смешения, центральные, с аэратором</v>
      </c>
      <c r="D1719" s="50" t="str">
        <f>Source!F413</f>
        <v>18.1.10.10-0047</v>
      </c>
      <c r="E1719" s="35" t="str">
        <f>Source!H413</f>
        <v>компл.</v>
      </c>
      <c r="F1719" s="12">
        <f>Source!I413</f>
        <v>5</v>
      </c>
      <c r="G1719" s="25">
        <f>Source!AB413</f>
        <v>87.17</v>
      </c>
      <c r="H1719" s="25">
        <f>Source!O413</f>
        <v>3107.61</v>
      </c>
      <c r="T1719">
        <f>Source!O413+Source!X413+Source!Y413</f>
        <v>3107.61</v>
      </c>
      <c r="U1719">
        <f>Source!P413</f>
        <v>3107.61</v>
      </c>
      <c r="V1719">
        <f>Source!S413</f>
        <v>0</v>
      </c>
      <c r="W1719">
        <f>Source!Q413</f>
        <v>0</v>
      </c>
      <c r="X1719">
        <f>Source!R413</f>
        <v>0</v>
      </c>
      <c r="Y1719">
        <f>Source!U413</f>
        <v>0</v>
      </c>
      <c r="Z1719">
        <f>Source!V413</f>
        <v>0</v>
      </c>
      <c r="AA1719">
        <f>Source!X413</f>
        <v>0</v>
      </c>
      <c r="AB1719">
        <f>Source!Y413</f>
        <v>0</v>
      </c>
    </row>
    <row r="1720" spans="1:28" ht="14.25" x14ac:dyDescent="0.2">
      <c r="C1720" s="26" t="s">
        <v>1833</v>
      </c>
      <c r="D1720" s="26">
        <f>Source!BC413</f>
        <v>7.13</v>
      </c>
      <c r="F1720" s="12"/>
      <c r="G1720" s="12"/>
      <c r="H1720" s="12"/>
    </row>
    <row r="1721" spans="1:28" ht="57" x14ac:dyDescent="0.2">
      <c r="A1721" s="50">
        <v>239</v>
      </c>
      <c r="B1721" s="50" t="str">
        <f>Source!E414</f>
        <v>118</v>
      </c>
      <c r="C1721" s="50" t="str">
        <f>Source!G414</f>
        <v>Гидравлическое испытание трубопроводов систем отопления, водопровода и горячего водоснабжения диаметром до 50 мм</v>
      </c>
      <c r="D1721" s="50" t="str">
        <f>Source!F414</f>
        <v>16-07-005-01</v>
      </c>
      <c r="E1721" s="35" t="str">
        <f>Source!H414</f>
        <v>100 м</v>
      </c>
      <c r="F1721" s="12">
        <f>Source!I414</f>
        <v>0.90300000000000002</v>
      </c>
      <c r="G1721" s="25">
        <f>Source!AB414</f>
        <v>127</v>
      </c>
      <c r="H1721" s="25">
        <f>Source!O414</f>
        <v>817.67</v>
      </c>
      <c r="T1721">
        <f>Source!O414+Source!X414+Source!Y414</f>
        <v>1620.85</v>
      </c>
      <c r="U1721">
        <f>Source!P414</f>
        <v>27.62</v>
      </c>
      <c r="V1721">
        <f>Source!S414</f>
        <v>431.82</v>
      </c>
      <c r="W1721">
        <f>Source!Q414</f>
        <v>358.23</v>
      </c>
      <c r="X1721">
        <f>Source!R414</f>
        <v>0</v>
      </c>
      <c r="Y1721">
        <f>Source!U414</f>
        <v>5.2026344999999994</v>
      </c>
      <c r="Z1721">
        <f>Source!V414</f>
        <v>0</v>
      </c>
      <c r="AA1721">
        <f>Source!X414</f>
        <v>496.59</v>
      </c>
      <c r="AB1721">
        <f>Source!Y414</f>
        <v>306.58999999999997</v>
      </c>
    </row>
    <row r="1722" spans="1:28" ht="14.25" x14ac:dyDescent="0.2">
      <c r="C1722" s="26" t="str">
        <f>"Объем: "&amp;Source!I414&amp;"=90,3/"&amp;"100"</f>
        <v>Объем: 0,903=90,3/100</v>
      </c>
      <c r="F1722" s="12"/>
      <c r="G1722" s="12"/>
      <c r="H1722" s="12"/>
    </row>
    <row r="1723" spans="1:28" x14ac:dyDescent="0.2">
      <c r="C1723" s="26" t="s">
        <v>1831</v>
      </c>
      <c r="D1723" s="26">
        <f>Source!BA414</f>
        <v>7.13</v>
      </c>
    </row>
    <row r="1724" spans="1:28" x14ac:dyDescent="0.2">
      <c r="C1724" s="26" t="s">
        <v>1832</v>
      </c>
      <c r="D1724" s="26">
        <f>Source!BB414</f>
        <v>7.13</v>
      </c>
    </row>
    <row r="1725" spans="1:28" x14ac:dyDescent="0.2">
      <c r="C1725" s="26" t="s">
        <v>1833</v>
      </c>
      <c r="D1725" s="26">
        <f>Source!BC414</f>
        <v>7.13</v>
      </c>
    </row>
    <row r="1726" spans="1:28" x14ac:dyDescent="0.2">
      <c r="C1726" s="26" t="s">
        <v>1834</v>
      </c>
      <c r="D1726" s="26">
        <f>Source!BS414</f>
        <v>7.13</v>
      </c>
    </row>
    <row r="1727" spans="1:28" x14ac:dyDescent="0.2">
      <c r="C1727" s="26" t="s">
        <v>1841</v>
      </c>
      <c r="D1727" s="116" t="s">
        <v>81</v>
      </c>
      <c r="E1727" s="116"/>
      <c r="F1727" s="116"/>
      <c r="G1727" s="116"/>
      <c r="H1727" s="116"/>
    </row>
    <row r="1728" spans="1:28" x14ac:dyDescent="0.2">
      <c r="C1728" s="26" t="s">
        <v>1842</v>
      </c>
      <c r="D1728" s="116" t="s">
        <v>81</v>
      </c>
      <c r="E1728" s="116"/>
      <c r="F1728" s="116"/>
      <c r="G1728" s="116"/>
      <c r="H1728" s="116"/>
    </row>
    <row r="1729" spans="1:28" x14ac:dyDescent="0.2">
      <c r="C1729" s="26" t="s">
        <v>1843</v>
      </c>
      <c r="D1729" s="116" t="s">
        <v>82</v>
      </c>
      <c r="E1729" s="116"/>
      <c r="F1729" s="116"/>
      <c r="G1729" s="116"/>
      <c r="H1729" s="116"/>
    </row>
    <row r="1730" spans="1:28" x14ac:dyDescent="0.2">
      <c r="C1730" s="26" t="s">
        <v>1844</v>
      </c>
      <c r="D1730" s="116" t="s">
        <v>82</v>
      </c>
      <c r="E1730" s="116"/>
      <c r="F1730" s="116"/>
      <c r="G1730" s="116"/>
      <c r="H1730" s="116"/>
    </row>
    <row r="1731" spans="1:28" x14ac:dyDescent="0.2">
      <c r="C1731" s="26" t="s">
        <v>1845</v>
      </c>
      <c r="D1731" s="116" t="s">
        <v>81</v>
      </c>
      <c r="E1731" s="116"/>
      <c r="F1731" s="116"/>
      <c r="G1731" s="116"/>
      <c r="H1731" s="116"/>
    </row>
    <row r="1732" spans="1:28" x14ac:dyDescent="0.2">
      <c r="C1732" s="9" t="s">
        <v>1835</v>
      </c>
      <c r="D1732" s="38"/>
      <c r="E1732" s="38"/>
      <c r="F1732" s="38">
        <f>Source!BZ414</f>
        <v>128</v>
      </c>
      <c r="G1732" s="61">
        <f>(Source!AF414+Source!AE414)*Source!FX414/100</f>
        <v>77.264639999999986</v>
      </c>
      <c r="H1732" s="61">
        <f>Source!X414</f>
        <v>496.59</v>
      </c>
    </row>
    <row r="1733" spans="1:28" x14ac:dyDescent="0.2">
      <c r="C1733" s="9" t="s">
        <v>1836</v>
      </c>
      <c r="D1733" s="38"/>
      <c r="E1733" s="38"/>
      <c r="F1733" s="38"/>
      <c r="G1733" s="38" t="str">
        <f>CONCATENATE(Source!DL414,Source!FT414, "=", Source!FX414, "%")</f>
        <v>*0,9=115,2%</v>
      </c>
      <c r="H1733" s="38" t="str">
        <f>CONCATENATE(Source!AT414)</f>
        <v>115</v>
      </c>
    </row>
    <row r="1734" spans="1:28" x14ac:dyDescent="0.2">
      <c r="C1734" s="9" t="s">
        <v>1837</v>
      </c>
      <c r="D1734" s="38"/>
      <c r="E1734" s="38"/>
      <c r="F1734" s="38">
        <f>Source!CA414</f>
        <v>83</v>
      </c>
      <c r="G1734" s="61">
        <f>(Source!AF414+Source!AE414)*Source!FY414/100</f>
        <v>47.317884999999997</v>
      </c>
      <c r="H1734" s="61">
        <f>Source!Y414</f>
        <v>306.58999999999997</v>
      </c>
    </row>
    <row r="1735" spans="1:28" x14ac:dyDescent="0.2">
      <c r="C1735" s="9" t="s">
        <v>1838</v>
      </c>
      <c r="D1735" s="38"/>
      <c r="E1735" s="38"/>
      <c r="F1735" s="38"/>
      <c r="G1735" s="38" t="str">
        <f>CONCATENATE(Source!DM414,Source!FU414, "=", Source!FY414, "%")</f>
        <v>*0,85=70,55%</v>
      </c>
      <c r="H1735" s="38" t="str">
        <f>CONCATENATE(Source!AU414)</f>
        <v>71</v>
      </c>
    </row>
    <row r="1736" spans="1:28" x14ac:dyDescent="0.2">
      <c r="C1736" s="9" t="s">
        <v>1839</v>
      </c>
      <c r="D1736" s="38"/>
      <c r="E1736" s="38"/>
      <c r="F1736" s="38"/>
      <c r="G1736" s="61">
        <f>((Source!AF414+Source!AE414)*Source!FX414/100)+((Source!AF414+Source!AE414)*Source!FY414/100)+Source!AB414</f>
        <v>251.58252499999998</v>
      </c>
      <c r="H1736" s="61">
        <f>Source!O414+Source!X414+Source!Y414</f>
        <v>1620.85</v>
      </c>
    </row>
    <row r="1737" spans="1:28" ht="42.75" x14ac:dyDescent="0.2">
      <c r="A1737" s="50">
        <v>240</v>
      </c>
      <c r="B1737" s="50" t="str">
        <f>Source!E415</f>
        <v>119</v>
      </c>
      <c r="C1737" s="50" t="str">
        <f>Source!G415</f>
        <v>Врезка в действующие внутренние сети трубопроводов отопления и водоснабжения диаметром 32 мм</v>
      </c>
      <c r="D1737" s="50" t="str">
        <f>Source!F415</f>
        <v>16-07-003-04</v>
      </c>
      <c r="E1737" s="35" t="str">
        <f>Source!H415</f>
        <v>ШТ</v>
      </c>
      <c r="F1737" s="12">
        <f>Source!I415</f>
        <v>3</v>
      </c>
      <c r="G1737" s="25">
        <f>Source!AB415</f>
        <v>75.09</v>
      </c>
      <c r="H1737" s="25">
        <f>Source!O415</f>
        <v>1606.17</v>
      </c>
      <c r="T1737">
        <f>Source!O415+Source!X415+Source!Y415</f>
        <v>3636.42</v>
      </c>
      <c r="U1737">
        <f>Source!P415</f>
        <v>391.44</v>
      </c>
      <c r="V1737">
        <f>Source!S415</f>
        <v>1088.32</v>
      </c>
      <c r="W1737">
        <f>Source!Q415</f>
        <v>126.41</v>
      </c>
      <c r="X1737">
        <f>Source!R415</f>
        <v>3.21</v>
      </c>
      <c r="Y1737">
        <f>Source!U415</f>
        <v>15.386999999999999</v>
      </c>
      <c r="Z1737">
        <f>Source!V415</f>
        <v>3.7500000000000006E-2</v>
      </c>
      <c r="AA1737">
        <f>Source!X415</f>
        <v>1255.26</v>
      </c>
      <c r="AB1737">
        <f>Source!Y415</f>
        <v>774.99</v>
      </c>
    </row>
    <row r="1738" spans="1:28" ht="14.25" x14ac:dyDescent="0.2">
      <c r="C1738" s="26" t="s">
        <v>1831</v>
      </c>
      <c r="D1738" s="26">
        <f>Source!BA415</f>
        <v>7.13</v>
      </c>
      <c r="F1738" s="12"/>
      <c r="G1738" s="12"/>
      <c r="H1738" s="12"/>
    </row>
    <row r="1739" spans="1:28" x14ac:dyDescent="0.2">
      <c r="C1739" s="26" t="s">
        <v>1832</v>
      </c>
      <c r="D1739" s="26">
        <f>Source!BB415</f>
        <v>7.13</v>
      </c>
    </row>
    <row r="1740" spans="1:28" x14ac:dyDescent="0.2">
      <c r="C1740" s="26" t="s">
        <v>1833</v>
      </c>
      <c r="D1740" s="26">
        <f>Source!BC415</f>
        <v>7.13</v>
      </c>
    </row>
    <row r="1741" spans="1:28" x14ac:dyDescent="0.2">
      <c r="C1741" s="26" t="s">
        <v>1834</v>
      </c>
      <c r="D1741" s="26">
        <f>Source!BS415</f>
        <v>7.13</v>
      </c>
    </row>
    <row r="1742" spans="1:28" x14ac:dyDescent="0.2">
      <c r="C1742" s="26" t="s">
        <v>1841</v>
      </c>
      <c r="D1742" s="116" t="s">
        <v>81</v>
      </c>
      <c r="E1742" s="116"/>
      <c r="F1742" s="116"/>
      <c r="G1742" s="116"/>
      <c r="H1742" s="116"/>
    </row>
    <row r="1743" spans="1:28" x14ac:dyDescent="0.2">
      <c r="C1743" s="26" t="s">
        <v>1842</v>
      </c>
      <c r="D1743" s="116" t="s">
        <v>81</v>
      </c>
      <c r="E1743" s="116"/>
      <c r="F1743" s="116"/>
      <c r="G1743" s="116"/>
      <c r="H1743" s="116"/>
    </row>
    <row r="1744" spans="1:28" x14ac:dyDescent="0.2">
      <c r="C1744" s="26" t="s">
        <v>1843</v>
      </c>
      <c r="D1744" s="116" t="s">
        <v>82</v>
      </c>
      <c r="E1744" s="116"/>
      <c r="F1744" s="116"/>
      <c r="G1744" s="116"/>
      <c r="H1744" s="116"/>
    </row>
    <row r="1745" spans="1:8" x14ac:dyDescent="0.2">
      <c r="C1745" s="26" t="s">
        <v>1844</v>
      </c>
      <c r="D1745" s="116" t="s">
        <v>82</v>
      </c>
      <c r="E1745" s="116"/>
      <c r="F1745" s="116"/>
      <c r="G1745" s="116"/>
      <c r="H1745" s="116"/>
    </row>
    <row r="1746" spans="1:8" x14ac:dyDescent="0.2">
      <c r="C1746" s="26" t="s">
        <v>1845</v>
      </c>
      <c r="D1746" s="116" t="s">
        <v>81</v>
      </c>
      <c r="E1746" s="116"/>
      <c r="F1746" s="116"/>
      <c r="G1746" s="116"/>
      <c r="H1746" s="116"/>
    </row>
    <row r="1747" spans="1:8" x14ac:dyDescent="0.2">
      <c r="C1747" s="9" t="s">
        <v>1835</v>
      </c>
      <c r="D1747" s="38"/>
      <c r="E1747" s="38"/>
      <c r="F1747" s="38">
        <f>Source!BZ415</f>
        <v>128</v>
      </c>
      <c r="G1747" s="61">
        <f>(Source!AF415+Source!AE415)*Source!FX415/100</f>
        <v>58.786560000000001</v>
      </c>
      <c r="H1747" s="61">
        <f>Source!X415</f>
        <v>1255.26</v>
      </c>
    </row>
    <row r="1748" spans="1:8" x14ac:dyDescent="0.2">
      <c r="C1748" s="9" t="s">
        <v>1836</v>
      </c>
      <c r="D1748" s="38"/>
      <c r="E1748" s="38"/>
      <c r="F1748" s="38"/>
      <c r="G1748" s="38" t="str">
        <f>CONCATENATE(Source!DL415,Source!FT415, "=", Source!FX415, "%")</f>
        <v>*0,9=115,2%</v>
      </c>
      <c r="H1748" s="38" t="str">
        <f>CONCATENATE(Source!AT415)</f>
        <v>115</v>
      </c>
    </row>
    <row r="1749" spans="1:8" x14ac:dyDescent="0.2">
      <c r="C1749" s="9" t="s">
        <v>1837</v>
      </c>
      <c r="D1749" s="38"/>
      <c r="E1749" s="38"/>
      <c r="F1749" s="38">
        <f>Source!CA415</f>
        <v>83</v>
      </c>
      <c r="G1749" s="61">
        <f>(Source!AF415+Source!AE415)*Source!FY415/100</f>
        <v>36.001664999999996</v>
      </c>
      <c r="H1749" s="61">
        <f>Source!Y415</f>
        <v>774.99</v>
      </c>
    </row>
    <row r="1750" spans="1:8" x14ac:dyDescent="0.2">
      <c r="C1750" s="9" t="s">
        <v>1838</v>
      </c>
      <c r="D1750" s="38"/>
      <c r="E1750" s="38"/>
      <c r="F1750" s="38"/>
      <c r="G1750" s="38" t="str">
        <f>CONCATENATE(Source!DM415,Source!FU415, "=", Source!FY415, "%")</f>
        <v>*0,85=70,55%</v>
      </c>
      <c r="H1750" s="38" t="str">
        <f>CONCATENATE(Source!AU415)</f>
        <v>71</v>
      </c>
    </row>
    <row r="1751" spans="1:8" x14ac:dyDescent="0.2">
      <c r="C1751" s="9" t="s">
        <v>1839</v>
      </c>
      <c r="D1751" s="38"/>
      <c r="E1751" s="38"/>
      <c r="F1751" s="38"/>
      <c r="G1751" s="61">
        <f>((Source!AF415+Source!AE415)*Source!FX415/100)+((Source!AF415+Source!AE415)*Source!FY415/100)+Source!AB415</f>
        <v>169.87822499999999</v>
      </c>
      <c r="H1751" s="61">
        <f>Source!O415+Source!X415+Source!Y415</f>
        <v>3636.42</v>
      </c>
    </row>
    <row r="1753" spans="1:8" ht="15" x14ac:dyDescent="0.25">
      <c r="A1753" s="62"/>
      <c r="B1753" s="62"/>
      <c r="C1753" s="91" t="str">
        <f>CONCATENATE("Итого по разделу: ",IF(Source!G417&lt;&gt;"Новый раздел", Source!G417, ""))</f>
        <v>Итого по разделу: Внутренняя система водоснабжения</v>
      </c>
      <c r="D1753" s="91"/>
      <c r="E1753" s="91"/>
      <c r="F1753" s="91"/>
      <c r="G1753" s="62"/>
      <c r="H1753" s="63">
        <f>IF(SUM(T1589:T1752)=0, "-", SUM(T1589:T1752))</f>
        <v>97126.659999999989</v>
      </c>
    </row>
    <row r="1754" spans="1:8" ht="15" x14ac:dyDescent="0.25">
      <c r="A1754" s="62"/>
      <c r="B1754" s="62"/>
      <c r="C1754" s="62"/>
      <c r="D1754" s="62"/>
      <c r="E1754" s="62"/>
      <c r="F1754" s="62"/>
      <c r="G1754" s="62"/>
      <c r="H1754" s="62"/>
    </row>
    <row r="1756" spans="1:8" ht="14.25" x14ac:dyDescent="0.2">
      <c r="C1756" s="117" t="str">
        <f>Source!H445</f>
        <v>Всего</v>
      </c>
      <c r="D1756" s="117"/>
      <c r="E1756" s="117"/>
      <c r="F1756" s="117"/>
      <c r="G1756" s="83">
        <f>IF(Source!F445=0, "", Source!F445)</f>
        <v>97126.66</v>
      </c>
      <c r="H1756" s="83"/>
    </row>
    <row r="1757" spans="1:8" ht="14.25" x14ac:dyDescent="0.2">
      <c r="C1757" s="117" t="str">
        <f>Source!H446</f>
        <v>Итого НДС 18%</v>
      </c>
      <c r="D1757" s="117"/>
      <c r="E1757" s="117"/>
      <c r="F1757" s="117"/>
      <c r="G1757" s="83">
        <f>IF(Source!F446=0, "", Source!F446)</f>
        <v>17482.8</v>
      </c>
      <c r="H1757" s="83"/>
    </row>
    <row r="1758" spans="1:8" ht="14.25" x14ac:dyDescent="0.2">
      <c r="C1758" s="117" t="str">
        <f>Source!H447</f>
        <v>Всего по смете</v>
      </c>
      <c r="D1758" s="117"/>
      <c r="E1758" s="117"/>
      <c r="F1758" s="117"/>
      <c r="G1758" s="83">
        <f>IF(Source!F447=0, "", Source!F447)</f>
        <v>114609.46</v>
      </c>
      <c r="H1758" s="83"/>
    </row>
    <row r="1760" spans="1:8" ht="15" x14ac:dyDescent="0.25">
      <c r="A1760" s="62"/>
      <c r="B1760" s="62"/>
      <c r="C1760" s="91" t="str">
        <f>CONCATENATE("Итого по локальной смете: ",IF(Source!G449&lt;&gt;"Новая локальная смета", Source!G449, ""))</f>
        <v xml:space="preserve">Итого по локальной смете: </v>
      </c>
      <c r="D1760" s="91"/>
      <c r="E1760" s="91"/>
      <c r="F1760" s="91"/>
      <c r="G1760" s="62"/>
      <c r="H1760" s="63">
        <f>IF(SUM(T37:T1759)=0, "-", SUM(T37:T1759))</f>
        <v>2162722.7000000007</v>
      </c>
    </row>
    <row r="1761" spans="1:33" ht="15" x14ac:dyDescent="0.25">
      <c r="A1761" s="62"/>
      <c r="B1761" s="62"/>
      <c r="C1761" s="62"/>
      <c r="D1761" s="62"/>
      <c r="E1761" s="62"/>
      <c r="F1761" s="62"/>
      <c r="G1761" s="62"/>
      <c r="H1761" s="62"/>
    </row>
    <row r="1763" spans="1:33" ht="14.25" x14ac:dyDescent="0.2">
      <c r="C1763" s="117" t="str">
        <f>Source!H477</f>
        <v>Всего</v>
      </c>
      <c r="D1763" s="117"/>
      <c r="E1763" s="117"/>
      <c r="F1763" s="117"/>
      <c r="G1763" s="83">
        <f>IF(Source!F477=0, "", Source!F477)</f>
        <v>2162722.7000000002</v>
      </c>
      <c r="H1763" s="83"/>
    </row>
    <row r="1764" spans="1:33" ht="14.25" x14ac:dyDescent="0.2">
      <c r="C1764" s="117" t="str">
        <f>Source!H478</f>
        <v>Итого НДС 18%</v>
      </c>
      <c r="D1764" s="117"/>
      <c r="E1764" s="117"/>
      <c r="F1764" s="117"/>
      <c r="G1764" s="83">
        <f>IF(Source!F478=0, "", Source!F478)</f>
        <v>389290.09</v>
      </c>
      <c r="H1764" s="83"/>
    </row>
    <row r="1765" spans="1:33" ht="14.25" x14ac:dyDescent="0.2">
      <c r="C1765" s="117" t="str">
        <f>Source!H479</f>
        <v>Всего по смете</v>
      </c>
      <c r="D1765" s="117"/>
      <c r="E1765" s="117"/>
      <c r="F1765" s="117"/>
      <c r="G1765" s="83">
        <f>IF(Source!F479=0, "", Source!F479)</f>
        <v>2552012.79</v>
      </c>
      <c r="H1765" s="83"/>
    </row>
    <row r="1767" spans="1:33" ht="30" x14ac:dyDescent="0.25">
      <c r="A1767" s="62"/>
      <c r="B1767" s="62"/>
      <c r="C1767" s="91" t="str">
        <f>CONCATENATE("Итого по смете: ",IF(Source!G481&lt;&gt;"Новый объект", Source!G481, ""))</f>
        <v>Итого по смете: Капитальный ремонт общежития №2  2-этаж  НВПК НИЯУ МИФИ</v>
      </c>
      <c r="D1767" s="91"/>
      <c r="E1767" s="91"/>
      <c r="F1767" s="91"/>
      <c r="G1767" s="62"/>
      <c r="H1767" s="63">
        <f>IF(SUM(T1:T1766)=0, "-", SUM(T1:T1766))</f>
        <v>2162722.7000000007</v>
      </c>
      <c r="AG1767" s="54" t="str">
        <f>CONCATENATE("Итого по смете: ",IF(Source!G481&lt;&gt;"Новый объект", Source!G481, ""))</f>
        <v>Итого по смете: Капитальный ремонт общежития №2  2-этаж  НВПК НИЯУ МИФИ</v>
      </c>
    </row>
    <row r="1768" spans="1:33" ht="15" x14ac:dyDescent="0.25">
      <c r="A1768" s="62"/>
      <c r="B1768" s="62"/>
      <c r="C1768" s="62"/>
      <c r="D1768" s="62"/>
      <c r="E1768" s="62"/>
      <c r="F1768" s="62"/>
      <c r="G1768" s="62"/>
      <c r="H1768" s="62"/>
    </row>
    <row r="1769" spans="1:33" ht="14.25" x14ac:dyDescent="0.2">
      <c r="C1769" s="117" t="str">
        <f>Source!H509</f>
        <v>Всего</v>
      </c>
      <c r="D1769" s="117"/>
      <c r="E1769" s="117"/>
      <c r="F1769" s="117"/>
      <c r="G1769" s="83">
        <f>IF(Source!F509=0, "", Source!F509)</f>
        <v>2162722.7000000002</v>
      </c>
      <c r="H1769" s="83"/>
    </row>
    <row r="1770" spans="1:33" ht="14.25" x14ac:dyDescent="0.2">
      <c r="C1770" s="117" t="str">
        <f>Source!H510</f>
        <v>Итого НДС 18%</v>
      </c>
      <c r="D1770" s="117"/>
      <c r="E1770" s="117"/>
      <c r="F1770" s="117"/>
      <c r="G1770" s="83">
        <f>IF(Source!F510=0, "", Source!F510)</f>
        <v>389290.09</v>
      </c>
      <c r="H1770" s="83"/>
    </row>
    <row r="1771" spans="1:33" ht="14.25" x14ac:dyDescent="0.2">
      <c r="C1771" s="117" t="str">
        <f>Source!H511</f>
        <v>Всего по смете</v>
      </c>
      <c r="D1771" s="117"/>
      <c r="E1771" s="117"/>
      <c r="F1771" s="117"/>
      <c r="G1771" s="83">
        <f>IF(Source!F511=0, "", Source!F511)</f>
        <v>2552012.79</v>
      </c>
      <c r="H1771" s="83"/>
    </row>
    <row r="1774" spans="1:33" ht="15" thickBot="1" x14ac:dyDescent="0.25">
      <c r="A1774" s="118" t="s">
        <v>1848</v>
      </c>
      <c r="B1774" s="118"/>
      <c r="C1774" s="64" t="str">
        <f>IF(Source!AC12&lt;&gt;"", Source!AC12," ")</f>
        <v xml:space="preserve"> </v>
      </c>
      <c r="D1774" s="12"/>
      <c r="E1774" s="65"/>
      <c r="F1774" s="12"/>
      <c r="G1774" s="119" t="str">
        <f>IF(Source!AB12&lt;&gt;"", Source!AB12," ")</f>
        <v xml:space="preserve"> </v>
      </c>
      <c r="H1774" s="119"/>
      <c r="I1774" s="12"/>
      <c r="J1774" s="12"/>
      <c r="K1774" s="12"/>
      <c r="L1774" s="12"/>
    </row>
    <row r="1775" spans="1:33" ht="14.25" x14ac:dyDescent="0.2">
      <c r="A1775" s="12"/>
      <c r="B1775" s="12"/>
      <c r="C1775" s="66" t="s">
        <v>1849</v>
      </c>
      <c r="D1775" s="12"/>
      <c r="E1775" s="66" t="s">
        <v>1850</v>
      </c>
      <c r="F1775" s="12"/>
      <c r="G1775" s="120" t="s">
        <v>1851</v>
      </c>
      <c r="H1775" s="120"/>
      <c r="I1775" s="12"/>
      <c r="J1775" s="12"/>
      <c r="K1775" s="12"/>
      <c r="L1775" s="12"/>
    </row>
    <row r="1776" spans="1:33" ht="14.25" x14ac:dyDescent="0.2">
      <c r="A1776" s="12"/>
      <c r="B1776" s="12"/>
      <c r="C1776" s="12"/>
      <c r="D1776" s="12"/>
      <c r="E1776" s="12"/>
      <c r="F1776" s="12"/>
      <c r="G1776" s="12"/>
      <c r="H1776" s="12"/>
      <c r="I1776" s="12"/>
      <c r="J1776" s="12"/>
      <c r="K1776" s="12"/>
      <c r="L1776" s="12"/>
    </row>
    <row r="1777" spans="1:12" ht="14.25" x14ac:dyDescent="0.2">
      <c r="A1777" s="12"/>
      <c r="B1777" s="12"/>
      <c r="C1777" s="16" t="s">
        <v>1852</v>
      </c>
      <c r="D1777" s="12"/>
      <c r="E1777" s="12"/>
      <c r="F1777" s="12"/>
      <c r="G1777" s="12"/>
      <c r="H1777" s="12"/>
      <c r="I1777" s="12"/>
      <c r="J1777" s="12"/>
      <c r="K1777" s="12"/>
      <c r="L1777" s="12"/>
    </row>
    <row r="1778" spans="1:12" ht="14.25" x14ac:dyDescent="0.2">
      <c r="A1778" s="12"/>
      <c r="B1778" s="12"/>
      <c r="C1778" s="12"/>
      <c r="D1778" s="12"/>
      <c r="E1778" s="12"/>
      <c r="F1778" s="12"/>
      <c r="G1778" s="12"/>
      <c r="H1778" s="12"/>
      <c r="I1778" s="12"/>
      <c r="J1778" s="12"/>
      <c r="K1778" s="12"/>
      <c r="L1778" s="12"/>
    </row>
    <row r="1779" spans="1:12" ht="15" thickBot="1" x14ac:dyDescent="0.25">
      <c r="A1779" s="118" t="s">
        <v>1853</v>
      </c>
      <c r="B1779" s="118"/>
      <c r="C1779" s="64" t="str">
        <f>IF(Source!AG12&lt;&gt;"", Source!AG12," ")</f>
        <v xml:space="preserve"> </v>
      </c>
      <c r="D1779" s="12"/>
      <c r="E1779" s="65"/>
      <c r="F1779" s="12"/>
      <c r="G1779" s="119" t="str">
        <f>IF(Source!AF12&lt;&gt;"", Source!AF12," ")</f>
        <v xml:space="preserve"> </v>
      </c>
      <c r="H1779" s="119"/>
      <c r="I1779" s="12"/>
      <c r="J1779" s="12"/>
      <c r="K1779" s="12"/>
      <c r="L1779" s="12"/>
    </row>
    <row r="1780" spans="1:12" ht="14.25" x14ac:dyDescent="0.2">
      <c r="A1780" s="12"/>
      <c r="B1780" s="12"/>
      <c r="C1780" s="66" t="s">
        <v>1849</v>
      </c>
      <c r="D1780" s="12"/>
      <c r="E1780" s="66" t="s">
        <v>1850</v>
      </c>
      <c r="F1780" s="12"/>
      <c r="G1780" s="120" t="s">
        <v>1851</v>
      </c>
      <c r="H1780" s="120"/>
      <c r="I1780" s="12"/>
      <c r="J1780" s="12"/>
      <c r="K1780" s="12"/>
      <c r="L1780" s="12"/>
    </row>
    <row r="1781" spans="1:12" ht="14.25" x14ac:dyDescent="0.2">
      <c r="A1781" s="12"/>
      <c r="B1781" s="12"/>
      <c r="C1781" s="12"/>
      <c r="D1781" s="12"/>
      <c r="E1781" s="12"/>
      <c r="F1781" s="12"/>
      <c r="G1781" s="12"/>
      <c r="H1781" s="12"/>
      <c r="I1781" s="12"/>
      <c r="J1781" s="12"/>
      <c r="K1781" s="12"/>
      <c r="L1781" s="12"/>
    </row>
    <row r="1782" spans="1:12" ht="14.25" x14ac:dyDescent="0.2">
      <c r="A1782" s="12"/>
      <c r="B1782" s="12"/>
      <c r="C1782" s="16" t="s">
        <v>1852</v>
      </c>
      <c r="D1782" s="12"/>
      <c r="E1782" s="12"/>
      <c r="F1782" s="12"/>
      <c r="G1782" s="12"/>
      <c r="H1782" s="12"/>
      <c r="I1782" s="12"/>
      <c r="J1782" s="12"/>
      <c r="K1782" s="12"/>
      <c r="L1782" s="12"/>
    </row>
  </sheetData>
  <mergeCells count="401">
    <mergeCell ref="A1774:B1774"/>
    <mergeCell ref="G1774:H1774"/>
    <mergeCell ref="G1775:H1775"/>
    <mergeCell ref="A1779:B1779"/>
    <mergeCell ref="G1779:H1779"/>
    <mergeCell ref="G1780:H1780"/>
    <mergeCell ref="C1767:F1767"/>
    <mergeCell ref="C1769:F1769"/>
    <mergeCell ref="G1769:H1769"/>
    <mergeCell ref="C1770:F1770"/>
    <mergeCell ref="G1770:H1770"/>
    <mergeCell ref="C1771:F1771"/>
    <mergeCell ref="G1771:H1771"/>
    <mergeCell ref="C1760:F1760"/>
    <mergeCell ref="C1763:F1763"/>
    <mergeCell ref="G1763:H1763"/>
    <mergeCell ref="C1764:F1764"/>
    <mergeCell ref="G1764:H1764"/>
    <mergeCell ref="C1765:F1765"/>
    <mergeCell ref="G1765:H1765"/>
    <mergeCell ref="C1756:F1756"/>
    <mergeCell ref="G1756:H1756"/>
    <mergeCell ref="C1757:F1757"/>
    <mergeCell ref="G1757:H1757"/>
    <mergeCell ref="C1758:F1758"/>
    <mergeCell ref="G1758:H1758"/>
    <mergeCell ref="D1742:H1742"/>
    <mergeCell ref="D1743:H1743"/>
    <mergeCell ref="D1744:H1744"/>
    <mergeCell ref="D1745:H1745"/>
    <mergeCell ref="D1746:H1746"/>
    <mergeCell ref="C1753:F1753"/>
    <mergeCell ref="D1707:H1707"/>
    <mergeCell ref="D1727:H1727"/>
    <mergeCell ref="D1728:H1728"/>
    <mergeCell ref="D1729:H1729"/>
    <mergeCell ref="D1730:H1730"/>
    <mergeCell ref="D1731:H1731"/>
    <mergeCell ref="D1668:H1668"/>
    <mergeCell ref="D1669:H1669"/>
    <mergeCell ref="D1703:H1703"/>
    <mergeCell ref="D1704:H1704"/>
    <mergeCell ref="D1705:H1705"/>
    <mergeCell ref="D1706:H1706"/>
    <mergeCell ref="D1648:H1648"/>
    <mergeCell ref="D1649:H1649"/>
    <mergeCell ref="D1650:H1650"/>
    <mergeCell ref="D1665:H1665"/>
    <mergeCell ref="D1666:H1666"/>
    <mergeCell ref="D1667:H1667"/>
    <mergeCell ref="D1627:H1627"/>
    <mergeCell ref="D1628:H1628"/>
    <mergeCell ref="D1629:H1629"/>
    <mergeCell ref="D1630:H1630"/>
    <mergeCell ref="D1646:H1646"/>
    <mergeCell ref="D1647:H1647"/>
    <mergeCell ref="D1606:H1606"/>
    <mergeCell ref="D1607:H1607"/>
    <mergeCell ref="D1608:H1608"/>
    <mergeCell ref="D1609:H1609"/>
    <mergeCell ref="D1610:H1610"/>
    <mergeCell ref="D1626:H1626"/>
    <mergeCell ref="C1586:F1586"/>
    <mergeCell ref="G1586:H1586"/>
    <mergeCell ref="C1587:F1587"/>
    <mergeCell ref="G1587:H1587"/>
    <mergeCell ref="A1589:H1589"/>
    <mergeCell ref="D1596:H1596"/>
    <mergeCell ref="D1572:H1572"/>
    <mergeCell ref="D1573:H1573"/>
    <mergeCell ref="D1574:H1574"/>
    <mergeCell ref="D1575:H1575"/>
    <mergeCell ref="C1582:F1582"/>
    <mergeCell ref="C1585:F1585"/>
    <mergeCell ref="G1585:H1585"/>
    <mergeCell ref="D1556:H1556"/>
    <mergeCell ref="D1557:H1557"/>
    <mergeCell ref="D1558:H1558"/>
    <mergeCell ref="D1559:H1559"/>
    <mergeCell ref="D1560:H1560"/>
    <mergeCell ref="D1571:H1571"/>
    <mergeCell ref="D1521:H1521"/>
    <mergeCell ref="D1537:H1537"/>
    <mergeCell ref="D1538:H1538"/>
    <mergeCell ref="D1539:H1539"/>
    <mergeCell ref="D1540:H1540"/>
    <mergeCell ref="D1541:H1541"/>
    <mergeCell ref="D1502:H1502"/>
    <mergeCell ref="D1503:H1503"/>
    <mergeCell ref="D1517:H1517"/>
    <mergeCell ref="D1518:H1518"/>
    <mergeCell ref="D1519:H1519"/>
    <mergeCell ref="D1520:H1520"/>
    <mergeCell ref="D1479:H1479"/>
    <mergeCell ref="D1480:H1480"/>
    <mergeCell ref="D1481:H1481"/>
    <mergeCell ref="D1499:H1499"/>
    <mergeCell ref="D1500:H1500"/>
    <mergeCell ref="D1501:H1501"/>
    <mergeCell ref="D1460:H1460"/>
    <mergeCell ref="D1461:H1461"/>
    <mergeCell ref="D1462:H1462"/>
    <mergeCell ref="D1463:H1463"/>
    <mergeCell ref="D1477:H1477"/>
    <mergeCell ref="D1478:H1478"/>
    <mergeCell ref="D1435:H1435"/>
    <mergeCell ref="D1436:H1436"/>
    <mergeCell ref="D1437:H1437"/>
    <mergeCell ref="D1438:H1438"/>
    <mergeCell ref="D1439:H1439"/>
    <mergeCell ref="D1459:H1459"/>
    <mergeCell ref="A1332:H1332"/>
    <mergeCell ref="D1411:H1411"/>
    <mergeCell ref="D1412:H1412"/>
    <mergeCell ref="D1413:H1413"/>
    <mergeCell ref="D1414:H1414"/>
    <mergeCell ref="D1415:H1415"/>
    <mergeCell ref="C1325:F1325"/>
    <mergeCell ref="C1328:F1328"/>
    <mergeCell ref="G1328:H1328"/>
    <mergeCell ref="C1329:F1329"/>
    <mergeCell ref="G1329:H1329"/>
    <mergeCell ref="C1330:F1330"/>
    <mergeCell ref="G1330:H1330"/>
    <mergeCell ref="D1289:H1289"/>
    <mergeCell ref="D1302:H1302"/>
    <mergeCell ref="D1303:H1303"/>
    <mergeCell ref="D1304:H1304"/>
    <mergeCell ref="D1305:H1305"/>
    <mergeCell ref="D1306:H1306"/>
    <mergeCell ref="D1271:H1271"/>
    <mergeCell ref="D1272:H1272"/>
    <mergeCell ref="D1285:H1285"/>
    <mergeCell ref="D1286:H1286"/>
    <mergeCell ref="D1287:H1287"/>
    <mergeCell ref="D1288:H1288"/>
    <mergeCell ref="D1254:H1254"/>
    <mergeCell ref="D1255:H1255"/>
    <mergeCell ref="D1256:H1256"/>
    <mergeCell ref="D1268:H1268"/>
    <mergeCell ref="D1269:H1269"/>
    <mergeCell ref="D1270:H1270"/>
    <mergeCell ref="D1237:H1237"/>
    <mergeCell ref="D1238:H1238"/>
    <mergeCell ref="D1239:H1239"/>
    <mergeCell ref="D1240:H1240"/>
    <mergeCell ref="D1252:H1252"/>
    <mergeCell ref="D1253:H1253"/>
    <mergeCell ref="D1219:H1219"/>
    <mergeCell ref="D1220:H1220"/>
    <mergeCell ref="D1221:H1221"/>
    <mergeCell ref="D1222:H1222"/>
    <mergeCell ref="D1223:H1223"/>
    <mergeCell ref="D1236:H1236"/>
    <mergeCell ref="D1175:H1175"/>
    <mergeCell ref="D1198:H1198"/>
    <mergeCell ref="D1199:H1199"/>
    <mergeCell ref="D1200:H1200"/>
    <mergeCell ref="D1201:H1201"/>
    <mergeCell ref="D1202:H1202"/>
    <mergeCell ref="D1141:H1141"/>
    <mergeCell ref="D1142:H1142"/>
    <mergeCell ref="D1171:H1171"/>
    <mergeCell ref="D1172:H1172"/>
    <mergeCell ref="D1173:H1173"/>
    <mergeCell ref="D1174:H1174"/>
    <mergeCell ref="D1118:H1118"/>
    <mergeCell ref="D1119:H1119"/>
    <mergeCell ref="D1120:H1120"/>
    <mergeCell ref="D1138:H1138"/>
    <mergeCell ref="D1139:H1139"/>
    <mergeCell ref="D1140:H1140"/>
    <mergeCell ref="C1077:F1077"/>
    <mergeCell ref="G1077:H1077"/>
    <mergeCell ref="A1079:H1079"/>
    <mergeCell ref="D1086:H1086"/>
    <mergeCell ref="D1116:H1116"/>
    <mergeCell ref="D1117:H1117"/>
    <mergeCell ref="D834:H834"/>
    <mergeCell ref="C1072:F1072"/>
    <mergeCell ref="C1075:F1075"/>
    <mergeCell ref="G1075:H1075"/>
    <mergeCell ref="C1076:F1076"/>
    <mergeCell ref="G1076:H1076"/>
    <mergeCell ref="D820:H820"/>
    <mergeCell ref="D829:H829"/>
    <mergeCell ref="D830:H830"/>
    <mergeCell ref="D831:H831"/>
    <mergeCell ref="D832:H832"/>
    <mergeCell ref="D833:H833"/>
    <mergeCell ref="D806:H806"/>
    <mergeCell ref="D815:H815"/>
    <mergeCell ref="D816:H816"/>
    <mergeCell ref="D817:H817"/>
    <mergeCell ref="D818:H818"/>
    <mergeCell ref="D819:H819"/>
    <mergeCell ref="D774:H774"/>
    <mergeCell ref="D801:H801"/>
    <mergeCell ref="D802:H802"/>
    <mergeCell ref="D803:H803"/>
    <mergeCell ref="D804:H804"/>
    <mergeCell ref="D805:H805"/>
    <mergeCell ref="A763:H763"/>
    <mergeCell ref="D769:H769"/>
    <mergeCell ref="D770:H770"/>
    <mergeCell ref="D771:H771"/>
    <mergeCell ref="D772:H772"/>
    <mergeCell ref="D773:H773"/>
    <mergeCell ref="C759:F759"/>
    <mergeCell ref="G759:H759"/>
    <mergeCell ref="C760:F760"/>
    <mergeCell ref="G760:H760"/>
    <mergeCell ref="C761:F761"/>
    <mergeCell ref="G761:H761"/>
    <mergeCell ref="D733:H733"/>
    <mergeCell ref="D734:H734"/>
    <mergeCell ref="D735:H735"/>
    <mergeCell ref="D736:H736"/>
    <mergeCell ref="D737:H737"/>
    <mergeCell ref="C756:F756"/>
    <mergeCell ref="D677:H677"/>
    <mergeCell ref="D691:H691"/>
    <mergeCell ref="D692:H692"/>
    <mergeCell ref="D693:H693"/>
    <mergeCell ref="D694:H694"/>
    <mergeCell ref="D695:H695"/>
    <mergeCell ref="D658:H658"/>
    <mergeCell ref="D659:H659"/>
    <mergeCell ref="D673:H673"/>
    <mergeCell ref="D674:H674"/>
    <mergeCell ref="D675:H675"/>
    <mergeCell ref="D676:H676"/>
    <mergeCell ref="D613:H613"/>
    <mergeCell ref="D614:H614"/>
    <mergeCell ref="D615:H615"/>
    <mergeCell ref="D655:H655"/>
    <mergeCell ref="D656:H656"/>
    <mergeCell ref="D657:H657"/>
    <mergeCell ref="D592:H592"/>
    <mergeCell ref="D593:H593"/>
    <mergeCell ref="D594:H594"/>
    <mergeCell ref="D595:H595"/>
    <mergeCell ref="D611:H611"/>
    <mergeCell ref="D612:H612"/>
    <mergeCell ref="D571:H571"/>
    <mergeCell ref="D572:H572"/>
    <mergeCell ref="D573:H573"/>
    <mergeCell ref="D574:H574"/>
    <mergeCell ref="D575:H575"/>
    <mergeCell ref="D591:H591"/>
    <mergeCell ref="D541:H541"/>
    <mergeCell ref="D553:H553"/>
    <mergeCell ref="D554:H554"/>
    <mergeCell ref="D555:H555"/>
    <mergeCell ref="D556:H556"/>
    <mergeCell ref="D557:H557"/>
    <mergeCell ref="D522:H522"/>
    <mergeCell ref="D523:H523"/>
    <mergeCell ref="D537:H537"/>
    <mergeCell ref="D538:H538"/>
    <mergeCell ref="D539:H539"/>
    <mergeCell ref="D540:H540"/>
    <mergeCell ref="D501:H501"/>
    <mergeCell ref="D502:H502"/>
    <mergeCell ref="D503:H503"/>
    <mergeCell ref="D519:H519"/>
    <mergeCell ref="D520:H520"/>
    <mergeCell ref="D521:H521"/>
    <mergeCell ref="D482:H482"/>
    <mergeCell ref="D483:H483"/>
    <mergeCell ref="D484:H484"/>
    <mergeCell ref="D485:H485"/>
    <mergeCell ref="D499:H499"/>
    <mergeCell ref="D500:H500"/>
    <mergeCell ref="D466:H466"/>
    <mergeCell ref="D467:H467"/>
    <mergeCell ref="D468:H468"/>
    <mergeCell ref="D469:H469"/>
    <mergeCell ref="D470:H470"/>
    <mergeCell ref="D481:H481"/>
    <mergeCell ref="D424:H424"/>
    <mergeCell ref="D450:H450"/>
    <mergeCell ref="D451:H451"/>
    <mergeCell ref="D452:H452"/>
    <mergeCell ref="D453:H453"/>
    <mergeCell ref="D454:H454"/>
    <mergeCell ref="D407:H407"/>
    <mergeCell ref="D408:H408"/>
    <mergeCell ref="D420:H420"/>
    <mergeCell ref="D421:H421"/>
    <mergeCell ref="D422:H422"/>
    <mergeCell ref="D423:H423"/>
    <mergeCell ref="D388:H388"/>
    <mergeCell ref="D389:H389"/>
    <mergeCell ref="D390:H390"/>
    <mergeCell ref="D404:H404"/>
    <mergeCell ref="D405:H405"/>
    <mergeCell ref="D406:H406"/>
    <mergeCell ref="D369:H369"/>
    <mergeCell ref="D370:H370"/>
    <mergeCell ref="D371:H371"/>
    <mergeCell ref="D385:H385"/>
    <mergeCell ref="D386:H386"/>
    <mergeCell ref="D387:H387"/>
    <mergeCell ref="D352:H352"/>
    <mergeCell ref="D353:H353"/>
    <mergeCell ref="D354:H354"/>
    <mergeCell ref="D355:H355"/>
    <mergeCell ref="D367:H367"/>
    <mergeCell ref="D368:H368"/>
    <mergeCell ref="D322:H322"/>
    <mergeCell ref="D323:H323"/>
    <mergeCell ref="D324:H324"/>
    <mergeCell ref="D325:H325"/>
    <mergeCell ref="D326:H326"/>
    <mergeCell ref="D351:H351"/>
    <mergeCell ref="D283:H283"/>
    <mergeCell ref="D301:H301"/>
    <mergeCell ref="D302:H302"/>
    <mergeCell ref="D303:H303"/>
    <mergeCell ref="D304:H304"/>
    <mergeCell ref="D305:H305"/>
    <mergeCell ref="D262:H262"/>
    <mergeCell ref="D263:H263"/>
    <mergeCell ref="D279:H279"/>
    <mergeCell ref="D280:H280"/>
    <mergeCell ref="D281:H281"/>
    <mergeCell ref="D282:H282"/>
    <mergeCell ref="D243:H243"/>
    <mergeCell ref="D244:H244"/>
    <mergeCell ref="D245:H245"/>
    <mergeCell ref="D259:H259"/>
    <mergeCell ref="D260:H260"/>
    <mergeCell ref="D261:H261"/>
    <mergeCell ref="D224:H224"/>
    <mergeCell ref="D225:H225"/>
    <mergeCell ref="D226:H226"/>
    <mergeCell ref="D227:H227"/>
    <mergeCell ref="D241:H241"/>
    <mergeCell ref="D242:H242"/>
    <mergeCell ref="D206:H206"/>
    <mergeCell ref="D207:H207"/>
    <mergeCell ref="D208:H208"/>
    <mergeCell ref="D209:H209"/>
    <mergeCell ref="D210:H210"/>
    <mergeCell ref="D223:H223"/>
    <mergeCell ref="D161:H161"/>
    <mergeCell ref="D188:H188"/>
    <mergeCell ref="D189:H189"/>
    <mergeCell ref="D190:H190"/>
    <mergeCell ref="D191:H191"/>
    <mergeCell ref="D192:H192"/>
    <mergeCell ref="D61:H61"/>
    <mergeCell ref="D62:H62"/>
    <mergeCell ref="D157:H157"/>
    <mergeCell ref="D158:H158"/>
    <mergeCell ref="D159:H159"/>
    <mergeCell ref="D160:H160"/>
    <mergeCell ref="A37:H37"/>
    <mergeCell ref="A39:H39"/>
    <mergeCell ref="D57:H57"/>
    <mergeCell ref="D58:H58"/>
    <mergeCell ref="D59:H59"/>
    <mergeCell ref="D60:H60"/>
    <mergeCell ref="F31:G31"/>
    <mergeCell ref="A33:B33"/>
    <mergeCell ref="C33:C34"/>
    <mergeCell ref="D33:D34"/>
    <mergeCell ref="E33:E34"/>
    <mergeCell ref="F33:H33"/>
    <mergeCell ref="G22:H22"/>
    <mergeCell ref="D24:D25"/>
    <mergeCell ref="E24:E25"/>
    <mergeCell ref="F24:G24"/>
    <mergeCell ref="A28:H28"/>
    <mergeCell ref="A29:H29"/>
    <mergeCell ref="C18:E18"/>
    <mergeCell ref="D19:F19"/>
    <mergeCell ref="G19:H19"/>
    <mergeCell ref="D20:E20"/>
    <mergeCell ref="G20:H20"/>
    <mergeCell ref="G21:H21"/>
    <mergeCell ref="C14:E14"/>
    <mergeCell ref="G14:H15"/>
    <mergeCell ref="C15:E15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E2:H2"/>
    <mergeCell ref="E3:H3"/>
    <mergeCell ref="E4:H4"/>
    <mergeCell ref="G6:H6"/>
    <mergeCell ref="G7:H7"/>
    <mergeCell ref="G8:H9"/>
    <mergeCell ref="C9:E9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zoomScaleNormal="100" workbookViewId="0">
      <selection sqref="A1:D1"/>
    </sheetView>
  </sheetViews>
  <sheetFormatPr defaultRowHeight="12.75" x14ac:dyDescent="0.2"/>
  <cols>
    <col min="1" max="1" width="5.7109375" customWidth="1"/>
    <col min="2" max="2" width="22.7109375" customWidth="1"/>
    <col min="10" max="11" width="11.140625" customWidth="1"/>
  </cols>
  <sheetData>
    <row r="1" spans="1:12" ht="14.25" x14ac:dyDescent="0.2">
      <c r="A1" s="121" t="str">
        <f>Source!B1</f>
        <v>Smeta.RU  (495) 974-1589</v>
      </c>
      <c r="B1" s="121"/>
      <c r="C1" s="121"/>
      <c r="D1" s="121"/>
      <c r="E1" s="12"/>
      <c r="F1" s="12"/>
      <c r="G1" s="12"/>
      <c r="H1" s="99" t="s">
        <v>1854</v>
      </c>
      <c r="I1" s="99"/>
      <c r="J1" s="99"/>
      <c r="K1" s="99"/>
      <c r="L1" s="99"/>
    </row>
    <row r="2" spans="1:12" ht="14.25" x14ac:dyDescent="0.2">
      <c r="A2" s="12"/>
      <c r="B2" s="12"/>
      <c r="C2" s="12"/>
      <c r="D2" s="12"/>
      <c r="E2" s="12"/>
      <c r="F2" s="12"/>
      <c r="G2" s="12"/>
      <c r="H2" s="99" t="s">
        <v>1793</v>
      </c>
      <c r="I2" s="99"/>
      <c r="J2" s="99"/>
      <c r="K2" s="99"/>
      <c r="L2" s="99"/>
    </row>
    <row r="3" spans="1:12" ht="14.25" x14ac:dyDescent="0.2">
      <c r="A3" s="12"/>
      <c r="B3" s="12"/>
      <c r="C3" s="12"/>
      <c r="D3" s="12"/>
      <c r="E3" s="12"/>
      <c r="F3" s="12"/>
      <c r="G3" s="12"/>
      <c r="H3" s="99" t="s">
        <v>1794</v>
      </c>
      <c r="I3" s="99"/>
      <c r="J3" s="99"/>
      <c r="K3" s="99"/>
      <c r="L3" s="99"/>
    </row>
    <row r="4" spans="1:12" ht="14.25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94" t="s">
        <v>1855</v>
      </c>
      <c r="L4" s="95"/>
    </row>
    <row r="5" spans="1:12" ht="14.25" x14ac:dyDescent="0.2">
      <c r="A5" s="12"/>
      <c r="B5" s="12"/>
      <c r="C5" s="12"/>
      <c r="D5" s="12"/>
      <c r="E5" s="12"/>
      <c r="F5" s="12"/>
      <c r="G5" s="12"/>
      <c r="H5" s="12"/>
      <c r="I5" s="82" t="s">
        <v>1796</v>
      </c>
      <c r="J5" s="82"/>
      <c r="K5" s="94">
        <v>322001</v>
      </c>
      <c r="L5" s="95"/>
    </row>
    <row r="6" spans="1:12" ht="14.25" x14ac:dyDescent="0.2">
      <c r="A6" s="82" t="s">
        <v>1856</v>
      </c>
      <c r="B6" s="82"/>
      <c r="C6" s="122"/>
      <c r="D6" s="122"/>
      <c r="E6" s="122"/>
      <c r="F6" s="122"/>
      <c r="G6" s="122"/>
      <c r="H6" s="122"/>
      <c r="I6" s="122"/>
      <c r="J6" s="11" t="s">
        <v>1799</v>
      </c>
      <c r="K6" s="94"/>
      <c r="L6" s="95"/>
    </row>
    <row r="7" spans="1:12" ht="14.25" x14ac:dyDescent="0.2">
      <c r="A7" s="12"/>
      <c r="B7" s="12"/>
      <c r="C7" s="93" t="s">
        <v>1800</v>
      </c>
      <c r="D7" s="93"/>
      <c r="E7" s="93"/>
      <c r="F7" s="93"/>
      <c r="G7" s="93"/>
      <c r="H7" s="93"/>
      <c r="I7" s="93"/>
      <c r="J7" s="12"/>
      <c r="K7" s="55"/>
      <c r="L7" s="67"/>
    </row>
    <row r="8" spans="1:12" ht="14.25" x14ac:dyDescent="0.2">
      <c r="A8" s="82" t="s">
        <v>1857</v>
      </c>
      <c r="B8" s="82"/>
      <c r="C8" s="122"/>
      <c r="D8" s="122"/>
      <c r="E8" s="122"/>
      <c r="F8" s="122"/>
      <c r="G8" s="122"/>
      <c r="H8" s="122"/>
      <c r="I8" s="28"/>
      <c r="J8" s="11" t="s">
        <v>1799</v>
      </c>
      <c r="K8" s="96"/>
      <c r="L8" s="97"/>
    </row>
    <row r="9" spans="1:12" ht="14.25" x14ac:dyDescent="0.2">
      <c r="A9" s="12"/>
      <c r="B9" s="12"/>
      <c r="C9" s="93" t="s">
        <v>1800</v>
      </c>
      <c r="D9" s="93"/>
      <c r="E9" s="93"/>
      <c r="F9" s="93"/>
      <c r="G9" s="93"/>
      <c r="H9" s="93"/>
      <c r="I9" s="93"/>
      <c r="J9" s="12"/>
      <c r="K9" s="55"/>
      <c r="L9" s="67"/>
    </row>
    <row r="10" spans="1:12" ht="14.25" x14ac:dyDescent="0.2">
      <c r="A10" s="82" t="s">
        <v>1858</v>
      </c>
      <c r="B10" s="82"/>
      <c r="C10" s="122"/>
      <c r="D10" s="122"/>
      <c r="E10" s="122"/>
      <c r="F10" s="122"/>
      <c r="G10" s="122"/>
      <c r="H10" s="122"/>
      <c r="I10" s="122"/>
      <c r="J10" s="11" t="s">
        <v>1799</v>
      </c>
      <c r="K10" s="96"/>
      <c r="L10" s="97"/>
    </row>
    <row r="11" spans="1:12" ht="14.25" x14ac:dyDescent="0.2">
      <c r="A11" s="12"/>
      <c r="B11" s="12"/>
      <c r="C11" s="93" t="s">
        <v>1800</v>
      </c>
      <c r="D11" s="93"/>
      <c r="E11" s="93"/>
      <c r="F11" s="93"/>
      <c r="G11" s="93"/>
      <c r="H11" s="93"/>
      <c r="I11" s="93"/>
      <c r="J11" s="12"/>
      <c r="K11" s="55"/>
      <c r="L11" s="67"/>
    </row>
    <row r="12" spans="1:12" ht="14.25" x14ac:dyDescent="0.2">
      <c r="A12" s="82" t="s">
        <v>1859</v>
      </c>
      <c r="B12" s="82"/>
      <c r="C12" s="122"/>
      <c r="D12" s="122"/>
      <c r="E12" s="122"/>
      <c r="F12" s="122"/>
      <c r="G12" s="122"/>
      <c r="H12" s="122"/>
      <c r="I12" s="122"/>
      <c r="J12" s="11" t="s">
        <v>1799</v>
      </c>
      <c r="K12" s="96"/>
      <c r="L12" s="97"/>
    </row>
    <row r="13" spans="1:12" ht="14.25" x14ac:dyDescent="0.2">
      <c r="A13" s="12"/>
      <c r="B13" s="12"/>
      <c r="C13" s="93" t="s">
        <v>1804</v>
      </c>
      <c r="D13" s="93"/>
      <c r="E13" s="93"/>
      <c r="F13" s="93"/>
      <c r="G13" s="93"/>
      <c r="H13" s="82" t="s">
        <v>1860</v>
      </c>
      <c r="I13" s="82"/>
      <c r="J13" s="101"/>
      <c r="K13" s="94"/>
      <c r="L13" s="95"/>
    </row>
    <row r="14" spans="1:12" ht="14.25" x14ac:dyDescent="0.2">
      <c r="A14" s="12"/>
      <c r="B14" s="12"/>
      <c r="C14" s="12"/>
      <c r="D14" s="12"/>
      <c r="E14" s="82" t="s">
        <v>1861</v>
      </c>
      <c r="F14" s="82"/>
      <c r="G14" s="82"/>
      <c r="H14" s="82"/>
      <c r="I14" s="123" t="s">
        <v>1809</v>
      </c>
      <c r="J14" s="124"/>
      <c r="K14" s="94"/>
      <c r="L14" s="95"/>
    </row>
    <row r="15" spans="1:12" ht="14.25" x14ac:dyDescent="0.2">
      <c r="A15" s="12"/>
      <c r="B15" s="12"/>
      <c r="C15" s="12"/>
      <c r="D15" s="12"/>
      <c r="E15" s="12"/>
      <c r="F15" s="12"/>
      <c r="G15" s="12"/>
      <c r="H15" s="12"/>
      <c r="I15" s="125" t="s">
        <v>1810</v>
      </c>
      <c r="J15" s="126"/>
      <c r="K15" s="102"/>
      <c r="L15" s="103"/>
    </row>
    <row r="16" spans="1:12" ht="14.25" x14ac:dyDescent="0.2">
      <c r="A16" s="12"/>
      <c r="B16" s="12"/>
      <c r="C16" s="12"/>
      <c r="D16" s="12"/>
      <c r="E16" s="12"/>
      <c r="F16" s="12"/>
      <c r="G16" s="12"/>
      <c r="H16" s="12"/>
      <c r="I16" s="124" t="s">
        <v>1862</v>
      </c>
      <c r="J16" s="124"/>
      <c r="K16" s="127"/>
      <c r="L16" s="128"/>
    </row>
    <row r="17" spans="1:12" ht="14.25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14.25" x14ac:dyDescent="0.2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12" ht="14.25" x14ac:dyDescent="0.2">
      <c r="A19" s="12"/>
      <c r="B19" s="12"/>
      <c r="C19" s="129" t="s">
        <v>1812</v>
      </c>
      <c r="D19" s="130"/>
      <c r="E19" s="129" t="s">
        <v>1813</v>
      </c>
      <c r="F19" s="133"/>
      <c r="G19" s="12"/>
      <c r="H19" s="12"/>
      <c r="I19" s="129" t="s">
        <v>1814</v>
      </c>
      <c r="J19" s="130"/>
      <c r="K19" s="130"/>
      <c r="L19" s="133"/>
    </row>
    <row r="20" spans="1:12" ht="14.25" x14ac:dyDescent="0.2">
      <c r="A20" s="12"/>
      <c r="B20" s="12"/>
      <c r="C20" s="131"/>
      <c r="D20" s="132"/>
      <c r="E20" s="131"/>
      <c r="F20" s="134"/>
      <c r="G20" s="12"/>
      <c r="H20" s="12"/>
      <c r="I20" s="135" t="s">
        <v>1815</v>
      </c>
      <c r="J20" s="136"/>
      <c r="K20" s="135" t="s">
        <v>1816</v>
      </c>
      <c r="L20" s="137"/>
    </row>
    <row r="21" spans="1:12" ht="14.25" x14ac:dyDescent="0.2">
      <c r="A21" s="12"/>
      <c r="B21" s="12"/>
      <c r="C21" s="108"/>
      <c r="D21" s="138"/>
      <c r="E21" s="139"/>
      <c r="F21" s="140"/>
      <c r="G21" s="68"/>
      <c r="H21" s="68"/>
      <c r="I21" s="139"/>
      <c r="J21" s="141"/>
      <c r="K21" s="139"/>
      <c r="L21" s="140"/>
    </row>
    <row r="22" spans="1:12" ht="14.25" x14ac:dyDescent="0.2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ht="14.25" x14ac:dyDescent="0.2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ht="18" x14ac:dyDescent="0.25">
      <c r="A24" s="115" t="s">
        <v>1863</v>
      </c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</row>
    <row r="25" spans="1:12" ht="18" x14ac:dyDescent="0.25">
      <c r="A25" s="115" t="s">
        <v>1864</v>
      </c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</row>
    <row r="26" spans="1:12" ht="14.25" x14ac:dyDescent="0.2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12" ht="14.25" x14ac:dyDescent="0.2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12" ht="14.25" x14ac:dyDescent="0.2">
      <c r="A28" s="142" t="s">
        <v>1771</v>
      </c>
      <c r="B28" s="142" t="s">
        <v>1865</v>
      </c>
      <c r="C28" s="144"/>
      <c r="D28" s="144"/>
      <c r="E28" s="144"/>
      <c r="F28" s="142" t="s">
        <v>1795</v>
      </c>
      <c r="G28" s="142" t="s">
        <v>1866</v>
      </c>
      <c r="H28" s="144"/>
      <c r="I28" s="144"/>
      <c r="J28" s="144"/>
      <c r="K28" s="144"/>
      <c r="L28" s="146"/>
    </row>
    <row r="29" spans="1:12" x14ac:dyDescent="0.2">
      <c r="A29" s="143"/>
      <c r="B29" s="143"/>
      <c r="C29" s="145"/>
      <c r="D29" s="145"/>
      <c r="E29" s="145"/>
      <c r="F29" s="143"/>
      <c r="G29" s="142" t="s">
        <v>1867</v>
      </c>
      <c r="H29" s="144"/>
      <c r="I29" s="142" t="s">
        <v>1868</v>
      </c>
      <c r="J29" s="144"/>
      <c r="K29" s="142" t="s">
        <v>1869</v>
      </c>
      <c r="L29" s="146"/>
    </row>
    <row r="30" spans="1:12" x14ac:dyDescent="0.2">
      <c r="A30" s="143"/>
      <c r="B30" s="143"/>
      <c r="C30" s="145"/>
      <c r="D30" s="145"/>
      <c r="E30" s="145"/>
      <c r="F30" s="143"/>
      <c r="G30" s="143"/>
      <c r="H30" s="145"/>
      <c r="I30" s="143"/>
      <c r="J30" s="145"/>
      <c r="K30" s="143"/>
      <c r="L30" s="147"/>
    </row>
    <row r="31" spans="1:12" x14ac:dyDescent="0.2">
      <c r="A31" s="143"/>
      <c r="B31" s="143"/>
      <c r="C31" s="145"/>
      <c r="D31" s="145"/>
      <c r="E31" s="145"/>
      <c r="F31" s="143"/>
      <c r="G31" s="143"/>
      <c r="H31" s="145"/>
      <c r="I31" s="143"/>
      <c r="J31" s="145"/>
      <c r="K31" s="143"/>
      <c r="L31" s="147"/>
    </row>
    <row r="32" spans="1:12" x14ac:dyDescent="0.2">
      <c r="A32" s="143"/>
      <c r="B32" s="143"/>
      <c r="C32" s="145"/>
      <c r="D32" s="145"/>
      <c r="E32" s="145"/>
      <c r="F32" s="143"/>
      <c r="G32" s="143"/>
      <c r="H32" s="145"/>
      <c r="I32" s="143"/>
      <c r="J32" s="145"/>
      <c r="K32" s="143"/>
      <c r="L32" s="147"/>
    </row>
    <row r="33" spans="1:12" ht="14.25" x14ac:dyDescent="0.2">
      <c r="A33" s="55">
        <v>1</v>
      </c>
      <c r="B33" s="94">
        <v>2</v>
      </c>
      <c r="C33" s="151"/>
      <c r="D33" s="151"/>
      <c r="E33" s="151"/>
      <c r="F33" s="55">
        <v>3</v>
      </c>
      <c r="G33" s="94">
        <v>4</v>
      </c>
      <c r="H33" s="151"/>
      <c r="I33" s="94">
        <v>5</v>
      </c>
      <c r="J33" s="151"/>
      <c r="K33" s="94">
        <v>6</v>
      </c>
      <c r="L33" s="95"/>
    </row>
    <row r="34" spans="1:12" ht="14.25" x14ac:dyDescent="0.2">
      <c r="A34" s="69"/>
      <c r="B34" s="152" t="s">
        <v>1870</v>
      </c>
      <c r="C34" s="153"/>
      <c r="D34" s="153"/>
      <c r="E34" s="153"/>
      <c r="F34" s="70"/>
      <c r="G34" s="154"/>
      <c r="H34" s="155"/>
      <c r="I34" s="154"/>
      <c r="J34" s="155"/>
      <c r="K34" s="154"/>
      <c r="L34" s="156"/>
    </row>
    <row r="35" spans="1:12" ht="14.25" x14ac:dyDescent="0.2">
      <c r="A35" s="71"/>
      <c r="B35" s="157" t="s">
        <v>1871</v>
      </c>
      <c r="C35" s="158"/>
      <c r="D35" s="158"/>
      <c r="E35" s="158"/>
      <c r="F35" s="158"/>
      <c r="G35" s="158"/>
      <c r="H35" s="158"/>
      <c r="I35" s="158"/>
      <c r="J35" s="158"/>
      <c r="K35" s="153"/>
      <c r="L35" s="159"/>
    </row>
    <row r="36" spans="1:12" ht="14.25" x14ac:dyDescent="0.2">
      <c r="A36" s="124" t="s">
        <v>1872</v>
      </c>
      <c r="B36" s="124"/>
      <c r="C36" s="124"/>
      <c r="D36" s="124"/>
      <c r="E36" s="124"/>
      <c r="F36" s="124"/>
      <c r="G36" s="124"/>
      <c r="H36" s="124"/>
      <c r="I36" s="124"/>
      <c r="J36" s="160"/>
      <c r="K36" s="161"/>
      <c r="L36" s="160"/>
    </row>
    <row r="37" spans="1:12" ht="14.25" x14ac:dyDescent="0.2">
      <c r="A37" s="148" t="s">
        <v>1873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62"/>
      <c r="L37" s="163"/>
    </row>
    <row r="38" spans="1:12" ht="14.25" x14ac:dyDescent="0.2">
      <c r="A38" s="148" t="s">
        <v>1874</v>
      </c>
      <c r="B38" s="148"/>
      <c r="C38" s="148"/>
      <c r="D38" s="148"/>
      <c r="E38" s="148"/>
      <c r="F38" s="148"/>
      <c r="G38" s="148"/>
      <c r="H38" s="148"/>
      <c r="I38" s="148"/>
      <c r="J38" s="148"/>
      <c r="K38" s="149"/>
      <c r="L38" s="150"/>
    </row>
    <row r="39" spans="1:12" ht="14.25" x14ac:dyDescent="0.2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2" spans="1:12" ht="14.25" x14ac:dyDescent="0.2">
      <c r="A42" s="118" t="s">
        <v>1857</v>
      </c>
      <c r="B42" s="118"/>
      <c r="C42" s="164"/>
      <c r="D42" s="164"/>
      <c r="E42" s="164"/>
      <c r="F42" s="12"/>
      <c r="G42" s="164"/>
      <c r="H42" s="164"/>
      <c r="I42" s="12"/>
      <c r="J42" s="164"/>
      <c r="K42" s="164"/>
      <c r="L42" s="164"/>
    </row>
    <row r="43" spans="1:12" ht="14.25" x14ac:dyDescent="0.2">
      <c r="A43" s="12"/>
      <c r="B43" s="12"/>
      <c r="C43" s="165" t="s">
        <v>1849</v>
      </c>
      <c r="D43" s="165"/>
      <c r="E43" s="165"/>
      <c r="F43" s="12"/>
      <c r="G43" s="165" t="s">
        <v>1850</v>
      </c>
      <c r="H43" s="165"/>
      <c r="I43" s="12"/>
      <c r="J43" s="165" t="s">
        <v>1851</v>
      </c>
      <c r="K43" s="165"/>
      <c r="L43" s="165"/>
    </row>
    <row r="44" spans="1:12" ht="14.25" x14ac:dyDescent="0.2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 spans="1:12" ht="14.25" x14ac:dyDescent="0.2">
      <c r="A45" s="11" t="s">
        <v>1875</v>
      </c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 spans="1:12" ht="14.25" x14ac:dyDescent="0.2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 spans="1:12" ht="14.25" x14ac:dyDescent="0.2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 spans="1:12" ht="14.25" x14ac:dyDescent="0.2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 spans="1:12" ht="14.25" x14ac:dyDescent="0.2">
      <c r="A49" s="118" t="s">
        <v>1858</v>
      </c>
      <c r="B49" s="118"/>
      <c r="C49" s="164"/>
      <c r="D49" s="164"/>
      <c r="E49" s="164"/>
      <c r="F49" s="12"/>
      <c r="G49" s="164"/>
      <c r="H49" s="164"/>
      <c r="I49" s="12"/>
      <c r="J49" s="164"/>
      <c r="K49" s="164"/>
      <c r="L49" s="164"/>
    </row>
    <row r="50" spans="1:12" ht="14.25" x14ac:dyDescent="0.2">
      <c r="A50" s="12"/>
      <c r="B50" s="12"/>
      <c r="C50" s="165" t="s">
        <v>1849</v>
      </c>
      <c r="D50" s="165"/>
      <c r="E50" s="165"/>
      <c r="F50" s="12"/>
      <c r="G50" s="165" t="s">
        <v>1850</v>
      </c>
      <c r="H50" s="165"/>
      <c r="I50" s="12"/>
      <c r="J50" s="165" t="s">
        <v>1851</v>
      </c>
      <c r="K50" s="165"/>
      <c r="L50" s="165"/>
    </row>
    <row r="51" spans="1:12" ht="14.25" x14ac:dyDescent="0.2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 spans="1:12" ht="14.25" x14ac:dyDescent="0.2">
      <c r="A52" s="11" t="s">
        <v>1875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</sheetData>
  <mergeCells count="79">
    <mergeCell ref="A49:B49"/>
    <mergeCell ref="C49:E49"/>
    <mergeCell ref="G49:H49"/>
    <mergeCell ref="J49:L49"/>
    <mergeCell ref="C50:E50"/>
    <mergeCell ref="G50:H50"/>
    <mergeCell ref="J50:L50"/>
    <mergeCell ref="A42:B42"/>
    <mergeCell ref="C42:E42"/>
    <mergeCell ref="G42:H42"/>
    <mergeCell ref="J42:L42"/>
    <mergeCell ref="C43:E43"/>
    <mergeCell ref="G43:H43"/>
    <mergeCell ref="J43:L43"/>
    <mergeCell ref="A38:J38"/>
    <mergeCell ref="K38:L38"/>
    <mergeCell ref="B33:E33"/>
    <mergeCell ref="G33:H33"/>
    <mergeCell ref="I33:J33"/>
    <mergeCell ref="K33:L33"/>
    <mergeCell ref="B34:E34"/>
    <mergeCell ref="G34:H34"/>
    <mergeCell ref="I34:J34"/>
    <mergeCell ref="K34:L34"/>
    <mergeCell ref="B35:L35"/>
    <mergeCell ref="A36:J36"/>
    <mergeCell ref="K36:L36"/>
    <mergeCell ref="A37:J37"/>
    <mergeCell ref="K37:L37"/>
    <mergeCell ref="A28:A32"/>
    <mergeCell ref="B28:E32"/>
    <mergeCell ref="F28:F32"/>
    <mergeCell ref="G28:L28"/>
    <mergeCell ref="G29:H32"/>
    <mergeCell ref="I29:J32"/>
    <mergeCell ref="K29:L32"/>
    <mergeCell ref="A25:L25"/>
    <mergeCell ref="I15:J15"/>
    <mergeCell ref="K15:L15"/>
    <mergeCell ref="I16:J16"/>
    <mergeCell ref="K16:L16"/>
    <mergeCell ref="C19:D20"/>
    <mergeCell ref="E19:F20"/>
    <mergeCell ref="I19:L19"/>
    <mergeCell ref="I20:J20"/>
    <mergeCell ref="K20:L20"/>
    <mergeCell ref="C21:D21"/>
    <mergeCell ref="E21:F21"/>
    <mergeCell ref="I21:J21"/>
    <mergeCell ref="K21:L21"/>
    <mergeCell ref="A24:L24"/>
    <mergeCell ref="C13:G13"/>
    <mergeCell ref="H13:J13"/>
    <mergeCell ref="K13:L13"/>
    <mergeCell ref="E14:H14"/>
    <mergeCell ref="I14:J14"/>
    <mergeCell ref="K14:L14"/>
    <mergeCell ref="A12:B12"/>
    <mergeCell ref="C12:I12"/>
    <mergeCell ref="K12:L12"/>
    <mergeCell ref="A6:B6"/>
    <mergeCell ref="C6:I6"/>
    <mergeCell ref="K6:L6"/>
    <mergeCell ref="C7:I7"/>
    <mergeCell ref="A8:B8"/>
    <mergeCell ref="C8:H8"/>
    <mergeCell ref="K8:L8"/>
    <mergeCell ref="C9:I9"/>
    <mergeCell ref="A10:B10"/>
    <mergeCell ref="C10:I10"/>
    <mergeCell ref="K10:L10"/>
    <mergeCell ref="C11:I11"/>
    <mergeCell ref="I5:J5"/>
    <mergeCell ref="K5:L5"/>
    <mergeCell ref="A1:D1"/>
    <mergeCell ref="H1:L1"/>
    <mergeCell ref="H2:L2"/>
    <mergeCell ref="H3:L3"/>
    <mergeCell ref="K4:L4"/>
  </mergeCells>
  <pageMargins left="0.4" right="0.2" top="0.4" bottom="0.4" header="0.2" footer="0.2"/>
  <pageSetup paperSize="9" scale="78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548"/>
  <sheetViews>
    <sheetView workbookViewId="0">
      <selection activeCell="A544" sqref="A544:AH544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8</v>
      </c>
    </row>
    <row r="12" spans="1:133" x14ac:dyDescent="0.2">
      <c r="A12" s="1">
        <v>1</v>
      </c>
      <c r="B12" s="1">
        <v>542</v>
      </c>
      <c r="C12" s="1">
        <v>0</v>
      </c>
      <c r="D12" s="1">
        <f>ROW(A481)</f>
        <v>481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B481</f>
        <v>542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объект_(Копия)_(Копия)</v>
      </c>
      <c r="G18" s="2" t="str">
        <f t="shared" si="0"/>
        <v>Капитальный ремонт общежития №2  2-этаж  НВПК НИЯУ МИФИ</v>
      </c>
      <c r="H18" s="2"/>
      <c r="I18" s="2"/>
      <c r="J18" s="2"/>
      <c r="K18" s="2"/>
      <c r="L18" s="2"/>
      <c r="M18" s="2"/>
      <c r="N18" s="2"/>
      <c r="O18" s="2">
        <f t="shared" ref="O18:AT18" si="1">O481</f>
        <v>1850942.08</v>
      </c>
      <c r="P18" s="2">
        <f t="shared" si="1"/>
        <v>1632370.1</v>
      </c>
      <c r="Q18" s="2">
        <f t="shared" si="1"/>
        <v>27339.14</v>
      </c>
      <c r="R18" s="2">
        <f t="shared" si="1"/>
        <v>4707.92</v>
      </c>
      <c r="S18" s="2">
        <f t="shared" si="1"/>
        <v>191232.84</v>
      </c>
      <c r="T18" s="2">
        <f t="shared" si="1"/>
        <v>0</v>
      </c>
      <c r="U18" s="2">
        <f t="shared" si="1"/>
        <v>2938.3394818500001</v>
      </c>
      <c r="V18" s="2">
        <f t="shared" si="1"/>
        <v>54.859778374999991</v>
      </c>
      <c r="W18" s="2">
        <f t="shared" si="1"/>
        <v>0</v>
      </c>
      <c r="X18" s="2">
        <f t="shared" si="1"/>
        <v>192043.01</v>
      </c>
      <c r="Y18" s="2">
        <f t="shared" si="1"/>
        <v>113390.43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2162722.7000000002</v>
      </c>
      <c r="AS18" s="2">
        <f t="shared" si="1"/>
        <v>1927500.45</v>
      </c>
      <c r="AT18" s="2">
        <f t="shared" si="1"/>
        <v>223488.79</v>
      </c>
      <c r="AU18" s="2">
        <f t="shared" ref="AU18:BZ18" si="2">AU481</f>
        <v>11733.46</v>
      </c>
      <c r="AV18" s="2">
        <f t="shared" si="2"/>
        <v>1632370.1</v>
      </c>
      <c r="AW18" s="2">
        <f t="shared" si="2"/>
        <v>1632370.1</v>
      </c>
      <c r="AX18" s="2">
        <f t="shared" si="2"/>
        <v>0</v>
      </c>
      <c r="AY18" s="2">
        <f t="shared" si="2"/>
        <v>1632370.1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CA481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DG481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EM481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FS481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ROW(A449)</f>
        <v>449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45" x14ac:dyDescent="0.2">
      <c r="A22" s="2">
        <v>52</v>
      </c>
      <c r="B22" s="2">
        <f t="shared" ref="B22:G22" si="7">B449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O449</f>
        <v>1850942.08</v>
      </c>
      <c r="P22" s="2">
        <f t="shared" si="8"/>
        <v>1632370.1</v>
      </c>
      <c r="Q22" s="2">
        <f t="shared" si="8"/>
        <v>27339.14</v>
      </c>
      <c r="R22" s="2">
        <f t="shared" si="8"/>
        <v>4707.92</v>
      </c>
      <c r="S22" s="2">
        <f t="shared" si="8"/>
        <v>191232.84</v>
      </c>
      <c r="T22" s="2">
        <f t="shared" si="8"/>
        <v>0</v>
      </c>
      <c r="U22" s="2">
        <f t="shared" si="8"/>
        <v>2938.3394818500001</v>
      </c>
      <c r="V22" s="2">
        <f t="shared" si="8"/>
        <v>54.859778374999991</v>
      </c>
      <c r="W22" s="2">
        <f t="shared" si="8"/>
        <v>0</v>
      </c>
      <c r="X22" s="2">
        <f t="shared" si="8"/>
        <v>192043.01</v>
      </c>
      <c r="Y22" s="2">
        <f t="shared" si="8"/>
        <v>113390.43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2162722.7000000002</v>
      </c>
      <c r="AS22" s="2">
        <f t="shared" si="8"/>
        <v>1927500.45</v>
      </c>
      <c r="AT22" s="2">
        <f t="shared" si="8"/>
        <v>223488.79</v>
      </c>
      <c r="AU22" s="2">
        <f t="shared" ref="AU22:BZ22" si="9">AU449</f>
        <v>11733.46</v>
      </c>
      <c r="AV22" s="2">
        <f t="shared" si="9"/>
        <v>1632370.1</v>
      </c>
      <c r="AW22" s="2">
        <f t="shared" si="9"/>
        <v>1632370.1</v>
      </c>
      <c r="AX22" s="2">
        <f t="shared" si="9"/>
        <v>0</v>
      </c>
      <c r="AY22" s="2">
        <f t="shared" si="9"/>
        <v>1632370.1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CA449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DG449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EM449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FS449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 s="1">
        <v>4</v>
      </c>
      <c r="B24" s="1">
        <v>1</v>
      </c>
      <c r="C24" s="1"/>
      <c r="D24" s="1">
        <f>ROW(A123)</f>
        <v>123</v>
      </c>
      <c r="E24" s="1"/>
      <c r="F24" s="1" t="s">
        <v>13</v>
      </c>
      <c r="G24" s="1" t="s">
        <v>14</v>
      </c>
      <c r="H24" s="1" t="s">
        <v>6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 x14ac:dyDescent="0.2">
      <c r="A26" s="2">
        <v>52</v>
      </c>
      <c r="B26" s="2">
        <f t="shared" ref="B26:G26" si="14">B123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Общестроительные работы</v>
      </c>
      <c r="H26" s="2"/>
      <c r="I26" s="2"/>
      <c r="J26" s="2"/>
      <c r="K26" s="2"/>
      <c r="L26" s="2"/>
      <c r="M26" s="2"/>
      <c r="N26" s="2"/>
      <c r="O26" s="2">
        <f t="shared" ref="O26:AT26" si="15">O123</f>
        <v>1136087.25</v>
      </c>
      <c r="P26" s="2">
        <f t="shared" si="15"/>
        <v>1005096.13</v>
      </c>
      <c r="Q26" s="2">
        <f t="shared" si="15"/>
        <v>12544.12</v>
      </c>
      <c r="R26" s="2">
        <f t="shared" si="15"/>
        <v>3061.5</v>
      </c>
      <c r="S26" s="2">
        <f t="shared" si="15"/>
        <v>118447</v>
      </c>
      <c r="T26" s="2">
        <f t="shared" si="15"/>
        <v>0</v>
      </c>
      <c r="U26" s="2">
        <f t="shared" si="15"/>
        <v>1892.74346055</v>
      </c>
      <c r="V26" s="2">
        <f t="shared" si="15"/>
        <v>37.012143624999993</v>
      </c>
      <c r="W26" s="2">
        <f t="shared" si="15"/>
        <v>0</v>
      </c>
      <c r="X26" s="2">
        <f t="shared" si="15"/>
        <v>115798.38</v>
      </c>
      <c r="Y26" s="2">
        <f t="shared" si="15"/>
        <v>64855.34</v>
      </c>
      <c r="Z26" s="2">
        <f t="shared" si="15"/>
        <v>0</v>
      </c>
      <c r="AA26" s="2">
        <f t="shared" si="15"/>
        <v>0</v>
      </c>
      <c r="AB26" s="2">
        <f t="shared" si="15"/>
        <v>1136087.25</v>
      </c>
      <c r="AC26" s="2">
        <f t="shared" si="15"/>
        <v>1005096.13</v>
      </c>
      <c r="AD26" s="2">
        <f t="shared" si="15"/>
        <v>12544.12</v>
      </c>
      <c r="AE26" s="2">
        <f t="shared" si="15"/>
        <v>3061.5</v>
      </c>
      <c r="AF26" s="2">
        <f t="shared" si="15"/>
        <v>118447</v>
      </c>
      <c r="AG26" s="2">
        <f t="shared" si="15"/>
        <v>0</v>
      </c>
      <c r="AH26" s="2">
        <f t="shared" si="15"/>
        <v>1892.74346055</v>
      </c>
      <c r="AI26" s="2">
        <f t="shared" si="15"/>
        <v>37.012143624999993</v>
      </c>
      <c r="AJ26" s="2">
        <f t="shared" si="15"/>
        <v>0</v>
      </c>
      <c r="AK26" s="2">
        <f t="shared" si="15"/>
        <v>115798.38</v>
      </c>
      <c r="AL26" s="2">
        <f t="shared" si="15"/>
        <v>64855.34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1323088.1499999999</v>
      </c>
      <c r="AS26" s="2">
        <f t="shared" si="15"/>
        <v>1323088.1499999999</v>
      </c>
      <c r="AT26" s="2">
        <f t="shared" si="15"/>
        <v>0</v>
      </c>
      <c r="AU26" s="2">
        <f t="shared" ref="AU26:BZ26" si="16">AU123</f>
        <v>0</v>
      </c>
      <c r="AV26" s="2">
        <f t="shared" si="16"/>
        <v>1005096.13</v>
      </c>
      <c r="AW26" s="2">
        <f t="shared" si="16"/>
        <v>1005096.13</v>
      </c>
      <c r="AX26" s="2">
        <f t="shared" si="16"/>
        <v>0</v>
      </c>
      <c r="AY26" s="2">
        <f t="shared" si="16"/>
        <v>1005096.13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CA123</f>
        <v>1323088.1499999999</v>
      </c>
      <c r="CB26" s="2">
        <f t="shared" si="17"/>
        <v>1323088.1499999999</v>
      </c>
      <c r="CC26" s="2">
        <f t="shared" si="17"/>
        <v>0</v>
      </c>
      <c r="CD26" s="2">
        <f t="shared" si="17"/>
        <v>0</v>
      </c>
      <c r="CE26" s="2">
        <f t="shared" si="17"/>
        <v>1005096.13</v>
      </c>
      <c r="CF26" s="2">
        <f t="shared" si="17"/>
        <v>1005096.13</v>
      </c>
      <c r="CG26" s="2">
        <f t="shared" si="17"/>
        <v>0</v>
      </c>
      <c r="CH26" s="2">
        <f t="shared" si="17"/>
        <v>1005096.13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DG123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EM123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FS123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 x14ac:dyDescent="0.2">
      <c r="A28">
        <v>17</v>
      </c>
      <c r="B28">
        <v>1</v>
      </c>
      <c r="C28">
        <f>ROW(SmtRes!A3)</f>
        <v>3</v>
      </c>
      <c r="D28">
        <f>ROW(EtalonRes!A3)</f>
        <v>3</v>
      </c>
      <c r="E28" t="s">
        <v>15</v>
      </c>
      <c r="F28" t="s">
        <v>16</v>
      </c>
      <c r="G28" t="s">
        <v>17</v>
      </c>
      <c r="H28" t="s">
        <v>18</v>
      </c>
      <c r="I28">
        <f>ROUND(45.14/100,9)</f>
        <v>0.45140000000000002</v>
      </c>
      <c r="J28">
        <v>0</v>
      </c>
      <c r="O28">
        <f t="shared" ref="O28:O59" si="21">ROUND(CP28,2)</f>
        <v>3484.26</v>
      </c>
      <c r="P28">
        <f t="shared" ref="P28:P59" si="22">ROUND(CQ28*I28,2)</f>
        <v>0</v>
      </c>
      <c r="Q28">
        <f t="shared" ref="Q28:Q59" si="23">ROUND(CR28*I28,2)</f>
        <v>778.71</v>
      </c>
      <c r="R28">
        <f t="shared" ref="R28:R59" si="24">ROUND(CS28*I28,2)</f>
        <v>336.3</v>
      </c>
      <c r="S28">
        <f t="shared" ref="S28:S59" si="25">ROUND(CT28*I28,2)</f>
        <v>2705.55</v>
      </c>
      <c r="T28">
        <f t="shared" ref="T28:T59" si="26">ROUND(CU28*I28,2)</f>
        <v>0</v>
      </c>
      <c r="U28">
        <f t="shared" ref="U28:U59" si="27">CV28*I28</f>
        <v>46.904974000000003</v>
      </c>
      <c r="V28">
        <f t="shared" ref="V28:V59" si="28">CW28*I28</f>
        <v>3.4938360000000004</v>
      </c>
      <c r="W28">
        <f t="shared" ref="W28:W59" si="29">ROUND(CX28*I28,2)</f>
        <v>0</v>
      </c>
      <c r="X28">
        <f t="shared" ref="X28:X59" si="30">ROUND(CY28,2)</f>
        <v>3011.43</v>
      </c>
      <c r="Y28">
        <f t="shared" ref="Y28:Y59" si="31">ROUND(CZ28,2)</f>
        <v>1825.11</v>
      </c>
      <c r="AA28">
        <v>16630606</v>
      </c>
      <c r="AB28">
        <f t="shared" ref="AB28:AB59" si="32">ROUND((AC28+AD28+AF28),2)</f>
        <v>1082.58</v>
      </c>
      <c r="AC28">
        <f>ROUND((ES28),2)</f>
        <v>0</v>
      </c>
      <c r="AD28">
        <f>ROUND((((ET28)-(EU28))+AE28),2)</f>
        <v>241.95</v>
      </c>
      <c r="AE28">
        <f>ROUND((EU28),2)</f>
        <v>104.49</v>
      </c>
      <c r="AF28">
        <f>ROUND((EV28),2)</f>
        <v>840.63</v>
      </c>
      <c r="AG28">
        <f t="shared" ref="AG28:AG59" si="33">ROUND((AP28),2)</f>
        <v>0</v>
      </c>
      <c r="AH28">
        <f>(EW28)</f>
        <v>103.91</v>
      </c>
      <c r="AI28">
        <f>(EX28)</f>
        <v>7.74</v>
      </c>
      <c r="AJ28">
        <f t="shared" ref="AJ28:AJ59" si="34">(AS28)</f>
        <v>0</v>
      </c>
      <c r="AK28">
        <v>1082.58</v>
      </c>
      <c r="AL28">
        <v>0</v>
      </c>
      <c r="AM28">
        <v>241.95</v>
      </c>
      <c r="AN28">
        <v>104.49</v>
      </c>
      <c r="AO28">
        <v>840.63</v>
      </c>
      <c r="AP28">
        <v>0</v>
      </c>
      <c r="AQ28">
        <v>103.91</v>
      </c>
      <c r="AR28">
        <v>7.74</v>
      </c>
      <c r="AS28">
        <v>0</v>
      </c>
      <c r="AT28">
        <v>99</v>
      </c>
      <c r="AU28">
        <v>60</v>
      </c>
      <c r="AV28">
        <v>1</v>
      </c>
      <c r="AW28">
        <v>1</v>
      </c>
      <c r="AZ28">
        <v>7.13</v>
      </c>
      <c r="BA28">
        <v>7.13</v>
      </c>
      <c r="BB28">
        <v>7.13</v>
      </c>
      <c r="BC28">
        <v>7.13</v>
      </c>
      <c r="BD28" t="s">
        <v>6</v>
      </c>
      <c r="BE28" t="s">
        <v>6</v>
      </c>
      <c r="BF28" t="s">
        <v>6</v>
      </c>
      <c r="BG28" t="s">
        <v>6</v>
      </c>
      <c r="BH28">
        <v>0</v>
      </c>
      <c r="BI28">
        <v>1</v>
      </c>
      <c r="BJ28" t="s">
        <v>19</v>
      </c>
      <c r="BM28">
        <v>46001</v>
      </c>
      <c r="BN28">
        <v>0</v>
      </c>
      <c r="BO28" t="s">
        <v>6</v>
      </c>
      <c r="BP28">
        <v>0</v>
      </c>
      <c r="BQ28">
        <v>2</v>
      </c>
      <c r="BR28">
        <v>0</v>
      </c>
      <c r="BS28">
        <v>7.13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6</v>
      </c>
      <c r="BZ28">
        <v>110</v>
      </c>
      <c r="CA28">
        <v>70</v>
      </c>
      <c r="CE28">
        <v>0</v>
      </c>
      <c r="CF28">
        <v>0</v>
      </c>
      <c r="CG28">
        <v>0</v>
      </c>
      <c r="CM28">
        <v>0</v>
      </c>
      <c r="CN28" t="s">
        <v>6</v>
      </c>
      <c r="CO28">
        <v>0</v>
      </c>
      <c r="CP28">
        <f t="shared" ref="CP28:CP59" si="35">(P28+Q28+S28)</f>
        <v>3484.26</v>
      </c>
      <c r="CQ28">
        <f t="shared" ref="CQ28:CQ59" si="36">AC28*BC28</f>
        <v>0</v>
      </c>
      <c r="CR28">
        <f t="shared" ref="CR28:CR59" si="37">AD28*BB28</f>
        <v>1725.1034999999999</v>
      </c>
      <c r="CS28">
        <f t="shared" ref="CS28:CS59" si="38">AE28*BS28</f>
        <v>745.01369999999997</v>
      </c>
      <c r="CT28">
        <f t="shared" ref="CT28:CT59" si="39">AF28*BA28</f>
        <v>5993.6918999999998</v>
      </c>
      <c r="CU28">
        <f t="shared" ref="CU28:CU59" si="40">AG28</f>
        <v>0</v>
      </c>
      <c r="CV28">
        <f t="shared" ref="CV28:CV59" si="41">AH28</f>
        <v>103.91</v>
      </c>
      <c r="CW28">
        <f t="shared" ref="CW28:CW59" si="42">AI28</f>
        <v>7.74</v>
      </c>
      <c r="CX28">
        <f t="shared" ref="CX28:CX59" si="43">AJ28</f>
        <v>0</v>
      </c>
      <c r="CY28">
        <f t="shared" ref="CY28:CY59" si="44">(((S28+R28)*AT28)/100)</f>
        <v>3011.4315000000001</v>
      </c>
      <c r="CZ28">
        <f t="shared" ref="CZ28:CZ59" si="45">(((S28+R28)*AU28)/100)</f>
        <v>1825.1100000000004</v>
      </c>
      <c r="DC28" t="s">
        <v>6</v>
      </c>
      <c r="DD28" t="s">
        <v>6</v>
      </c>
      <c r="DE28" t="s">
        <v>6</v>
      </c>
      <c r="DF28" t="s">
        <v>6</v>
      </c>
      <c r="DG28" t="s">
        <v>6</v>
      </c>
      <c r="DH28" t="s">
        <v>6</v>
      </c>
      <c r="DI28" t="s">
        <v>6</v>
      </c>
      <c r="DJ28" t="s">
        <v>6</v>
      </c>
      <c r="DK28" t="s">
        <v>6</v>
      </c>
      <c r="DL28" t="s">
        <v>6</v>
      </c>
      <c r="DM28" t="s">
        <v>6</v>
      </c>
      <c r="DN28">
        <v>0</v>
      </c>
      <c r="DO28">
        <v>0</v>
      </c>
      <c r="DP28">
        <v>1</v>
      </c>
      <c r="DQ28">
        <v>1</v>
      </c>
      <c r="DU28">
        <v>1005</v>
      </c>
      <c r="DV28" t="s">
        <v>18</v>
      </c>
      <c r="DW28" t="s">
        <v>18</v>
      </c>
      <c r="DX28">
        <v>100</v>
      </c>
      <c r="EE28">
        <v>16609168</v>
      </c>
      <c r="EF28">
        <v>2</v>
      </c>
      <c r="EG28" t="s">
        <v>14</v>
      </c>
      <c r="EH28">
        <v>0</v>
      </c>
      <c r="EI28" t="s">
        <v>6</v>
      </c>
      <c r="EJ28">
        <v>1</v>
      </c>
      <c r="EK28">
        <v>46001</v>
      </c>
      <c r="EL28" t="s">
        <v>20</v>
      </c>
      <c r="EM28" t="s">
        <v>21</v>
      </c>
      <c r="EO28" t="s">
        <v>6</v>
      </c>
      <c r="EQ28">
        <v>131072</v>
      </c>
      <c r="ER28">
        <v>1082.58</v>
      </c>
      <c r="ES28">
        <v>0</v>
      </c>
      <c r="ET28">
        <v>241.95</v>
      </c>
      <c r="EU28">
        <v>104.49</v>
      </c>
      <c r="EV28">
        <v>840.63</v>
      </c>
      <c r="EW28">
        <v>103.91</v>
      </c>
      <c r="EX28">
        <v>7.74</v>
      </c>
      <c r="EY28">
        <v>0</v>
      </c>
      <c r="FQ28">
        <v>0</v>
      </c>
      <c r="FR28">
        <f t="shared" ref="FR28:FR59" si="46">ROUND(IF(AND(BH28=3,BI28=3),P28,0),2)</f>
        <v>0</v>
      </c>
      <c r="FS28">
        <v>0</v>
      </c>
      <c r="FT28" t="s">
        <v>22</v>
      </c>
      <c r="FU28" t="s">
        <v>23</v>
      </c>
      <c r="FX28">
        <v>99</v>
      </c>
      <c r="FY28">
        <v>59.5</v>
      </c>
      <c r="GA28" t="s">
        <v>6</v>
      </c>
      <c r="GD28">
        <v>0</v>
      </c>
      <c r="GF28">
        <v>309229644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ref="GL28:GL59" si="47">ROUND(IF(AND(BH28=3,BI28=3,FS28&lt;&gt;0),P28,0),2)</f>
        <v>0</v>
      </c>
      <c r="GM28">
        <f t="shared" ref="GM28:GM59" si="48">ROUND(O28+X28+Y28+GK28,2)+GX28</f>
        <v>8320.7999999999993</v>
      </c>
      <c r="GN28">
        <f t="shared" ref="GN28:GN59" si="49">IF(OR(BI28=0,BI28=1),ROUND(O28+X28+Y28+GK28,2),0)</f>
        <v>8320.7999999999993</v>
      </c>
      <c r="GO28">
        <f t="shared" ref="GO28:GO59" si="50">IF(BI28=2,ROUND(O28+X28+Y28+GK28,2),0)</f>
        <v>0</v>
      </c>
      <c r="GP28">
        <f t="shared" ref="GP28:GP59" si="51">IF(BI28=4,ROUND(O28+X28+Y28+GK28,2)+GX28,0)</f>
        <v>0</v>
      </c>
      <c r="GR28">
        <v>0</v>
      </c>
      <c r="GS28">
        <v>3</v>
      </c>
      <c r="GT28">
        <v>0</v>
      </c>
      <c r="GU28" t="s">
        <v>6</v>
      </c>
      <c r="GV28">
        <f t="shared" ref="GV28:GV59" si="52">ROUND((GT28),2)</f>
        <v>0</v>
      </c>
      <c r="GW28">
        <v>1</v>
      </c>
      <c r="GX28">
        <f t="shared" ref="GX28:GX59" si="53">ROUND(HC28*I28,2)</f>
        <v>0</v>
      </c>
      <c r="HA28">
        <v>0</v>
      </c>
      <c r="HB28">
        <v>0</v>
      </c>
      <c r="HC28">
        <f t="shared" ref="HC28:HC59" si="54">GV28*GW28</f>
        <v>0</v>
      </c>
      <c r="IK28">
        <v>0</v>
      </c>
    </row>
    <row r="29" spans="1:245" x14ac:dyDescent="0.2">
      <c r="A29">
        <v>17</v>
      </c>
      <c r="B29">
        <v>1</v>
      </c>
      <c r="C29">
        <f>ROW(SmtRes!A10)</f>
        <v>10</v>
      </c>
      <c r="D29">
        <f>ROW(EtalonRes!A11)</f>
        <v>11</v>
      </c>
      <c r="E29" t="s">
        <v>24</v>
      </c>
      <c r="F29" t="s">
        <v>25</v>
      </c>
      <c r="G29" t="s">
        <v>26</v>
      </c>
      <c r="H29" t="s">
        <v>27</v>
      </c>
      <c r="I29">
        <f>ROUND(2/100,9)</f>
        <v>0.02</v>
      </c>
      <c r="J29">
        <v>0</v>
      </c>
      <c r="O29">
        <f t="shared" si="21"/>
        <v>93.45</v>
      </c>
      <c r="P29">
        <f t="shared" si="22"/>
        <v>0</v>
      </c>
      <c r="Q29">
        <f t="shared" si="23"/>
        <v>24.69</v>
      </c>
      <c r="R29">
        <f t="shared" si="24"/>
        <v>5.93</v>
      </c>
      <c r="S29">
        <f t="shared" si="25"/>
        <v>68.760000000000005</v>
      </c>
      <c r="T29">
        <f t="shared" si="26"/>
        <v>0</v>
      </c>
      <c r="U29">
        <f t="shared" si="27"/>
        <v>1.2024000000000001</v>
      </c>
      <c r="V29">
        <f t="shared" si="28"/>
        <v>6.720000000000001E-2</v>
      </c>
      <c r="W29">
        <f t="shared" si="29"/>
        <v>0</v>
      </c>
      <c r="X29">
        <f t="shared" si="30"/>
        <v>79.17</v>
      </c>
      <c r="Y29">
        <f t="shared" si="31"/>
        <v>40.33</v>
      </c>
      <c r="AA29">
        <v>16630606</v>
      </c>
      <c r="AB29">
        <f t="shared" si="32"/>
        <v>655.27</v>
      </c>
      <c r="AC29">
        <f>ROUND(((ES29*0)),2)</f>
        <v>0</v>
      </c>
      <c r="AD29">
        <f>ROUND(((((ET29*0.8))-((EU29*0.8)))+AE29),2)</f>
        <v>173.11</v>
      </c>
      <c r="AE29">
        <f>ROUND(((EU29*0.8)),2)</f>
        <v>41.61</v>
      </c>
      <c r="AF29">
        <f>ROUND(((EV29*0.8)),2)</f>
        <v>482.16</v>
      </c>
      <c r="AG29">
        <f t="shared" si="33"/>
        <v>0</v>
      </c>
      <c r="AH29">
        <f>((EW29*0.8))</f>
        <v>60.120000000000005</v>
      </c>
      <c r="AI29">
        <f>((EX29*0.8))</f>
        <v>3.3600000000000003</v>
      </c>
      <c r="AJ29">
        <f t="shared" si="34"/>
        <v>0</v>
      </c>
      <c r="AK29">
        <v>2452.44</v>
      </c>
      <c r="AL29">
        <v>1633.36</v>
      </c>
      <c r="AM29">
        <v>216.38</v>
      </c>
      <c r="AN29">
        <v>52.01</v>
      </c>
      <c r="AO29">
        <v>602.70000000000005</v>
      </c>
      <c r="AP29">
        <v>0</v>
      </c>
      <c r="AQ29">
        <v>75.150000000000006</v>
      </c>
      <c r="AR29">
        <v>4.2</v>
      </c>
      <c r="AS29">
        <v>0</v>
      </c>
      <c r="AT29">
        <v>106</v>
      </c>
      <c r="AU29">
        <v>54</v>
      </c>
      <c r="AV29">
        <v>1</v>
      </c>
      <c r="AW29">
        <v>1</v>
      </c>
      <c r="AZ29">
        <v>7.13</v>
      </c>
      <c r="BA29">
        <v>7.13</v>
      </c>
      <c r="BB29">
        <v>7.13</v>
      </c>
      <c r="BC29">
        <v>7.13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28</v>
      </c>
      <c r="BM29">
        <v>10001</v>
      </c>
      <c r="BN29">
        <v>0</v>
      </c>
      <c r="BO29" t="s">
        <v>6</v>
      </c>
      <c r="BP29">
        <v>0</v>
      </c>
      <c r="BQ29">
        <v>2</v>
      </c>
      <c r="BR29">
        <v>0</v>
      </c>
      <c r="BS29">
        <v>7.13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118</v>
      </c>
      <c r="CA29">
        <v>63</v>
      </c>
      <c r="CE29">
        <v>0</v>
      </c>
      <c r="CF29">
        <v>0</v>
      </c>
      <c r="CG29">
        <v>0</v>
      </c>
      <c r="CM29">
        <v>0</v>
      </c>
      <c r="CN29" t="s">
        <v>29</v>
      </c>
      <c r="CO29">
        <v>0</v>
      </c>
      <c r="CP29">
        <f t="shared" si="35"/>
        <v>93.45</v>
      </c>
      <c r="CQ29">
        <f t="shared" si="36"/>
        <v>0</v>
      </c>
      <c r="CR29">
        <f t="shared" si="37"/>
        <v>1234.2743</v>
      </c>
      <c r="CS29">
        <f t="shared" si="38"/>
        <v>296.67930000000001</v>
      </c>
      <c r="CT29">
        <f t="shared" si="39"/>
        <v>3437.8008</v>
      </c>
      <c r="CU29">
        <f t="shared" si="40"/>
        <v>0</v>
      </c>
      <c r="CV29">
        <f t="shared" si="41"/>
        <v>60.120000000000005</v>
      </c>
      <c r="CW29">
        <f t="shared" si="42"/>
        <v>3.3600000000000003</v>
      </c>
      <c r="CX29">
        <f t="shared" si="43"/>
        <v>0</v>
      </c>
      <c r="CY29">
        <f t="shared" si="44"/>
        <v>79.171399999999991</v>
      </c>
      <c r="CZ29">
        <f t="shared" si="45"/>
        <v>40.332599999999999</v>
      </c>
      <c r="DC29" t="s">
        <v>6</v>
      </c>
      <c r="DD29" t="s">
        <v>30</v>
      </c>
      <c r="DE29" t="s">
        <v>31</v>
      </c>
      <c r="DF29" t="s">
        <v>31</v>
      </c>
      <c r="DG29" t="s">
        <v>31</v>
      </c>
      <c r="DH29" t="s">
        <v>6</v>
      </c>
      <c r="DI29" t="s">
        <v>31</v>
      </c>
      <c r="DJ29" t="s">
        <v>31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1013</v>
      </c>
      <c r="DV29" t="s">
        <v>27</v>
      </c>
      <c r="DW29" t="s">
        <v>27</v>
      </c>
      <c r="DX29">
        <v>1</v>
      </c>
      <c r="EE29">
        <v>16609107</v>
      </c>
      <c r="EF29">
        <v>2</v>
      </c>
      <c r="EG29" t="s">
        <v>14</v>
      </c>
      <c r="EH29">
        <v>0</v>
      </c>
      <c r="EI29" t="s">
        <v>6</v>
      </c>
      <c r="EJ29">
        <v>1</v>
      </c>
      <c r="EK29">
        <v>10001</v>
      </c>
      <c r="EL29" t="s">
        <v>32</v>
      </c>
      <c r="EM29" t="s">
        <v>33</v>
      </c>
      <c r="EO29" t="s">
        <v>34</v>
      </c>
      <c r="EQ29">
        <v>131072</v>
      </c>
      <c r="ER29">
        <v>2452.44</v>
      </c>
      <c r="ES29">
        <v>1633.36</v>
      </c>
      <c r="ET29">
        <v>216.38</v>
      </c>
      <c r="EU29">
        <v>52.01</v>
      </c>
      <c r="EV29">
        <v>602.70000000000005</v>
      </c>
      <c r="EW29">
        <v>75.150000000000006</v>
      </c>
      <c r="EX29">
        <v>4.2</v>
      </c>
      <c r="EY29">
        <v>0</v>
      </c>
      <c r="FQ29">
        <v>0</v>
      </c>
      <c r="FR29">
        <f t="shared" si="46"/>
        <v>0</v>
      </c>
      <c r="FS29">
        <v>0</v>
      </c>
      <c r="FT29" t="s">
        <v>22</v>
      </c>
      <c r="FU29" t="s">
        <v>23</v>
      </c>
      <c r="FX29">
        <v>106.2</v>
      </c>
      <c r="FY29">
        <v>53.55</v>
      </c>
      <c r="GA29" t="s">
        <v>6</v>
      </c>
      <c r="GD29">
        <v>0</v>
      </c>
      <c r="GF29">
        <v>-742076266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7"/>
        <v>0</v>
      </c>
      <c r="GM29">
        <f t="shared" si="48"/>
        <v>212.95</v>
      </c>
      <c r="GN29">
        <f t="shared" si="49"/>
        <v>212.95</v>
      </c>
      <c r="GO29">
        <f t="shared" si="50"/>
        <v>0</v>
      </c>
      <c r="GP29">
        <f t="shared" si="51"/>
        <v>0</v>
      </c>
      <c r="GR29">
        <v>0</v>
      </c>
      <c r="GS29">
        <v>3</v>
      </c>
      <c r="GT29">
        <v>0</v>
      </c>
      <c r="GU29" t="s">
        <v>6</v>
      </c>
      <c r="GV29">
        <f t="shared" si="52"/>
        <v>0</v>
      </c>
      <c r="GW29">
        <v>1</v>
      </c>
      <c r="GX29">
        <f t="shared" si="53"/>
        <v>0</v>
      </c>
      <c r="HA29">
        <v>0</v>
      </c>
      <c r="HB29">
        <v>0</v>
      </c>
      <c r="HC29">
        <f t="shared" si="54"/>
        <v>0</v>
      </c>
      <c r="IK29">
        <v>0</v>
      </c>
    </row>
    <row r="30" spans="1:245" x14ac:dyDescent="0.2">
      <c r="A30">
        <v>17</v>
      </c>
      <c r="B30">
        <v>1</v>
      </c>
      <c r="C30">
        <f>ROW(SmtRes!A11)</f>
        <v>11</v>
      </c>
      <c r="D30">
        <f>ROW(EtalonRes!A13)</f>
        <v>13</v>
      </c>
      <c r="E30" t="s">
        <v>35</v>
      </c>
      <c r="F30" t="s">
        <v>36</v>
      </c>
      <c r="G30" t="s">
        <v>37</v>
      </c>
      <c r="H30" t="s">
        <v>18</v>
      </c>
      <c r="I30">
        <f>ROUND(5.9/100,9)</f>
        <v>5.8999999999999997E-2</v>
      </c>
      <c r="J30">
        <v>0</v>
      </c>
      <c r="O30">
        <f t="shared" si="21"/>
        <v>25.17</v>
      </c>
      <c r="P30">
        <f t="shared" si="22"/>
        <v>0</v>
      </c>
      <c r="Q30">
        <f t="shared" si="23"/>
        <v>0</v>
      </c>
      <c r="R30">
        <f t="shared" si="24"/>
        <v>0</v>
      </c>
      <c r="S30">
        <f t="shared" si="25"/>
        <v>25.17</v>
      </c>
      <c r="T30">
        <f t="shared" si="26"/>
        <v>0</v>
      </c>
      <c r="U30">
        <f t="shared" si="27"/>
        <v>0.45252999999999999</v>
      </c>
      <c r="V30">
        <f t="shared" si="28"/>
        <v>0</v>
      </c>
      <c r="W30">
        <f t="shared" si="29"/>
        <v>0</v>
      </c>
      <c r="X30">
        <f t="shared" si="30"/>
        <v>20.14</v>
      </c>
      <c r="Y30">
        <f t="shared" si="31"/>
        <v>17.12</v>
      </c>
      <c r="AA30">
        <v>16630606</v>
      </c>
      <c r="AB30">
        <f t="shared" si="32"/>
        <v>59.83</v>
      </c>
      <c r="AC30">
        <f t="shared" ref="AC30:AC69" si="55">ROUND((ES30),2)</f>
        <v>0</v>
      </c>
      <c r="AD30">
        <f t="shared" ref="AD30:AD38" si="56">ROUND((((ET30)-(EU30))+AE30),2)</f>
        <v>0</v>
      </c>
      <c r="AE30">
        <f t="shared" ref="AE30:AE38" si="57">ROUND((EU30),2)</f>
        <v>0</v>
      </c>
      <c r="AF30">
        <f t="shared" ref="AF30:AF38" si="58">ROUND((EV30),2)</f>
        <v>59.83</v>
      </c>
      <c r="AG30">
        <f t="shared" si="33"/>
        <v>0</v>
      </c>
      <c r="AH30">
        <f t="shared" ref="AH30:AH38" si="59">(EW30)</f>
        <v>7.67</v>
      </c>
      <c r="AI30">
        <f t="shared" ref="AI30:AI38" si="60">(EX30)</f>
        <v>0</v>
      </c>
      <c r="AJ30">
        <f t="shared" si="34"/>
        <v>0</v>
      </c>
      <c r="AK30">
        <v>59.83</v>
      </c>
      <c r="AL30">
        <v>0</v>
      </c>
      <c r="AM30">
        <v>0</v>
      </c>
      <c r="AN30">
        <v>0</v>
      </c>
      <c r="AO30">
        <v>59.83</v>
      </c>
      <c r="AP30">
        <v>0</v>
      </c>
      <c r="AQ30">
        <v>7.67</v>
      </c>
      <c r="AR30">
        <v>0</v>
      </c>
      <c r="AS30">
        <v>0</v>
      </c>
      <c r="AT30">
        <v>80</v>
      </c>
      <c r="AU30">
        <v>68</v>
      </c>
      <c r="AV30">
        <v>1</v>
      </c>
      <c r="AW30">
        <v>1</v>
      </c>
      <c r="AZ30">
        <v>7.13</v>
      </c>
      <c r="BA30">
        <v>7.13</v>
      </c>
      <c r="BB30">
        <v>7.13</v>
      </c>
      <c r="BC30">
        <v>7.13</v>
      </c>
      <c r="BD30" t="s">
        <v>6</v>
      </c>
      <c r="BE30" t="s">
        <v>6</v>
      </c>
      <c r="BF30" t="s">
        <v>6</v>
      </c>
      <c r="BG30" t="s">
        <v>6</v>
      </c>
      <c r="BH30">
        <v>0</v>
      </c>
      <c r="BI30">
        <v>1</v>
      </c>
      <c r="BJ30" t="s">
        <v>38</v>
      </c>
      <c r="BM30">
        <v>57001</v>
      </c>
      <c r="BN30">
        <v>0</v>
      </c>
      <c r="BO30" t="s">
        <v>6</v>
      </c>
      <c r="BP30">
        <v>0</v>
      </c>
      <c r="BQ30">
        <v>6</v>
      </c>
      <c r="BR30">
        <v>0</v>
      </c>
      <c r="BS30">
        <v>7.13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6</v>
      </c>
      <c r="BZ30">
        <v>80</v>
      </c>
      <c r="CA30">
        <v>68</v>
      </c>
      <c r="CE30">
        <v>0</v>
      </c>
      <c r="CF30">
        <v>0</v>
      </c>
      <c r="CG30">
        <v>0</v>
      </c>
      <c r="CM30">
        <v>0</v>
      </c>
      <c r="CN30" t="s">
        <v>6</v>
      </c>
      <c r="CO30">
        <v>0</v>
      </c>
      <c r="CP30">
        <f t="shared" si="35"/>
        <v>25.17</v>
      </c>
      <c r="CQ30">
        <f t="shared" si="36"/>
        <v>0</v>
      </c>
      <c r="CR30">
        <f t="shared" si="37"/>
        <v>0</v>
      </c>
      <c r="CS30">
        <f t="shared" si="38"/>
        <v>0</v>
      </c>
      <c r="CT30">
        <f t="shared" si="39"/>
        <v>426.58789999999999</v>
      </c>
      <c r="CU30">
        <f t="shared" si="40"/>
        <v>0</v>
      </c>
      <c r="CV30">
        <f t="shared" si="41"/>
        <v>7.67</v>
      </c>
      <c r="CW30">
        <f t="shared" si="42"/>
        <v>0</v>
      </c>
      <c r="CX30">
        <f t="shared" si="43"/>
        <v>0</v>
      </c>
      <c r="CY30">
        <f t="shared" si="44"/>
        <v>20.136000000000003</v>
      </c>
      <c r="CZ30">
        <f t="shared" si="45"/>
        <v>17.115600000000001</v>
      </c>
      <c r="DC30" t="s">
        <v>6</v>
      </c>
      <c r="DD30" t="s">
        <v>6</v>
      </c>
      <c r="DE30" t="s">
        <v>6</v>
      </c>
      <c r="DF30" t="s">
        <v>6</v>
      </c>
      <c r="DG30" t="s">
        <v>6</v>
      </c>
      <c r="DH30" t="s">
        <v>6</v>
      </c>
      <c r="DI30" t="s">
        <v>6</v>
      </c>
      <c r="DJ30" t="s">
        <v>6</v>
      </c>
      <c r="DK30" t="s">
        <v>6</v>
      </c>
      <c r="DL30" t="s">
        <v>6</v>
      </c>
      <c r="DM30" t="s">
        <v>6</v>
      </c>
      <c r="DN30">
        <v>0</v>
      </c>
      <c r="DO30">
        <v>0</v>
      </c>
      <c r="DP30">
        <v>1</v>
      </c>
      <c r="DQ30">
        <v>1</v>
      </c>
      <c r="DU30">
        <v>1005</v>
      </c>
      <c r="DV30" t="s">
        <v>18</v>
      </c>
      <c r="DW30" t="s">
        <v>18</v>
      </c>
      <c r="DX30">
        <v>100</v>
      </c>
      <c r="EE30">
        <v>16609182</v>
      </c>
      <c r="EF30">
        <v>6</v>
      </c>
      <c r="EG30" t="s">
        <v>39</v>
      </c>
      <c r="EH30">
        <v>0</v>
      </c>
      <c r="EI30" t="s">
        <v>6</v>
      </c>
      <c r="EJ30">
        <v>1</v>
      </c>
      <c r="EK30">
        <v>57001</v>
      </c>
      <c r="EL30" t="s">
        <v>40</v>
      </c>
      <c r="EM30" t="s">
        <v>41</v>
      </c>
      <c r="EO30" t="s">
        <v>6</v>
      </c>
      <c r="EQ30">
        <v>131072</v>
      </c>
      <c r="ER30">
        <v>59.83</v>
      </c>
      <c r="ES30">
        <v>0</v>
      </c>
      <c r="ET30">
        <v>0</v>
      </c>
      <c r="EU30">
        <v>0</v>
      </c>
      <c r="EV30">
        <v>59.83</v>
      </c>
      <c r="EW30">
        <v>7.67</v>
      </c>
      <c r="EX30">
        <v>0</v>
      </c>
      <c r="EY30">
        <v>0</v>
      </c>
      <c r="FQ30">
        <v>0</v>
      </c>
      <c r="FR30">
        <f t="shared" si="46"/>
        <v>0</v>
      </c>
      <c r="FS30">
        <v>0</v>
      </c>
      <c r="FX30">
        <v>80</v>
      </c>
      <c r="FY30">
        <v>68</v>
      </c>
      <c r="GA30" t="s">
        <v>6</v>
      </c>
      <c r="GD30">
        <v>0</v>
      </c>
      <c r="GF30">
        <v>540249539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7"/>
        <v>0</v>
      </c>
      <c r="GM30">
        <f t="shared" si="48"/>
        <v>62.43</v>
      </c>
      <c r="GN30">
        <f t="shared" si="49"/>
        <v>62.43</v>
      </c>
      <c r="GO30">
        <f t="shared" si="50"/>
        <v>0</v>
      </c>
      <c r="GP30">
        <f t="shared" si="51"/>
        <v>0</v>
      </c>
      <c r="GR30">
        <v>0</v>
      </c>
      <c r="GS30">
        <v>3</v>
      </c>
      <c r="GT30">
        <v>0</v>
      </c>
      <c r="GU30" t="s">
        <v>6</v>
      </c>
      <c r="GV30">
        <f t="shared" si="52"/>
        <v>0</v>
      </c>
      <c r="GW30">
        <v>1</v>
      </c>
      <c r="GX30">
        <f t="shared" si="53"/>
        <v>0</v>
      </c>
      <c r="HA30">
        <v>0</v>
      </c>
      <c r="HB30">
        <v>0</v>
      </c>
      <c r="HC30">
        <f t="shared" si="54"/>
        <v>0</v>
      </c>
      <c r="IK30">
        <v>0</v>
      </c>
    </row>
    <row r="31" spans="1:245" x14ac:dyDescent="0.2">
      <c r="A31">
        <v>17</v>
      </c>
      <c r="B31">
        <v>1</v>
      </c>
      <c r="C31">
        <f>ROW(SmtRes!A14)</f>
        <v>14</v>
      </c>
      <c r="D31">
        <f>ROW(EtalonRes!A17)</f>
        <v>17</v>
      </c>
      <c r="E31" t="s">
        <v>42</v>
      </c>
      <c r="F31" t="s">
        <v>43</v>
      </c>
      <c r="G31" t="s">
        <v>44</v>
      </c>
      <c r="H31" t="s">
        <v>18</v>
      </c>
      <c r="I31">
        <f>ROUND(223.9/100,9)</f>
        <v>2.2389999999999999</v>
      </c>
      <c r="J31">
        <v>0</v>
      </c>
      <c r="O31">
        <f t="shared" si="21"/>
        <v>1483.06</v>
      </c>
      <c r="P31">
        <f t="shared" si="22"/>
        <v>0</v>
      </c>
      <c r="Q31">
        <f t="shared" si="23"/>
        <v>64.81</v>
      </c>
      <c r="R31">
        <f t="shared" si="24"/>
        <v>28.1</v>
      </c>
      <c r="S31">
        <f t="shared" si="25"/>
        <v>1418.25</v>
      </c>
      <c r="T31">
        <f t="shared" si="26"/>
        <v>0</v>
      </c>
      <c r="U31">
        <f t="shared" si="27"/>
        <v>25.502210000000002</v>
      </c>
      <c r="V31">
        <f t="shared" si="28"/>
        <v>0.29107</v>
      </c>
      <c r="W31">
        <f t="shared" si="29"/>
        <v>0</v>
      </c>
      <c r="X31">
        <f t="shared" si="30"/>
        <v>1157.08</v>
      </c>
      <c r="Y31">
        <f t="shared" si="31"/>
        <v>983.52</v>
      </c>
      <c r="AA31">
        <v>16630606</v>
      </c>
      <c r="AB31">
        <f t="shared" si="32"/>
        <v>92.9</v>
      </c>
      <c r="AC31">
        <f t="shared" si="55"/>
        <v>0</v>
      </c>
      <c r="AD31">
        <f t="shared" si="56"/>
        <v>4.0599999999999996</v>
      </c>
      <c r="AE31">
        <f t="shared" si="57"/>
        <v>1.76</v>
      </c>
      <c r="AF31">
        <f t="shared" si="58"/>
        <v>88.84</v>
      </c>
      <c r="AG31">
        <f t="shared" si="33"/>
        <v>0</v>
      </c>
      <c r="AH31">
        <f t="shared" si="59"/>
        <v>11.39</v>
      </c>
      <c r="AI31">
        <f t="shared" si="60"/>
        <v>0.13</v>
      </c>
      <c r="AJ31">
        <f t="shared" si="34"/>
        <v>0</v>
      </c>
      <c r="AK31">
        <v>92.9</v>
      </c>
      <c r="AL31">
        <v>0</v>
      </c>
      <c r="AM31">
        <v>4.0599999999999996</v>
      </c>
      <c r="AN31">
        <v>1.76</v>
      </c>
      <c r="AO31">
        <v>88.84</v>
      </c>
      <c r="AP31">
        <v>0</v>
      </c>
      <c r="AQ31">
        <v>11.39</v>
      </c>
      <c r="AR31">
        <v>0.13</v>
      </c>
      <c r="AS31">
        <v>0</v>
      </c>
      <c r="AT31">
        <v>80</v>
      </c>
      <c r="AU31">
        <v>68</v>
      </c>
      <c r="AV31">
        <v>1</v>
      </c>
      <c r="AW31">
        <v>1</v>
      </c>
      <c r="AZ31">
        <v>7.13</v>
      </c>
      <c r="BA31">
        <v>7.13</v>
      </c>
      <c r="BB31">
        <v>7.13</v>
      </c>
      <c r="BC31">
        <v>7.13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45</v>
      </c>
      <c r="BM31">
        <v>57001</v>
      </c>
      <c r="BN31">
        <v>0</v>
      </c>
      <c r="BO31" t="s">
        <v>6</v>
      </c>
      <c r="BP31">
        <v>0</v>
      </c>
      <c r="BQ31">
        <v>6</v>
      </c>
      <c r="BR31">
        <v>0</v>
      </c>
      <c r="BS31">
        <v>7.13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80</v>
      </c>
      <c r="CA31">
        <v>68</v>
      </c>
      <c r="CE31">
        <v>0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35"/>
        <v>1483.06</v>
      </c>
      <c r="CQ31">
        <f t="shared" si="36"/>
        <v>0</v>
      </c>
      <c r="CR31">
        <f t="shared" si="37"/>
        <v>28.947799999999997</v>
      </c>
      <c r="CS31">
        <f t="shared" si="38"/>
        <v>12.5488</v>
      </c>
      <c r="CT31">
        <f t="shared" si="39"/>
        <v>633.42920000000004</v>
      </c>
      <c r="CU31">
        <f t="shared" si="40"/>
        <v>0</v>
      </c>
      <c r="CV31">
        <f t="shared" si="41"/>
        <v>11.39</v>
      </c>
      <c r="CW31">
        <f t="shared" si="42"/>
        <v>0.13</v>
      </c>
      <c r="CX31">
        <f t="shared" si="43"/>
        <v>0</v>
      </c>
      <c r="CY31">
        <f t="shared" si="44"/>
        <v>1157.08</v>
      </c>
      <c r="CZ31">
        <f t="shared" si="45"/>
        <v>983.51799999999992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18</v>
      </c>
      <c r="DW31" t="s">
        <v>18</v>
      </c>
      <c r="DX31">
        <v>100</v>
      </c>
      <c r="EE31">
        <v>16609182</v>
      </c>
      <c r="EF31">
        <v>6</v>
      </c>
      <c r="EG31" t="s">
        <v>39</v>
      </c>
      <c r="EH31">
        <v>0</v>
      </c>
      <c r="EI31" t="s">
        <v>6</v>
      </c>
      <c r="EJ31">
        <v>1</v>
      </c>
      <c r="EK31">
        <v>57001</v>
      </c>
      <c r="EL31" t="s">
        <v>40</v>
      </c>
      <c r="EM31" t="s">
        <v>41</v>
      </c>
      <c r="EO31" t="s">
        <v>6</v>
      </c>
      <c r="EQ31">
        <v>131072</v>
      </c>
      <c r="ER31">
        <v>92.9</v>
      </c>
      <c r="ES31">
        <v>0</v>
      </c>
      <c r="ET31">
        <v>4.0599999999999996</v>
      </c>
      <c r="EU31">
        <v>1.76</v>
      </c>
      <c r="EV31">
        <v>88.84</v>
      </c>
      <c r="EW31">
        <v>11.39</v>
      </c>
      <c r="EX31">
        <v>0.13</v>
      </c>
      <c r="EY31">
        <v>0</v>
      </c>
      <c r="FQ31">
        <v>0</v>
      </c>
      <c r="FR31">
        <f t="shared" si="46"/>
        <v>0</v>
      </c>
      <c r="FS31">
        <v>0</v>
      </c>
      <c r="FX31">
        <v>80</v>
      </c>
      <c r="FY31">
        <v>68</v>
      </c>
      <c r="GA31" t="s">
        <v>6</v>
      </c>
      <c r="GD31">
        <v>0</v>
      </c>
      <c r="GF31">
        <v>-1228944231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7"/>
        <v>0</v>
      </c>
      <c r="GM31">
        <f t="shared" si="48"/>
        <v>3623.66</v>
      </c>
      <c r="GN31">
        <f t="shared" si="49"/>
        <v>3623.66</v>
      </c>
      <c r="GO31">
        <f t="shared" si="50"/>
        <v>0</v>
      </c>
      <c r="GP31">
        <f t="shared" si="51"/>
        <v>0</v>
      </c>
      <c r="GR31">
        <v>0</v>
      </c>
      <c r="GS31">
        <v>3</v>
      </c>
      <c r="GT31">
        <v>0</v>
      </c>
      <c r="GU31" t="s">
        <v>6</v>
      </c>
      <c r="GV31">
        <f t="shared" si="52"/>
        <v>0</v>
      </c>
      <c r="GW31">
        <v>1</v>
      </c>
      <c r="GX31">
        <f t="shared" si="53"/>
        <v>0</v>
      </c>
      <c r="HA31">
        <v>0</v>
      </c>
      <c r="HB31">
        <v>0</v>
      </c>
      <c r="HC31">
        <f t="shared" si="54"/>
        <v>0</v>
      </c>
      <c r="IK31">
        <v>0</v>
      </c>
    </row>
    <row r="32" spans="1:245" x14ac:dyDescent="0.2">
      <c r="A32">
        <v>17</v>
      </c>
      <c r="B32">
        <v>1</v>
      </c>
      <c r="C32">
        <f>ROW(SmtRes!A17)</f>
        <v>17</v>
      </c>
      <c r="D32">
        <f>ROW(EtalonRes!A21)</f>
        <v>21</v>
      </c>
      <c r="E32" t="s">
        <v>46</v>
      </c>
      <c r="F32" t="s">
        <v>47</v>
      </c>
      <c r="G32" t="s">
        <v>48</v>
      </c>
      <c r="H32" t="s">
        <v>18</v>
      </c>
      <c r="I32">
        <f>ROUND(33.8/100,9)</f>
        <v>0.33800000000000002</v>
      </c>
      <c r="J32">
        <v>0</v>
      </c>
      <c r="O32">
        <f t="shared" si="21"/>
        <v>1544.77</v>
      </c>
      <c r="P32">
        <f t="shared" si="22"/>
        <v>0</v>
      </c>
      <c r="Q32">
        <f t="shared" si="23"/>
        <v>108.47</v>
      </c>
      <c r="R32">
        <f t="shared" si="24"/>
        <v>46.85</v>
      </c>
      <c r="S32">
        <f t="shared" si="25"/>
        <v>1436.3</v>
      </c>
      <c r="T32">
        <f t="shared" si="26"/>
        <v>0</v>
      </c>
      <c r="U32">
        <f t="shared" si="27"/>
        <v>23.616060000000004</v>
      </c>
      <c r="V32">
        <f t="shared" si="28"/>
        <v>0.48672000000000004</v>
      </c>
      <c r="W32">
        <f t="shared" si="29"/>
        <v>0</v>
      </c>
      <c r="X32">
        <f t="shared" si="30"/>
        <v>1186.52</v>
      </c>
      <c r="Y32">
        <f t="shared" si="31"/>
        <v>1008.54</v>
      </c>
      <c r="AA32">
        <v>16630606</v>
      </c>
      <c r="AB32">
        <f t="shared" si="32"/>
        <v>641</v>
      </c>
      <c r="AC32">
        <f t="shared" si="55"/>
        <v>0</v>
      </c>
      <c r="AD32">
        <f t="shared" si="56"/>
        <v>45.01</v>
      </c>
      <c r="AE32">
        <f t="shared" si="57"/>
        <v>19.440000000000001</v>
      </c>
      <c r="AF32">
        <f t="shared" si="58"/>
        <v>595.99</v>
      </c>
      <c r="AG32">
        <f t="shared" si="33"/>
        <v>0</v>
      </c>
      <c r="AH32">
        <f t="shared" si="59"/>
        <v>69.87</v>
      </c>
      <c r="AI32">
        <f t="shared" si="60"/>
        <v>1.44</v>
      </c>
      <c r="AJ32">
        <f t="shared" si="34"/>
        <v>0</v>
      </c>
      <c r="AK32">
        <v>641</v>
      </c>
      <c r="AL32">
        <v>0</v>
      </c>
      <c r="AM32">
        <v>45.01</v>
      </c>
      <c r="AN32">
        <v>19.440000000000001</v>
      </c>
      <c r="AO32">
        <v>595.99</v>
      </c>
      <c r="AP32">
        <v>0</v>
      </c>
      <c r="AQ32">
        <v>69.87</v>
      </c>
      <c r="AR32">
        <v>1.44</v>
      </c>
      <c r="AS32">
        <v>0</v>
      </c>
      <c r="AT32">
        <v>80</v>
      </c>
      <c r="AU32">
        <v>68</v>
      </c>
      <c r="AV32">
        <v>1</v>
      </c>
      <c r="AW32">
        <v>1</v>
      </c>
      <c r="AZ32">
        <v>7.13</v>
      </c>
      <c r="BA32">
        <v>7.13</v>
      </c>
      <c r="BB32">
        <v>7.13</v>
      </c>
      <c r="BC32">
        <v>7.13</v>
      </c>
      <c r="BD32" t="s">
        <v>6</v>
      </c>
      <c r="BE32" t="s">
        <v>6</v>
      </c>
      <c r="BF32" t="s">
        <v>6</v>
      </c>
      <c r="BG32" t="s">
        <v>6</v>
      </c>
      <c r="BH32">
        <v>0</v>
      </c>
      <c r="BI32">
        <v>1</v>
      </c>
      <c r="BJ32" t="s">
        <v>49</v>
      </c>
      <c r="BM32">
        <v>57001</v>
      </c>
      <c r="BN32">
        <v>0</v>
      </c>
      <c r="BO32" t="s">
        <v>6</v>
      </c>
      <c r="BP32">
        <v>0</v>
      </c>
      <c r="BQ32">
        <v>6</v>
      </c>
      <c r="BR32">
        <v>0</v>
      </c>
      <c r="BS32">
        <v>7.13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6</v>
      </c>
      <c r="BZ32">
        <v>80</v>
      </c>
      <c r="CA32">
        <v>68</v>
      </c>
      <c r="CE32">
        <v>0</v>
      </c>
      <c r="CF32">
        <v>0</v>
      </c>
      <c r="CG32">
        <v>0</v>
      </c>
      <c r="CM32">
        <v>0</v>
      </c>
      <c r="CN32" t="s">
        <v>6</v>
      </c>
      <c r="CO32">
        <v>0</v>
      </c>
      <c r="CP32">
        <f t="shared" si="35"/>
        <v>1544.77</v>
      </c>
      <c r="CQ32">
        <f t="shared" si="36"/>
        <v>0</v>
      </c>
      <c r="CR32">
        <f t="shared" si="37"/>
        <v>320.92129999999997</v>
      </c>
      <c r="CS32">
        <f t="shared" si="38"/>
        <v>138.60720000000001</v>
      </c>
      <c r="CT32">
        <f t="shared" si="39"/>
        <v>4249.4087</v>
      </c>
      <c r="CU32">
        <f t="shared" si="40"/>
        <v>0</v>
      </c>
      <c r="CV32">
        <f t="shared" si="41"/>
        <v>69.87</v>
      </c>
      <c r="CW32">
        <f t="shared" si="42"/>
        <v>1.44</v>
      </c>
      <c r="CX32">
        <f t="shared" si="43"/>
        <v>0</v>
      </c>
      <c r="CY32">
        <f t="shared" si="44"/>
        <v>1186.5199999999998</v>
      </c>
      <c r="CZ32">
        <f t="shared" si="45"/>
        <v>1008.5419999999999</v>
      </c>
      <c r="DC32" t="s">
        <v>6</v>
      </c>
      <c r="DD32" t="s">
        <v>6</v>
      </c>
      <c r="DE32" t="s">
        <v>6</v>
      </c>
      <c r="DF32" t="s">
        <v>6</v>
      </c>
      <c r="DG32" t="s">
        <v>6</v>
      </c>
      <c r="DH32" t="s">
        <v>6</v>
      </c>
      <c r="DI32" t="s">
        <v>6</v>
      </c>
      <c r="DJ32" t="s">
        <v>6</v>
      </c>
      <c r="DK32" t="s">
        <v>6</v>
      </c>
      <c r="DL32" t="s">
        <v>6</v>
      </c>
      <c r="DM32" t="s">
        <v>6</v>
      </c>
      <c r="DN32">
        <v>0</v>
      </c>
      <c r="DO32">
        <v>0</v>
      </c>
      <c r="DP32">
        <v>1</v>
      </c>
      <c r="DQ32">
        <v>1</v>
      </c>
      <c r="DU32">
        <v>1005</v>
      </c>
      <c r="DV32" t="s">
        <v>18</v>
      </c>
      <c r="DW32" t="s">
        <v>18</v>
      </c>
      <c r="DX32">
        <v>100</v>
      </c>
      <c r="EE32">
        <v>16609182</v>
      </c>
      <c r="EF32">
        <v>6</v>
      </c>
      <c r="EG32" t="s">
        <v>39</v>
      </c>
      <c r="EH32">
        <v>0</v>
      </c>
      <c r="EI32" t="s">
        <v>6</v>
      </c>
      <c r="EJ32">
        <v>1</v>
      </c>
      <c r="EK32">
        <v>57001</v>
      </c>
      <c r="EL32" t="s">
        <v>40</v>
      </c>
      <c r="EM32" t="s">
        <v>41</v>
      </c>
      <c r="EO32" t="s">
        <v>6</v>
      </c>
      <c r="EQ32">
        <v>131072</v>
      </c>
      <c r="ER32">
        <v>641</v>
      </c>
      <c r="ES32">
        <v>0</v>
      </c>
      <c r="ET32">
        <v>45.01</v>
      </c>
      <c r="EU32">
        <v>19.440000000000001</v>
      </c>
      <c r="EV32">
        <v>595.99</v>
      </c>
      <c r="EW32">
        <v>69.87</v>
      </c>
      <c r="EX32">
        <v>1.44</v>
      </c>
      <c r="EY32">
        <v>0</v>
      </c>
      <c r="FQ32">
        <v>0</v>
      </c>
      <c r="FR32">
        <f t="shared" si="46"/>
        <v>0</v>
      </c>
      <c r="FS32">
        <v>0</v>
      </c>
      <c r="FX32">
        <v>80</v>
      </c>
      <c r="FY32">
        <v>68</v>
      </c>
      <c r="GA32" t="s">
        <v>6</v>
      </c>
      <c r="GD32">
        <v>0</v>
      </c>
      <c r="GF32">
        <v>1406297217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7"/>
        <v>0</v>
      </c>
      <c r="GM32">
        <f t="shared" si="48"/>
        <v>3739.83</v>
      </c>
      <c r="GN32">
        <f t="shared" si="49"/>
        <v>3739.83</v>
      </c>
      <c r="GO32">
        <f t="shared" si="50"/>
        <v>0</v>
      </c>
      <c r="GP32">
        <f t="shared" si="51"/>
        <v>0</v>
      </c>
      <c r="GR32">
        <v>0</v>
      </c>
      <c r="GS32">
        <v>3</v>
      </c>
      <c r="GT32">
        <v>0</v>
      </c>
      <c r="GU32" t="s">
        <v>6</v>
      </c>
      <c r="GV32">
        <f t="shared" si="52"/>
        <v>0</v>
      </c>
      <c r="GW32">
        <v>1</v>
      </c>
      <c r="GX32">
        <f t="shared" si="53"/>
        <v>0</v>
      </c>
      <c r="HA32">
        <v>0</v>
      </c>
      <c r="HB32">
        <v>0</v>
      </c>
      <c r="HC32">
        <f t="shared" si="54"/>
        <v>0</v>
      </c>
      <c r="IK32">
        <v>0</v>
      </c>
    </row>
    <row r="33" spans="1:245" x14ac:dyDescent="0.2">
      <c r="A33">
        <v>17</v>
      </c>
      <c r="B33">
        <v>1</v>
      </c>
      <c r="C33">
        <f>ROW(SmtRes!A22)</f>
        <v>22</v>
      </c>
      <c r="D33">
        <f>ROW(EtalonRes!A27)</f>
        <v>27</v>
      </c>
      <c r="E33" t="s">
        <v>50</v>
      </c>
      <c r="F33" t="s">
        <v>51</v>
      </c>
      <c r="G33" t="s">
        <v>52</v>
      </c>
      <c r="H33" t="s">
        <v>18</v>
      </c>
      <c r="I33">
        <f>ROUND(33.8/100,9)</f>
        <v>0.33800000000000002</v>
      </c>
      <c r="J33">
        <v>0</v>
      </c>
      <c r="O33">
        <f t="shared" si="21"/>
        <v>4066.91</v>
      </c>
      <c r="P33">
        <f t="shared" si="22"/>
        <v>0</v>
      </c>
      <c r="Q33">
        <f t="shared" si="23"/>
        <v>1780.99</v>
      </c>
      <c r="R33">
        <f t="shared" si="24"/>
        <v>58.56</v>
      </c>
      <c r="S33">
        <f t="shared" si="25"/>
        <v>2285.92</v>
      </c>
      <c r="T33">
        <f t="shared" si="26"/>
        <v>0</v>
      </c>
      <c r="U33">
        <f t="shared" si="27"/>
        <v>37.585600000000007</v>
      </c>
      <c r="V33">
        <f t="shared" si="28"/>
        <v>0.60840000000000005</v>
      </c>
      <c r="W33">
        <f t="shared" si="29"/>
        <v>0</v>
      </c>
      <c r="X33">
        <f t="shared" si="30"/>
        <v>1875.58</v>
      </c>
      <c r="Y33">
        <f t="shared" si="31"/>
        <v>1594.25</v>
      </c>
      <c r="AA33">
        <v>16630606</v>
      </c>
      <c r="AB33">
        <f t="shared" si="32"/>
        <v>1687.56</v>
      </c>
      <c r="AC33">
        <f t="shared" si="55"/>
        <v>0</v>
      </c>
      <c r="AD33">
        <f t="shared" si="56"/>
        <v>739.02</v>
      </c>
      <c r="AE33">
        <f t="shared" si="57"/>
        <v>24.3</v>
      </c>
      <c r="AF33">
        <f t="shared" si="58"/>
        <v>948.54</v>
      </c>
      <c r="AG33">
        <f t="shared" si="33"/>
        <v>0</v>
      </c>
      <c r="AH33">
        <f t="shared" si="59"/>
        <v>111.2</v>
      </c>
      <c r="AI33">
        <f t="shared" si="60"/>
        <v>1.8</v>
      </c>
      <c r="AJ33">
        <f t="shared" si="34"/>
        <v>0</v>
      </c>
      <c r="AK33">
        <v>1687.56</v>
      </c>
      <c r="AL33">
        <v>0</v>
      </c>
      <c r="AM33">
        <v>739.02</v>
      </c>
      <c r="AN33">
        <v>24.3</v>
      </c>
      <c r="AO33">
        <v>948.54</v>
      </c>
      <c r="AP33">
        <v>0</v>
      </c>
      <c r="AQ33">
        <v>111.2</v>
      </c>
      <c r="AR33">
        <v>1.8</v>
      </c>
      <c r="AS33">
        <v>0</v>
      </c>
      <c r="AT33">
        <v>80</v>
      </c>
      <c r="AU33">
        <v>68</v>
      </c>
      <c r="AV33">
        <v>1</v>
      </c>
      <c r="AW33">
        <v>1</v>
      </c>
      <c r="AZ33">
        <v>7.13</v>
      </c>
      <c r="BA33">
        <v>7.13</v>
      </c>
      <c r="BB33">
        <v>7.13</v>
      </c>
      <c r="BC33">
        <v>7.13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53</v>
      </c>
      <c r="BM33">
        <v>57001</v>
      </c>
      <c r="BN33">
        <v>0</v>
      </c>
      <c r="BO33" t="s">
        <v>6</v>
      </c>
      <c r="BP33">
        <v>0</v>
      </c>
      <c r="BQ33">
        <v>6</v>
      </c>
      <c r="BR33">
        <v>0</v>
      </c>
      <c r="BS33">
        <v>7.13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80</v>
      </c>
      <c r="CA33">
        <v>68</v>
      </c>
      <c r="CE33">
        <v>0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35"/>
        <v>4066.91</v>
      </c>
      <c r="CQ33">
        <f t="shared" si="36"/>
        <v>0</v>
      </c>
      <c r="CR33">
        <f t="shared" si="37"/>
        <v>5269.2125999999998</v>
      </c>
      <c r="CS33">
        <f t="shared" si="38"/>
        <v>173.25900000000001</v>
      </c>
      <c r="CT33">
        <f t="shared" si="39"/>
        <v>6763.0901999999996</v>
      </c>
      <c r="CU33">
        <f t="shared" si="40"/>
        <v>0</v>
      </c>
      <c r="CV33">
        <f t="shared" si="41"/>
        <v>111.2</v>
      </c>
      <c r="CW33">
        <f t="shared" si="42"/>
        <v>1.8</v>
      </c>
      <c r="CX33">
        <f t="shared" si="43"/>
        <v>0</v>
      </c>
      <c r="CY33">
        <f t="shared" si="44"/>
        <v>1875.5839999999998</v>
      </c>
      <c r="CZ33">
        <f t="shared" si="45"/>
        <v>1594.2464000000002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18</v>
      </c>
      <c r="DW33" t="s">
        <v>18</v>
      </c>
      <c r="DX33">
        <v>100</v>
      </c>
      <c r="EE33">
        <v>16609182</v>
      </c>
      <c r="EF33">
        <v>6</v>
      </c>
      <c r="EG33" t="s">
        <v>39</v>
      </c>
      <c r="EH33">
        <v>0</v>
      </c>
      <c r="EI33" t="s">
        <v>6</v>
      </c>
      <c r="EJ33">
        <v>1</v>
      </c>
      <c r="EK33">
        <v>57001</v>
      </c>
      <c r="EL33" t="s">
        <v>40</v>
      </c>
      <c r="EM33" t="s">
        <v>41</v>
      </c>
      <c r="EO33" t="s">
        <v>6</v>
      </c>
      <c r="EQ33">
        <v>131072</v>
      </c>
      <c r="ER33">
        <v>1687.56</v>
      </c>
      <c r="ES33">
        <v>0</v>
      </c>
      <c r="ET33">
        <v>739.02</v>
      </c>
      <c r="EU33">
        <v>24.3</v>
      </c>
      <c r="EV33">
        <v>948.54</v>
      </c>
      <c r="EW33">
        <v>111.2</v>
      </c>
      <c r="EX33">
        <v>1.8</v>
      </c>
      <c r="EY33">
        <v>0</v>
      </c>
      <c r="FQ33">
        <v>0</v>
      </c>
      <c r="FR33">
        <f t="shared" si="46"/>
        <v>0</v>
      </c>
      <c r="FS33">
        <v>0</v>
      </c>
      <c r="FX33">
        <v>80</v>
      </c>
      <c r="FY33">
        <v>68</v>
      </c>
      <c r="GA33" t="s">
        <v>6</v>
      </c>
      <c r="GD33">
        <v>0</v>
      </c>
      <c r="GF33">
        <v>212126470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7"/>
        <v>0</v>
      </c>
      <c r="GM33">
        <f t="shared" si="48"/>
        <v>7536.74</v>
      </c>
      <c r="GN33">
        <f t="shared" si="49"/>
        <v>7536.74</v>
      </c>
      <c r="GO33">
        <f t="shared" si="50"/>
        <v>0</v>
      </c>
      <c r="GP33">
        <f t="shared" si="51"/>
        <v>0</v>
      </c>
      <c r="GR33">
        <v>0</v>
      </c>
      <c r="GS33">
        <v>3</v>
      </c>
      <c r="GT33">
        <v>0</v>
      </c>
      <c r="GU33" t="s">
        <v>6</v>
      </c>
      <c r="GV33">
        <f t="shared" si="52"/>
        <v>0</v>
      </c>
      <c r="GW33">
        <v>1</v>
      </c>
      <c r="GX33">
        <f t="shared" si="53"/>
        <v>0</v>
      </c>
      <c r="HA33">
        <v>0</v>
      </c>
      <c r="HB33">
        <v>0</v>
      </c>
      <c r="HC33">
        <f t="shared" si="54"/>
        <v>0</v>
      </c>
      <c r="IK33">
        <v>0</v>
      </c>
    </row>
    <row r="34" spans="1:245" x14ac:dyDescent="0.2">
      <c r="A34">
        <v>17</v>
      </c>
      <c r="B34">
        <v>1</v>
      </c>
      <c r="C34">
        <f>ROW(SmtRes!A23)</f>
        <v>23</v>
      </c>
      <c r="D34">
        <f>ROW(EtalonRes!A29)</f>
        <v>29</v>
      </c>
      <c r="E34" t="s">
        <v>54</v>
      </c>
      <c r="F34" t="s">
        <v>55</v>
      </c>
      <c r="G34" t="s">
        <v>56</v>
      </c>
      <c r="H34" t="s">
        <v>57</v>
      </c>
      <c r="I34">
        <f>ROUND(51.88/100,9)</f>
        <v>0.51880000000000004</v>
      </c>
      <c r="J34">
        <v>0</v>
      </c>
      <c r="O34">
        <f t="shared" si="21"/>
        <v>412</v>
      </c>
      <c r="P34">
        <f t="shared" si="22"/>
        <v>0</v>
      </c>
      <c r="Q34">
        <f t="shared" si="23"/>
        <v>0</v>
      </c>
      <c r="R34">
        <f t="shared" si="24"/>
        <v>0</v>
      </c>
      <c r="S34">
        <f t="shared" si="25"/>
        <v>412</v>
      </c>
      <c r="T34">
        <f t="shared" si="26"/>
        <v>0</v>
      </c>
      <c r="U34">
        <f t="shared" si="27"/>
        <v>7.4084640000000004</v>
      </c>
      <c r="V34">
        <f t="shared" si="28"/>
        <v>0</v>
      </c>
      <c r="W34">
        <f t="shared" si="29"/>
        <v>0</v>
      </c>
      <c r="X34">
        <f t="shared" si="30"/>
        <v>329.6</v>
      </c>
      <c r="Y34">
        <f t="shared" si="31"/>
        <v>280.16000000000003</v>
      </c>
      <c r="AA34">
        <v>16630606</v>
      </c>
      <c r="AB34">
        <f t="shared" si="32"/>
        <v>111.38</v>
      </c>
      <c r="AC34">
        <f t="shared" si="55"/>
        <v>0</v>
      </c>
      <c r="AD34">
        <f t="shared" si="56"/>
        <v>0</v>
      </c>
      <c r="AE34">
        <f t="shared" si="57"/>
        <v>0</v>
      </c>
      <c r="AF34">
        <f t="shared" si="58"/>
        <v>111.38</v>
      </c>
      <c r="AG34">
        <f t="shared" si="33"/>
        <v>0</v>
      </c>
      <c r="AH34">
        <f t="shared" si="59"/>
        <v>14.28</v>
      </c>
      <c r="AI34">
        <f t="shared" si="60"/>
        <v>0</v>
      </c>
      <c r="AJ34">
        <f t="shared" si="34"/>
        <v>0</v>
      </c>
      <c r="AK34">
        <v>111.38</v>
      </c>
      <c r="AL34">
        <v>0</v>
      </c>
      <c r="AM34">
        <v>0</v>
      </c>
      <c r="AN34">
        <v>0</v>
      </c>
      <c r="AO34">
        <v>111.38</v>
      </c>
      <c r="AP34">
        <v>0</v>
      </c>
      <c r="AQ34">
        <v>14.28</v>
      </c>
      <c r="AR34">
        <v>0</v>
      </c>
      <c r="AS34">
        <v>0</v>
      </c>
      <c r="AT34">
        <v>80</v>
      </c>
      <c r="AU34">
        <v>68</v>
      </c>
      <c r="AV34">
        <v>1</v>
      </c>
      <c r="AW34">
        <v>1</v>
      </c>
      <c r="AZ34">
        <v>7.13</v>
      </c>
      <c r="BA34">
        <v>7.13</v>
      </c>
      <c r="BB34">
        <v>7.13</v>
      </c>
      <c r="BC34">
        <v>7.13</v>
      </c>
      <c r="BD34" t="s">
        <v>6</v>
      </c>
      <c r="BE34" t="s">
        <v>6</v>
      </c>
      <c r="BF34" t="s">
        <v>6</v>
      </c>
      <c r="BG34" t="s">
        <v>6</v>
      </c>
      <c r="BH34">
        <v>0</v>
      </c>
      <c r="BI34">
        <v>1</v>
      </c>
      <c r="BJ34" t="s">
        <v>58</v>
      </c>
      <c r="BM34">
        <v>57001</v>
      </c>
      <c r="BN34">
        <v>0</v>
      </c>
      <c r="BO34" t="s">
        <v>6</v>
      </c>
      <c r="BP34">
        <v>0</v>
      </c>
      <c r="BQ34">
        <v>6</v>
      </c>
      <c r="BR34">
        <v>0</v>
      </c>
      <c r="BS34">
        <v>7.13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6</v>
      </c>
      <c r="BZ34">
        <v>80</v>
      </c>
      <c r="CA34">
        <v>68</v>
      </c>
      <c r="CE34">
        <v>0</v>
      </c>
      <c r="CF34">
        <v>0</v>
      </c>
      <c r="CG34">
        <v>0</v>
      </c>
      <c r="CM34">
        <v>0</v>
      </c>
      <c r="CN34" t="s">
        <v>6</v>
      </c>
      <c r="CO34">
        <v>0</v>
      </c>
      <c r="CP34">
        <f t="shared" si="35"/>
        <v>412</v>
      </c>
      <c r="CQ34">
        <f t="shared" si="36"/>
        <v>0</v>
      </c>
      <c r="CR34">
        <f t="shared" si="37"/>
        <v>0</v>
      </c>
      <c r="CS34">
        <f t="shared" si="38"/>
        <v>0</v>
      </c>
      <c r="CT34">
        <f t="shared" si="39"/>
        <v>794.13939999999991</v>
      </c>
      <c r="CU34">
        <f t="shared" si="40"/>
        <v>0</v>
      </c>
      <c r="CV34">
        <f t="shared" si="41"/>
        <v>14.28</v>
      </c>
      <c r="CW34">
        <f t="shared" si="42"/>
        <v>0</v>
      </c>
      <c r="CX34">
        <f t="shared" si="43"/>
        <v>0</v>
      </c>
      <c r="CY34">
        <f t="shared" si="44"/>
        <v>329.6</v>
      </c>
      <c r="CZ34">
        <f t="shared" si="45"/>
        <v>280.16000000000003</v>
      </c>
      <c r="DC34" t="s">
        <v>6</v>
      </c>
      <c r="DD34" t="s">
        <v>6</v>
      </c>
      <c r="DE34" t="s">
        <v>6</v>
      </c>
      <c r="DF34" t="s">
        <v>6</v>
      </c>
      <c r="DG34" t="s">
        <v>6</v>
      </c>
      <c r="DH34" t="s">
        <v>6</v>
      </c>
      <c r="DI34" t="s">
        <v>6</v>
      </c>
      <c r="DJ34" t="s">
        <v>6</v>
      </c>
      <c r="DK34" t="s">
        <v>6</v>
      </c>
      <c r="DL34" t="s">
        <v>6</v>
      </c>
      <c r="DM34" t="s">
        <v>6</v>
      </c>
      <c r="DN34">
        <v>0</v>
      </c>
      <c r="DO34">
        <v>0</v>
      </c>
      <c r="DP34">
        <v>1</v>
      </c>
      <c r="DQ34">
        <v>1</v>
      </c>
      <c r="DU34">
        <v>1003</v>
      </c>
      <c r="DV34" t="s">
        <v>57</v>
      </c>
      <c r="DW34" t="s">
        <v>57</v>
      </c>
      <c r="DX34">
        <v>100</v>
      </c>
      <c r="EE34">
        <v>16609182</v>
      </c>
      <c r="EF34">
        <v>6</v>
      </c>
      <c r="EG34" t="s">
        <v>39</v>
      </c>
      <c r="EH34">
        <v>0</v>
      </c>
      <c r="EI34" t="s">
        <v>6</v>
      </c>
      <c r="EJ34">
        <v>1</v>
      </c>
      <c r="EK34">
        <v>57001</v>
      </c>
      <c r="EL34" t="s">
        <v>40</v>
      </c>
      <c r="EM34" t="s">
        <v>41</v>
      </c>
      <c r="EO34" t="s">
        <v>6</v>
      </c>
      <c r="EQ34">
        <v>131072</v>
      </c>
      <c r="ER34">
        <v>111.38</v>
      </c>
      <c r="ES34">
        <v>0</v>
      </c>
      <c r="ET34">
        <v>0</v>
      </c>
      <c r="EU34">
        <v>0</v>
      </c>
      <c r="EV34">
        <v>111.38</v>
      </c>
      <c r="EW34">
        <v>14.28</v>
      </c>
      <c r="EX34">
        <v>0</v>
      </c>
      <c r="EY34">
        <v>0</v>
      </c>
      <c r="FQ34">
        <v>0</v>
      </c>
      <c r="FR34">
        <f t="shared" si="46"/>
        <v>0</v>
      </c>
      <c r="FS34">
        <v>0</v>
      </c>
      <c r="FX34">
        <v>80</v>
      </c>
      <c r="FY34">
        <v>68</v>
      </c>
      <c r="GA34" t="s">
        <v>6</v>
      </c>
      <c r="GD34">
        <v>0</v>
      </c>
      <c r="GF34">
        <v>-1480636884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7"/>
        <v>0</v>
      </c>
      <c r="GM34">
        <f t="shared" si="48"/>
        <v>1021.76</v>
      </c>
      <c r="GN34">
        <f t="shared" si="49"/>
        <v>1021.76</v>
      </c>
      <c r="GO34">
        <f t="shared" si="50"/>
        <v>0</v>
      </c>
      <c r="GP34">
        <f t="shared" si="51"/>
        <v>0</v>
      </c>
      <c r="GR34">
        <v>0</v>
      </c>
      <c r="GS34">
        <v>3</v>
      </c>
      <c r="GT34">
        <v>0</v>
      </c>
      <c r="GU34" t="s">
        <v>6</v>
      </c>
      <c r="GV34">
        <f t="shared" si="52"/>
        <v>0</v>
      </c>
      <c r="GW34">
        <v>1</v>
      </c>
      <c r="GX34">
        <f t="shared" si="53"/>
        <v>0</v>
      </c>
      <c r="HA34">
        <v>0</v>
      </c>
      <c r="HB34">
        <v>0</v>
      </c>
      <c r="HC34">
        <f t="shared" si="54"/>
        <v>0</v>
      </c>
      <c r="IK34">
        <v>0</v>
      </c>
    </row>
    <row r="35" spans="1:245" x14ac:dyDescent="0.2">
      <c r="A35">
        <v>17</v>
      </c>
      <c r="B35">
        <v>1</v>
      </c>
      <c r="C35">
        <f>ROW(SmtRes!A24)</f>
        <v>24</v>
      </c>
      <c r="D35">
        <f>ROW(EtalonRes!A31)</f>
        <v>31</v>
      </c>
      <c r="E35" t="s">
        <v>59</v>
      </c>
      <c r="F35" t="s">
        <v>60</v>
      </c>
      <c r="G35" t="s">
        <v>61</v>
      </c>
      <c r="H35" t="s">
        <v>57</v>
      </c>
      <c r="I35">
        <f>ROUND(191.58/100,9)</f>
        <v>1.9157999999999999</v>
      </c>
      <c r="J35">
        <v>0</v>
      </c>
      <c r="O35">
        <f t="shared" si="21"/>
        <v>401.73</v>
      </c>
      <c r="P35">
        <f t="shared" si="22"/>
        <v>0</v>
      </c>
      <c r="Q35">
        <f t="shared" si="23"/>
        <v>0</v>
      </c>
      <c r="R35">
        <f t="shared" si="24"/>
        <v>0</v>
      </c>
      <c r="S35">
        <f t="shared" si="25"/>
        <v>401.73</v>
      </c>
      <c r="T35">
        <f t="shared" si="26"/>
        <v>0</v>
      </c>
      <c r="U35">
        <f t="shared" si="27"/>
        <v>7.2225659999999996</v>
      </c>
      <c r="V35">
        <f t="shared" si="28"/>
        <v>0</v>
      </c>
      <c r="W35">
        <f t="shared" si="29"/>
        <v>0</v>
      </c>
      <c r="X35">
        <f t="shared" si="30"/>
        <v>321.38</v>
      </c>
      <c r="Y35">
        <f t="shared" si="31"/>
        <v>273.18</v>
      </c>
      <c r="AA35">
        <v>16630606</v>
      </c>
      <c r="AB35">
        <f t="shared" si="32"/>
        <v>29.41</v>
      </c>
      <c r="AC35">
        <f t="shared" si="55"/>
        <v>0</v>
      </c>
      <c r="AD35">
        <f t="shared" si="56"/>
        <v>0</v>
      </c>
      <c r="AE35">
        <f t="shared" si="57"/>
        <v>0</v>
      </c>
      <c r="AF35">
        <f t="shared" si="58"/>
        <v>29.41</v>
      </c>
      <c r="AG35">
        <f t="shared" si="33"/>
        <v>0</v>
      </c>
      <c r="AH35">
        <f t="shared" si="59"/>
        <v>3.77</v>
      </c>
      <c r="AI35">
        <f t="shared" si="60"/>
        <v>0</v>
      </c>
      <c r="AJ35">
        <f t="shared" si="34"/>
        <v>0</v>
      </c>
      <c r="AK35">
        <v>29.41</v>
      </c>
      <c r="AL35">
        <v>0</v>
      </c>
      <c r="AM35">
        <v>0</v>
      </c>
      <c r="AN35">
        <v>0</v>
      </c>
      <c r="AO35">
        <v>29.41</v>
      </c>
      <c r="AP35">
        <v>0</v>
      </c>
      <c r="AQ35">
        <v>3.77</v>
      </c>
      <c r="AR35">
        <v>0</v>
      </c>
      <c r="AS35">
        <v>0</v>
      </c>
      <c r="AT35">
        <v>80</v>
      </c>
      <c r="AU35">
        <v>68</v>
      </c>
      <c r="AV35">
        <v>1</v>
      </c>
      <c r="AW35">
        <v>1</v>
      </c>
      <c r="AZ35">
        <v>7.13</v>
      </c>
      <c r="BA35">
        <v>7.13</v>
      </c>
      <c r="BB35">
        <v>7.13</v>
      </c>
      <c r="BC35">
        <v>7.13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62</v>
      </c>
      <c r="BM35">
        <v>57001</v>
      </c>
      <c r="BN35">
        <v>0</v>
      </c>
      <c r="BO35" t="s">
        <v>6</v>
      </c>
      <c r="BP35">
        <v>0</v>
      </c>
      <c r="BQ35">
        <v>6</v>
      </c>
      <c r="BR35">
        <v>0</v>
      </c>
      <c r="BS35">
        <v>7.13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80</v>
      </c>
      <c r="CA35">
        <v>68</v>
      </c>
      <c r="CE35">
        <v>0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35"/>
        <v>401.73</v>
      </c>
      <c r="CQ35">
        <f t="shared" si="36"/>
        <v>0</v>
      </c>
      <c r="CR35">
        <f t="shared" si="37"/>
        <v>0</v>
      </c>
      <c r="CS35">
        <f t="shared" si="38"/>
        <v>0</v>
      </c>
      <c r="CT35">
        <f t="shared" si="39"/>
        <v>209.69329999999999</v>
      </c>
      <c r="CU35">
        <f t="shared" si="40"/>
        <v>0</v>
      </c>
      <c r="CV35">
        <f t="shared" si="41"/>
        <v>3.77</v>
      </c>
      <c r="CW35">
        <f t="shared" si="42"/>
        <v>0</v>
      </c>
      <c r="CX35">
        <f t="shared" si="43"/>
        <v>0</v>
      </c>
      <c r="CY35">
        <f t="shared" si="44"/>
        <v>321.38400000000001</v>
      </c>
      <c r="CZ35">
        <f t="shared" si="45"/>
        <v>273.1764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1003</v>
      </c>
      <c r="DV35" t="s">
        <v>57</v>
      </c>
      <c r="DW35" t="s">
        <v>57</v>
      </c>
      <c r="DX35">
        <v>100</v>
      </c>
      <c r="EE35">
        <v>16609182</v>
      </c>
      <c r="EF35">
        <v>6</v>
      </c>
      <c r="EG35" t="s">
        <v>39</v>
      </c>
      <c r="EH35">
        <v>0</v>
      </c>
      <c r="EI35" t="s">
        <v>6</v>
      </c>
      <c r="EJ35">
        <v>1</v>
      </c>
      <c r="EK35">
        <v>57001</v>
      </c>
      <c r="EL35" t="s">
        <v>40</v>
      </c>
      <c r="EM35" t="s">
        <v>41</v>
      </c>
      <c r="EO35" t="s">
        <v>6</v>
      </c>
      <c r="EQ35">
        <v>131072</v>
      </c>
      <c r="ER35">
        <v>29.41</v>
      </c>
      <c r="ES35">
        <v>0</v>
      </c>
      <c r="ET35">
        <v>0</v>
      </c>
      <c r="EU35">
        <v>0</v>
      </c>
      <c r="EV35">
        <v>29.41</v>
      </c>
      <c r="EW35">
        <v>3.77</v>
      </c>
      <c r="EX35">
        <v>0</v>
      </c>
      <c r="EY35">
        <v>0</v>
      </c>
      <c r="FQ35">
        <v>0</v>
      </c>
      <c r="FR35">
        <f t="shared" si="46"/>
        <v>0</v>
      </c>
      <c r="FS35">
        <v>0</v>
      </c>
      <c r="FX35">
        <v>80</v>
      </c>
      <c r="FY35">
        <v>68</v>
      </c>
      <c r="GA35" t="s">
        <v>6</v>
      </c>
      <c r="GD35">
        <v>0</v>
      </c>
      <c r="GF35">
        <v>-1431764135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7"/>
        <v>0</v>
      </c>
      <c r="GM35">
        <f t="shared" si="48"/>
        <v>996.29</v>
      </c>
      <c r="GN35">
        <f t="shared" si="49"/>
        <v>996.29</v>
      </c>
      <c r="GO35">
        <f t="shared" si="50"/>
        <v>0</v>
      </c>
      <c r="GP35">
        <f t="shared" si="51"/>
        <v>0</v>
      </c>
      <c r="GR35">
        <v>0</v>
      </c>
      <c r="GS35">
        <v>3</v>
      </c>
      <c r="GT35">
        <v>0</v>
      </c>
      <c r="GU35" t="s">
        <v>6</v>
      </c>
      <c r="GV35">
        <f t="shared" si="52"/>
        <v>0</v>
      </c>
      <c r="GW35">
        <v>1</v>
      </c>
      <c r="GX35">
        <f t="shared" si="53"/>
        <v>0</v>
      </c>
      <c r="HA35">
        <v>0</v>
      </c>
      <c r="HB35">
        <v>0</v>
      </c>
      <c r="HC35">
        <f t="shared" si="54"/>
        <v>0</v>
      </c>
      <c r="IK35">
        <v>0</v>
      </c>
    </row>
    <row r="36" spans="1:245" x14ac:dyDescent="0.2">
      <c r="A36">
        <v>17</v>
      </c>
      <c r="B36">
        <v>1</v>
      </c>
      <c r="C36">
        <f>ROW(SmtRes!A29)</f>
        <v>29</v>
      </c>
      <c r="D36">
        <f>ROW(EtalonRes!A36)</f>
        <v>36</v>
      </c>
      <c r="E36" t="s">
        <v>63</v>
      </c>
      <c r="F36" t="s">
        <v>64</v>
      </c>
      <c r="G36" t="s">
        <v>65</v>
      </c>
      <c r="H36" t="s">
        <v>18</v>
      </c>
      <c r="I36">
        <f>ROUND(78.73/100,9)</f>
        <v>0.7873</v>
      </c>
      <c r="J36">
        <v>0</v>
      </c>
      <c r="O36">
        <f t="shared" si="21"/>
        <v>3671.2</v>
      </c>
      <c r="P36">
        <f t="shared" si="22"/>
        <v>0</v>
      </c>
      <c r="Q36">
        <f t="shared" si="23"/>
        <v>388.79</v>
      </c>
      <c r="R36">
        <f t="shared" si="24"/>
        <v>26.55</v>
      </c>
      <c r="S36">
        <f t="shared" si="25"/>
        <v>3282.41</v>
      </c>
      <c r="T36">
        <f t="shared" si="26"/>
        <v>0</v>
      </c>
      <c r="U36">
        <f t="shared" si="27"/>
        <v>58.496389999999998</v>
      </c>
      <c r="V36">
        <f t="shared" si="28"/>
        <v>0.27555499999999999</v>
      </c>
      <c r="W36">
        <f t="shared" si="29"/>
        <v>0</v>
      </c>
      <c r="X36">
        <f t="shared" si="30"/>
        <v>2547.9</v>
      </c>
      <c r="Y36">
        <f t="shared" si="31"/>
        <v>1654.48</v>
      </c>
      <c r="AA36">
        <v>16630606</v>
      </c>
      <c r="AB36">
        <f t="shared" si="32"/>
        <v>654</v>
      </c>
      <c r="AC36">
        <f t="shared" si="55"/>
        <v>0</v>
      </c>
      <c r="AD36">
        <f t="shared" si="56"/>
        <v>69.260000000000005</v>
      </c>
      <c r="AE36">
        <f t="shared" si="57"/>
        <v>4.7300000000000004</v>
      </c>
      <c r="AF36">
        <f t="shared" si="58"/>
        <v>584.74</v>
      </c>
      <c r="AG36">
        <f t="shared" si="33"/>
        <v>0</v>
      </c>
      <c r="AH36">
        <f t="shared" si="59"/>
        <v>74.3</v>
      </c>
      <c r="AI36">
        <f t="shared" si="60"/>
        <v>0.35</v>
      </c>
      <c r="AJ36">
        <f t="shared" si="34"/>
        <v>0</v>
      </c>
      <c r="AK36">
        <v>654</v>
      </c>
      <c r="AL36">
        <v>0</v>
      </c>
      <c r="AM36">
        <v>69.260000000000005</v>
      </c>
      <c r="AN36">
        <v>4.7300000000000004</v>
      </c>
      <c r="AO36">
        <v>584.74</v>
      </c>
      <c r="AP36">
        <v>0</v>
      </c>
      <c r="AQ36">
        <v>74.3</v>
      </c>
      <c r="AR36">
        <v>0.35</v>
      </c>
      <c r="AS36">
        <v>0</v>
      </c>
      <c r="AT36">
        <v>77</v>
      </c>
      <c r="AU36">
        <v>50</v>
      </c>
      <c r="AV36">
        <v>1</v>
      </c>
      <c r="AW36">
        <v>1</v>
      </c>
      <c r="AZ36">
        <v>7.13</v>
      </c>
      <c r="BA36">
        <v>7.13</v>
      </c>
      <c r="BB36">
        <v>7.13</v>
      </c>
      <c r="BC36">
        <v>7.13</v>
      </c>
      <c r="BD36" t="s">
        <v>6</v>
      </c>
      <c r="BE36" t="s">
        <v>6</v>
      </c>
      <c r="BF36" t="s">
        <v>6</v>
      </c>
      <c r="BG36" t="s">
        <v>6</v>
      </c>
      <c r="BH36">
        <v>0</v>
      </c>
      <c r="BI36">
        <v>1</v>
      </c>
      <c r="BJ36" t="s">
        <v>66</v>
      </c>
      <c r="BM36">
        <v>63001</v>
      </c>
      <c r="BN36">
        <v>0</v>
      </c>
      <c r="BO36" t="s">
        <v>6</v>
      </c>
      <c r="BP36">
        <v>0</v>
      </c>
      <c r="BQ36">
        <v>6</v>
      </c>
      <c r="BR36">
        <v>0</v>
      </c>
      <c r="BS36">
        <v>7.13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6</v>
      </c>
      <c r="BZ36">
        <v>77</v>
      </c>
      <c r="CA36">
        <v>50</v>
      </c>
      <c r="CE36">
        <v>0</v>
      </c>
      <c r="CF36">
        <v>0</v>
      </c>
      <c r="CG36">
        <v>0</v>
      </c>
      <c r="CM36">
        <v>0</v>
      </c>
      <c r="CN36" t="s">
        <v>6</v>
      </c>
      <c r="CO36">
        <v>0</v>
      </c>
      <c r="CP36">
        <f t="shared" si="35"/>
        <v>3671.2</v>
      </c>
      <c r="CQ36">
        <f t="shared" si="36"/>
        <v>0</v>
      </c>
      <c r="CR36">
        <f t="shared" si="37"/>
        <v>493.82380000000001</v>
      </c>
      <c r="CS36">
        <f t="shared" si="38"/>
        <v>33.724900000000005</v>
      </c>
      <c r="CT36">
        <f t="shared" si="39"/>
        <v>4169.1962000000003</v>
      </c>
      <c r="CU36">
        <f t="shared" si="40"/>
        <v>0</v>
      </c>
      <c r="CV36">
        <f t="shared" si="41"/>
        <v>74.3</v>
      </c>
      <c r="CW36">
        <f t="shared" si="42"/>
        <v>0.35</v>
      </c>
      <c r="CX36">
        <f t="shared" si="43"/>
        <v>0</v>
      </c>
      <c r="CY36">
        <f t="shared" si="44"/>
        <v>2547.8992000000003</v>
      </c>
      <c r="CZ36">
        <f t="shared" si="45"/>
        <v>1654.48</v>
      </c>
      <c r="DC36" t="s">
        <v>6</v>
      </c>
      <c r="DD36" t="s">
        <v>6</v>
      </c>
      <c r="DE36" t="s">
        <v>6</v>
      </c>
      <c r="DF36" t="s">
        <v>6</v>
      </c>
      <c r="DG36" t="s">
        <v>6</v>
      </c>
      <c r="DH36" t="s">
        <v>6</v>
      </c>
      <c r="DI36" t="s">
        <v>6</v>
      </c>
      <c r="DJ36" t="s">
        <v>6</v>
      </c>
      <c r="DK36" t="s">
        <v>6</v>
      </c>
      <c r="DL36" t="s">
        <v>6</v>
      </c>
      <c r="DM36" t="s">
        <v>6</v>
      </c>
      <c r="DN36">
        <v>0</v>
      </c>
      <c r="DO36">
        <v>0</v>
      </c>
      <c r="DP36">
        <v>1</v>
      </c>
      <c r="DQ36">
        <v>1</v>
      </c>
      <c r="DU36">
        <v>1005</v>
      </c>
      <c r="DV36" t="s">
        <v>18</v>
      </c>
      <c r="DW36" t="s">
        <v>18</v>
      </c>
      <c r="DX36">
        <v>100</v>
      </c>
      <c r="EE36">
        <v>16609188</v>
      </c>
      <c r="EF36">
        <v>6</v>
      </c>
      <c r="EG36" t="s">
        <v>39</v>
      </c>
      <c r="EH36">
        <v>0</v>
      </c>
      <c r="EI36" t="s">
        <v>6</v>
      </c>
      <c r="EJ36">
        <v>1</v>
      </c>
      <c r="EK36">
        <v>63001</v>
      </c>
      <c r="EL36" t="s">
        <v>67</v>
      </c>
      <c r="EM36" t="s">
        <v>68</v>
      </c>
      <c r="EO36" t="s">
        <v>6</v>
      </c>
      <c r="EQ36">
        <v>131072</v>
      </c>
      <c r="ER36">
        <v>654</v>
      </c>
      <c r="ES36">
        <v>0</v>
      </c>
      <c r="ET36">
        <v>69.260000000000005</v>
      </c>
      <c r="EU36">
        <v>4.7300000000000004</v>
      </c>
      <c r="EV36">
        <v>584.74</v>
      </c>
      <c r="EW36">
        <v>74.3</v>
      </c>
      <c r="EX36">
        <v>0.35</v>
      </c>
      <c r="EY36">
        <v>0</v>
      </c>
      <c r="FQ36">
        <v>0</v>
      </c>
      <c r="FR36">
        <f t="shared" si="46"/>
        <v>0</v>
      </c>
      <c r="FS36">
        <v>0</v>
      </c>
      <c r="FX36">
        <v>77</v>
      </c>
      <c r="FY36">
        <v>50</v>
      </c>
      <c r="GA36" t="s">
        <v>6</v>
      </c>
      <c r="GD36">
        <v>0</v>
      </c>
      <c r="GF36">
        <v>-1765919460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7"/>
        <v>0</v>
      </c>
      <c r="GM36">
        <f t="shared" si="48"/>
        <v>7873.58</v>
      </c>
      <c r="GN36">
        <f t="shared" si="49"/>
        <v>7873.58</v>
      </c>
      <c r="GO36">
        <f t="shared" si="50"/>
        <v>0</v>
      </c>
      <c r="GP36">
        <f t="shared" si="51"/>
        <v>0</v>
      </c>
      <c r="GR36">
        <v>0</v>
      </c>
      <c r="GS36">
        <v>3</v>
      </c>
      <c r="GT36">
        <v>0</v>
      </c>
      <c r="GU36" t="s">
        <v>6</v>
      </c>
      <c r="GV36">
        <f t="shared" si="52"/>
        <v>0</v>
      </c>
      <c r="GW36">
        <v>1</v>
      </c>
      <c r="GX36">
        <f t="shared" si="53"/>
        <v>0</v>
      </c>
      <c r="HA36">
        <v>0</v>
      </c>
      <c r="HB36">
        <v>0</v>
      </c>
      <c r="HC36">
        <f t="shared" si="54"/>
        <v>0</v>
      </c>
      <c r="IK36">
        <v>0</v>
      </c>
    </row>
    <row r="37" spans="1:245" x14ac:dyDescent="0.2">
      <c r="A37">
        <v>17</v>
      </c>
      <c r="B37">
        <v>1</v>
      </c>
      <c r="C37">
        <f>ROW(SmtRes!A30)</f>
        <v>30</v>
      </c>
      <c r="D37">
        <f>ROW(EtalonRes!A38)</f>
        <v>38</v>
      </c>
      <c r="E37" t="s">
        <v>69</v>
      </c>
      <c r="F37" t="s">
        <v>70</v>
      </c>
      <c r="G37" t="s">
        <v>71</v>
      </c>
      <c r="H37" t="s">
        <v>18</v>
      </c>
      <c r="I37">
        <f>ROUND(374.4/100,9)</f>
        <v>3.7440000000000002</v>
      </c>
      <c r="J37">
        <v>0</v>
      </c>
      <c r="O37">
        <f t="shared" si="21"/>
        <v>2165.48</v>
      </c>
      <c r="P37">
        <f t="shared" si="22"/>
        <v>0</v>
      </c>
      <c r="Q37">
        <f t="shared" si="23"/>
        <v>0</v>
      </c>
      <c r="R37">
        <f t="shared" si="24"/>
        <v>0</v>
      </c>
      <c r="S37">
        <f t="shared" si="25"/>
        <v>2165.48</v>
      </c>
      <c r="T37">
        <f t="shared" si="26"/>
        <v>0</v>
      </c>
      <c r="U37">
        <f t="shared" si="27"/>
        <v>38.937600000000003</v>
      </c>
      <c r="V37">
        <f t="shared" si="28"/>
        <v>0</v>
      </c>
      <c r="W37">
        <f t="shared" si="29"/>
        <v>0</v>
      </c>
      <c r="X37">
        <f t="shared" si="30"/>
        <v>1667.42</v>
      </c>
      <c r="Y37">
        <f t="shared" si="31"/>
        <v>1082.74</v>
      </c>
      <c r="AA37">
        <v>16630606</v>
      </c>
      <c r="AB37">
        <f t="shared" si="32"/>
        <v>81.12</v>
      </c>
      <c r="AC37">
        <f t="shared" si="55"/>
        <v>0</v>
      </c>
      <c r="AD37">
        <f t="shared" si="56"/>
        <v>0</v>
      </c>
      <c r="AE37">
        <f t="shared" si="57"/>
        <v>0</v>
      </c>
      <c r="AF37">
        <f t="shared" si="58"/>
        <v>81.12</v>
      </c>
      <c r="AG37">
        <f t="shared" si="33"/>
        <v>0</v>
      </c>
      <c r="AH37">
        <f t="shared" si="59"/>
        <v>10.4</v>
      </c>
      <c r="AI37">
        <f t="shared" si="60"/>
        <v>0</v>
      </c>
      <c r="AJ37">
        <f t="shared" si="34"/>
        <v>0</v>
      </c>
      <c r="AK37">
        <v>81.12</v>
      </c>
      <c r="AL37">
        <v>0</v>
      </c>
      <c r="AM37">
        <v>0</v>
      </c>
      <c r="AN37">
        <v>0</v>
      </c>
      <c r="AO37">
        <v>81.12</v>
      </c>
      <c r="AP37">
        <v>0</v>
      </c>
      <c r="AQ37">
        <v>10.4</v>
      </c>
      <c r="AR37">
        <v>0</v>
      </c>
      <c r="AS37">
        <v>0</v>
      </c>
      <c r="AT37">
        <v>77</v>
      </c>
      <c r="AU37">
        <v>50</v>
      </c>
      <c r="AV37">
        <v>1</v>
      </c>
      <c r="AW37">
        <v>1</v>
      </c>
      <c r="AZ37">
        <v>7.13</v>
      </c>
      <c r="BA37">
        <v>7.13</v>
      </c>
      <c r="BB37">
        <v>7.13</v>
      </c>
      <c r="BC37">
        <v>7.13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72</v>
      </c>
      <c r="BM37">
        <v>63001</v>
      </c>
      <c r="BN37">
        <v>0</v>
      </c>
      <c r="BO37" t="s">
        <v>6</v>
      </c>
      <c r="BP37">
        <v>0</v>
      </c>
      <c r="BQ37">
        <v>6</v>
      </c>
      <c r="BR37">
        <v>0</v>
      </c>
      <c r="BS37">
        <v>7.13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77</v>
      </c>
      <c r="CA37">
        <v>50</v>
      </c>
      <c r="CE37">
        <v>0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35"/>
        <v>2165.48</v>
      </c>
      <c r="CQ37">
        <f t="shared" si="36"/>
        <v>0</v>
      </c>
      <c r="CR37">
        <f t="shared" si="37"/>
        <v>0</v>
      </c>
      <c r="CS37">
        <f t="shared" si="38"/>
        <v>0</v>
      </c>
      <c r="CT37">
        <f t="shared" si="39"/>
        <v>578.38560000000007</v>
      </c>
      <c r="CU37">
        <f t="shared" si="40"/>
        <v>0</v>
      </c>
      <c r="CV37">
        <f t="shared" si="41"/>
        <v>10.4</v>
      </c>
      <c r="CW37">
        <f t="shared" si="42"/>
        <v>0</v>
      </c>
      <c r="CX37">
        <f t="shared" si="43"/>
        <v>0</v>
      </c>
      <c r="CY37">
        <f t="shared" si="44"/>
        <v>1667.4195999999999</v>
      </c>
      <c r="CZ37">
        <f t="shared" si="45"/>
        <v>1082.74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18</v>
      </c>
      <c r="DW37" t="s">
        <v>18</v>
      </c>
      <c r="DX37">
        <v>100</v>
      </c>
      <c r="EE37">
        <v>16609188</v>
      </c>
      <c r="EF37">
        <v>6</v>
      </c>
      <c r="EG37" t="s">
        <v>39</v>
      </c>
      <c r="EH37">
        <v>0</v>
      </c>
      <c r="EI37" t="s">
        <v>6</v>
      </c>
      <c r="EJ37">
        <v>1</v>
      </c>
      <c r="EK37">
        <v>63001</v>
      </c>
      <c r="EL37" t="s">
        <v>67</v>
      </c>
      <c r="EM37" t="s">
        <v>68</v>
      </c>
      <c r="EO37" t="s">
        <v>6</v>
      </c>
      <c r="EQ37">
        <v>0</v>
      </c>
      <c r="ER37">
        <v>81.12</v>
      </c>
      <c r="ES37">
        <v>0</v>
      </c>
      <c r="ET37">
        <v>0</v>
      </c>
      <c r="EU37">
        <v>0</v>
      </c>
      <c r="EV37">
        <v>81.12</v>
      </c>
      <c r="EW37">
        <v>10.4</v>
      </c>
      <c r="EX37">
        <v>0</v>
      </c>
      <c r="EY37">
        <v>0</v>
      </c>
      <c r="FQ37">
        <v>0</v>
      </c>
      <c r="FR37">
        <f t="shared" si="46"/>
        <v>0</v>
      </c>
      <c r="FS37">
        <v>0</v>
      </c>
      <c r="FX37">
        <v>77</v>
      </c>
      <c r="FY37">
        <v>50</v>
      </c>
      <c r="GA37" t="s">
        <v>6</v>
      </c>
      <c r="GD37">
        <v>0</v>
      </c>
      <c r="GF37">
        <v>857715586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7"/>
        <v>0</v>
      </c>
      <c r="GM37">
        <f t="shared" si="48"/>
        <v>4915.6400000000003</v>
      </c>
      <c r="GN37">
        <f t="shared" si="49"/>
        <v>4915.6400000000003</v>
      </c>
      <c r="GO37">
        <f t="shared" si="50"/>
        <v>0</v>
      </c>
      <c r="GP37">
        <f t="shared" si="51"/>
        <v>0</v>
      </c>
      <c r="GR37">
        <v>0</v>
      </c>
      <c r="GS37">
        <v>3</v>
      </c>
      <c r="GT37">
        <v>0</v>
      </c>
      <c r="GU37" t="s">
        <v>6</v>
      </c>
      <c r="GV37">
        <f t="shared" si="52"/>
        <v>0</v>
      </c>
      <c r="GW37">
        <v>1</v>
      </c>
      <c r="GX37">
        <f t="shared" si="53"/>
        <v>0</v>
      </c>
      <c r="HA37">
        <v>0</v>
      </c>
      <c r="HB37">
        <v>0</v>
      </c>
      <c r="HC37">
        <f t="shared" si="54"/>
        <v>0</v>
      </c>
      <c r="IK37">
        <v>0</v>
      </c>
    </row>
    <row r="38" spans="1:245" x14ac:dyDescent="0.2">
      <c r="A38">
        <v>17</v>
      </c>
      <c r="B38">
        <v>1</v>
      </c>
      <c r="C38">
        <f>ROW(SmtRes!A31)</f>
        <v>31</v>
      </c>
      <c r="D38">
        <f>ROW(EtalonRes!A39)</f>
        <v>39</v>
      </c>
      <c r="E38" t="s">
        <v>73</v>
      </c>
      <c r="F38" t="s">
        <v>74</v>
      </c>
      <c r="G38" t="s">
        <v>75</v>
      </c>
      <c r="H38" t="s">
        <v>18</v>
      </c>
      <c r="I38">
        <f>ROUND(138.39/100,9)</f>
        <v>1.3838999999999999</v>
      </c>
      <c r="J38">
        <v>0</v>
      </c>
      <c r="O38">
        <f t="shared" si="21"/>
        <v>1756.36</v>
      </c>
      <c r="P38">
        <f t="shared" si="22"/>
        <v>0</v>
      </c>
      <c r="Q38">
        <f t="shared" si="23"/>
        <v>0</v>
      </c>
      <c r="R38">
        <f t="shared" si="24"/>
        <v>0</v>
      </c>
      <c r="S38">
        <f t="shared" si="25"/>
        <v>1756.36</v>
      </c>
      <c r="T38">
        <f t="shared" si="26"/>
        <v>0</v>
      </c>
      <c r="U38">
        <f t="shared" si="27"/>
        <v>31.580597999999998</v>
      </c>
      <c r="V38">
        <f t="shared" si="28"/>
        <v>0</v>
      </c>
      <c r="W38">
        <f t="shared" si="29"/>
        <v>0</v>
      </c>
      <c r="X38">
        <f t="shared" si="30"/>
        <v>1738.8</v>
      </c>
      <c r="Y38">
        <f t="shared" si="31"/>
        <v>1053.82</v>
      </c>
      <c r="AA38">
        <v>16630606</v>
      </c>
      <c r="AB38">
        <f t="shared" si="32"/>
        <v>178</v>
      </c>
      <c r="AC38">
        <f t="shared" si="55"/>
        <v>0</v>
      </c>
      <c r="AD38">
        <f t="shared" si="56"/>
        <v>0</v>
      </c>
      <c r="AE38">
        <f t="shared" si="57"/>
        <v>0</v>
      </c>
      <c r="AF38">
        <f t="shared" si="58"/>
        <v>178</v>
      </c>
      <c r="AG38">
        <f t="shared" si="33"/>
        <v>0</v>
      </c>
      <c r="AH38">
        <f t="shared" si="59"/>
        <v>22.82</v>
      </c>
      <c r="AI38">
        <f t="shared" si="60"/>
        <v>0</v>
      </c>
      <c r="AJ38">
        <f t="shared" si="34"/>
        <v>0</v>
      </c>
      <c r="AK38">
        <v>178</v>
      </c>
      <c r="AL38">
        <v>0</v>
      </c>
      <c r="AM38">
        <v>0</v>
      </c>
      <c r="AN38">
        <v>0</v>
      </c>
      <c r="AO38">
        <v>178</v>
      </c>
      <c r="AP38">
        <v>0</v>
      </c>
      <c r="AQ38">
        <v>22.82</v>
      </c>
      <c r="AR38">
        <v>0</v>
      </c>
      <c r="AS38">
        <v>0</v>
      </c>
      <c r="AT38">
        <v>99</v>
      </c>
      <c r="AU38">
        <v>60</v>
      </c>
      <c r="AV38">
        <v>1</v>
      </c>
      <c r="AW38">
        <v>1</v>
      </c>
      <c r="AZ38">
        <v>7.13</v>
      </c>
      <c r="BA38">
        <v>7.13</v>
      </c>
      <c r="BB38">
        <v>7.13</v>
      </c>
      <c r="BC38">
        <v>7.13</v>
      </c>
      <c r="BD38" t="s">
        <v>6</v>
      </c>
      <c r="BE38" t="s">
        <v>6</v>
      </c>
      <c r="BF38" t="s">
        <v>6</v>
      </c>
      <c r="BG38" t="s">
        <v>6</v>
      </c>
      <c r="BH38">
        <v>0</v>
      </c>
      <c r="BI38">
        <v>1</v>
      </c>
      <c r="BJ38" t="s">
        <v>76</v>
      </c>
      <c r="BM38">
        <v>46001</v>
      </c>
      <c r="BN38">
        <v>0</v>
      </c>
      <c r="BO38" t="s">
        <v>6</v>
      </c>
      <c r="BP38">
        <v>0</v>
      </c>
      <c r="BQ38">
        <v>2</v>
      </c>
      <c r="BR38">
        <v>0</v>
      </c>
      <c r="BS38">
        <v>7.13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6</v>
      </c>
      <c r="BZ38">
        <v>110</v>
      </c>
      <c r="CA38">
        <v>70</v>
      </c>
      <c r="CE38">
        <v>0</v>
      </c>
      <c r="CF38">
        <v>0</v>
      </c>
      <c r="CG38">
        <v>0</v>
      </c>
      <c r="CM38">
        <v>0</v>
      </c>
      <c r="CN38" t="s">
        <v>6</v>
      </c>
      <c r="CO38">
        <v>0</v>
      </c>
      <c r="CP38">
        <f t="shared" si="35"/>
        <v>1756.36</v>
      </c>
      <c r="CQ38">
        <f t="shared" si="36"/>
        <v>0</v>
      </c>
      <c r="CR38">
        <f t="shared" si="37"/>
        <v>0</v>
      </c>
      <c r="CS38">
        <f t="shared" si="38"/>
        <v>0</v>
      </c>
      <c r="CT38">
        <f t="shared" si="39"/>
        <v>1269.1399999999999</v>
      </c>
      <c r="CU38">
        <f t="shared" si="40"/>
        <v>0</v>
      </c>
      <c r="CV38">
        <f t="shared" si="41"/>
        <v>22.82</v>
      </c>
      <c r="CW38">
        <f t="shared" si="42"/>
        <v>0</v>
      </c>
      <c r="CX38">
        <f t="shared" si="43"/>
        <v>0</v>
      </c>
      <c r="CY38">
        <f t="shared" si="44"/>
        <v>1738.7963999999999</v>
      </c>
      <c r="CZ38">
        <f t="shared" si="45"/>
        <v>1053.8159999999998</v>
      </c>
      <c r="DC38" t="s">
        <v>6</v>
      </c>
      <c r="DD38" t="s">
        <v>6</v>
      </c>
      <c r="DE38" t="s">
        <v>6</v>
      </c>
      <c r="DF38" t="s">
        <v>6</v>
      </c>
      <c r="DG38" t="s">
        <v>6</v>
      </c>
      <c r="DH38" t="s">
        <v>6</v>
      </c>
      <c r="DI38" t="s">
        <v>6</v>
      </c>
      <c r="DJ38" t="s">
        <v>6</v>
      </c>
      <c r="DK38" t="s">
        <v>6</v>
      </c>
      <c r="DL38" t="s">
        <v>6</v>
      </c>
      <c r="DM38" t="s">
        <v>6</v>
      </c>
      <c r="DN38">
        <v>0</v>
      </c>
      <c r="DO38">
        <v>0</v>
      </c>
      <c r="DP38">
        <v>1</v>
      </c>
      <c r="DQ38">
        <v>1</v>
      </c>
      <c r="DU38">
        <v>1005</v>
      </c>
      <c r="DV38" t="s">
        <v>18</v>
      </c>
      <c r="DW38" t="s">
        <v>18</v>
      </c>
      <c r="DX38">
        <v>100</v>
      </c>
      <c r="EE38">
        <v>16609168</v>
      </c>
      <c r="EF38">
        <v>2</v>
      </c>
      <c r="EG38" t="s">
        <v>14</v>
      </c>
      <c r="EH38">
        <v>0</v>
      </c>
      <c r="EI38" t="s">
        <v>6</v>
      </c>
      <c r="EJ38">
        <v>1</v>
      </c>
      <c r="EK38">
        <v>46001</v>
      </c>
      <c r="EL38" t="s">
        <v>20</v>
      </c>
      <c r="EM38" t="s">
        <v>21</v>
      </c>
      <c r="EO38" t="s">
        <v>6</v>
      </c>
      <c r="EQ38">
        <v>131072</v>
      </c>
      <c r="ER38">
        <v>178</v>
      </c>
      <c r="ES38">
        <v>0</v>
      </c>
      <c r="ET38">
        <v>0</v>
      </c>
      <c r="EU38">
        <v>0</v>
      </c>
      <c r="EV38">
        <v>178</v>
      </c>
      <c r="EW38">
        <v>22.82</v>
      </c>
      <c r="EX38">
        <v>0</v>
      </c>
      <c r="EY38">
        <v>0</v>
      </c>
      <c r="FQ38">
        <v>0</v>
      </c>
      <c r="FR38">
        <f t="shared" si="46"/>
        <v>0</v>
      </c>
      <c r="FS38">
        <v>0</v>
      </c>
      <c r="FT38" t="s">
        <v>22</v>
      </c>
      <c r="FU38" t="s">
        <v>23</v>
      </c>
      <c r="FX38">
        <v>99</v>
      </c>
      <c r="FY38">
        <v>59.5</v>
      </c>
      <c r="GA38" t="s">
        <v>6</v>
      </c>
      <c r="GD38">
        <v>0</v>
      </c>
      <c r="GF38">
        <v>232532105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7"/>
        <v>0</v>
      </c>
      <c r="GM38">
        <f t="shared" si="48"/>
        <v>4548.9799999999996</v>
      </c>
      <c r="GN38">
        <f t="shared" si="49"/>
        <v>4548.9799999999996</v>
      </c>
      <c r="GO38">
        <f t="shared" si="50"/>
        <v>0</v>
      </c>
      <c r="GP38">
        <f t="shared" si="51"/>
        <v>0</v>
      </c>
      <c r="GR38">
        <v>0</v>
      </c>
      <c r="GS38">
        <v>3</v>
      </c>
      <c r="GT38">
        <v>0</v>
      </c>
      <c r="GU38" t="s">
        <v>6</v>
      </c>
      <c r="GV38">
        <f t="shared" si="52"/>
        <v>0</v>
      </c>
      <c r="GW38">
        <v>1</v>
      </c>
      <c r="GX38">
        <f t="shared" si="53"/>
        <v>0</v>
      </c>
      <c r="HA38">
        <v>0</v>
      </c>
      <c r="HB38">
        <v>0</v>
      </c>
      <c r="HC38">
        <f t="shared" si="54"/>
        <v>0</v>
      </c>
      <c r="IK38">
        <v>0</v>
      </c>
    </row>
    <row r="39" spans="1:245" x14ac:dyDescent="0.2">
      <c r="A39">
        <v>17</v>
      </c>
      <c r="B39">
        <v>1</v>
      </c>
      <c r="C39">
        <f>ROW(SmtRes!A42)</f>
        <v>42</v>
      </c>
      <c r="D39">
        <f>ROW(EtalonRes!A50)</f>
        <v>50</v>
      </c>
      <c r="E39" t="s">
        <v>77</v>
      </c>
      <c r="F39" t="s">
        <v>78</v>
      </c>
      <c r="G39" t="s">
        <v>79</v>
      </c>
      <c r="H39" t="s">
        <v>18</v>
      </c>
      <c r="I39">
        <f>ROUND(6.5/100,9)</f>
        <v>6.5000000000000002E-2</v>
      </c>
      <c r="J39">
        <v>0</v>
      </c>
      <c r="O39">
        <f t="shared" si="21"/>
        <v>4437.3</v>
      </c>
      <c r="P39">
        <f t="shared" si="22"/>
        <v>3710.14</v>
      </c>
      <c r="Q39">
        <f t="shared" si="23"/>
        <v>145.31</v>
      </c>
      <c r="R39">
        <f t="shared" si="24"/>
        <v>28.06</v>
      </c>
      <c r="S39">
        <f t="shared" si="25"/>
        <v>581.85</v>
      </c>
      <c r="T39">
        <f t="shared" si="26"/>
        <v>0</v>
      </c>
      <c r="U39">
        <f t="shared" si="27"/>
        <v>9.337022499999998</v>
      </c>
      <c r="V39">
        <f t="shared" si="28"/>
        <v>0.33231250000000001</v>
      </c>
      <c r="W39">
        <f t="shared" si="29"/>
        <v>0</v>
      </c>
      <c r="X39">
        <f t="shared" si="30"/>
        <v>646.5</v>
      </c>
      <c r="Y39">
        <f t="shared" si="31"/>
        <v>329.35</v>
      </c>
      <c r="AA39">
        <v>16630606</v>
      </c>
      <c r="AB39">
        <f t="shared" si="32"/>
        <v>9574.5</v>
      </c>
      <c r="AC39">
        <f t="shared" si="55"/>
        <v>8005.48</v>
      </c>
      <c r="AD39">
        <f>ROUND(((((ET39*1.25))-((EU39*1.25)))+AE39),2)</f>
        <v>313.55</v>
      </c>
      <c r="AE39">
        <f>ROUND(((EU39*1.25)),2)</f>
        <v>60.54</v>
      </c>
      <c r="AF39">
        <f>ROUND(((EV39*1.15)),2)</f>
        <v>1255.47</v>
      </c>
      <c r="AG39">
        <f t="shared" si="33"/>
        <v>0</v>
      </c>
      <c r="AH39">
        <f>((EW39*1.15))</f>
        <v>143.64649999999997</v>
      </c>
      <c r="AI39">
        <f>((EX39*1.25))</f>
        <v>5.1124999999999998</v>
      </c>
      <c r="AJ39">
        <f t="shared" si="34"/>
        <v>0</v>
      </c>
      <c r="AK39">
        <v>9348.0300000000007</v>
      </c>
      <c r="AL39">
        <v>8005.48</v>
      </c>
      <c r="AM39">
        <v>250.84</v>
      </c>
      <c r="AN39">
        <v>48.43</v>
      </c>
      <c r="AO39">
        <v>1091.71</v>
      </c>
      <c r="AP39">
        <v>0</v>
      </c>
      <c r="AQ39">
        <v>124.91</v>
      </c>
      <c r="AR39">
        <v>4.09</v>
      </c>
      <c r="AS39">
        <v>0</v>
      </c>
      <c r="AT39">
        <v>106</v>
      </c>
      <c r="AU39">
        <v>54</v>
      </c>
      <c r="AV39">
        <v>1</v>
      </c>
      <c r="AW39">
        <v>1</v>
      </c>
      <c r="AZ39">
        <v>7.13</v>
      </c>
      <c r="BA39">
        <v>7.13</v>
      </c>
      <c r="BB39">
        <v>7.13</v>
      </c>
      <c r="BC39">
        <v>7.13</v>
      </c>
      <c r="BD39" t="s">
        <v>6</v>
      </c>
      <c r="BE39" t="s">
        <v>6</v>
      </c>
      <c r="BF39" t="s">
        <v>6</v>
      </c>
      <c r="BG39" t="s">
        <v>6</v>
      </c>
      <c r="BH39">
        <v>0</v>
      </c>
      <c r="BI39">
        <v>1</v>
      </c>
      <c r="BJ39" t="s">
        <v>80</v>
      </c>
      <c r="BM39">
        <v>10001</v>
      </c>
      <c r="BN39">
        <v>0</v>
      </c>
      <c r="BO39" t="s">
        <v>6</v>
      </c>
      <c r="BP39">
        <v>0</v>
      </c>
      <c r="BQ39">
        <v>2</v>
      </c>
      <c r="BR39">
        <v>0</v>
      </c>
      <c r="BS39">
        <v>7.13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118</v>
      </c>
      <c r="CA39">
        <v>63</v>
      </c>
      <c r="CE39">
        <v>0</v>
      </c>
      <c r="CF39">
        <v>0</v>
      </c>
      <c r="CG39">
        <v>0</v>
      </c>
      <c r="CM39">
        <v>0</v>
      </c>
      <c r="CN39" t="s">
        <v>1758</v>
      </c>
      <c r="CO39">
        <v>0</v>
      </c>
      <c r="CP39">
        <f t="shared" si="35"/>
        <v>4437.3</v>
      </c>
      <c r="CQ39">
        <f t="shared" si="36"/>
        <v>57079.072399999997</v>
      </c>
      <c r="CR39">
        <f t="shared" si="37"/>
        <v>2235.6115</v>
      </c>
      <c r="CS39">
        <f t="shared" si="38"/>
        <v>431.65019999999998</v>
      </c>
      <c r="CT39">
        <f t="shared" si="39"/>
        <v>8951.5010999999995</v>
      </c>
      <c r="CU39">
        <f t="shared" si="40"/>
        <v>0</v>
      </c>
      <c r="CV39">
        <f t="shared" si="41"/>
        <v>143.64649999999997</v>
      </c>
      <c r="CW39">
        <f t="shared" si="42"/>
        <v>5.1124999999999998</v>
      </c>
      <c r="CX39">
        <f t="shared" si="43"/>
        <v>0</v>
      </c>
      <c r="CY39">
        <f t="shared" si="44"/>
        <v>646.50459999999998</v>
      </c>
      <c r="CZ39">
        <f t="shared" si="45"/>
        <v>329.35140000000001</v>
      </c>
      <c r="DC39" t="s">
        <v>6</v>
      </c>
      <c r="DD39" t="s">
        <v>6</v>
      </c>
      <c r="DE39" t="s">
        <v>81</v>
      </c>
      <c r="DF39" t="s">
        <v>81</v>
      </c>
      <c r="DG39" t="s">
        <v>82</v>
      </c>
      <c r="DH39" t="s">
        <v>6</v>
      </c>
      <c r="DI39" t="s">
        <v>82</v>
      </c>
      <c r="DJ39" t="s">
        <v>81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1005</v>
      </c>
      <c r="DV39" t="s">
        <v>18</v>
      </c>
      <c r="DW39" t="s">
        <v>18</v>
      </c>
      <c r="DX39">
        <v>100</v>
      </c>
      <c r="EE39">
        <v>16609107</v>
      </c>
      <c r="EF39">
        <v>2</v>
      </c>
      <c r="EG39" t="s">
        <v>14</v>
      </c>
      <c r="EH39">
        <v>0</v>
      </c>
      <c r="EI39" t="s">
        <v>6</v>
      </c>
      <c r="EJ39">
        <v>1</v>
      </c>
      <c r="EK39">
        <v>10001</v>
      </c>
      <c r="EL39" t="s">
        <v>32</v>
      </c>
      <c r="EM39" t="s">
        <v>33</v>
      </c>
      <c r="EO39" t="s">
        <v>83</v>
      </c>
      <c r="EQ39">
        <v>131072</v>
      </c>
      <c r="ER39">
        <v>9348.0300000000007</v>
      </c>
      <c r="ES39">
        <v>8005.48</v>
      </c>
      <c r="ET39">
        <v>250.84</v>
      </c>
      <c r="EU39">
        <v>48.43</v>
      </c>
      <c r="EV39">
        <v>1091.71</v>
      </c>
      <c r="EW39">
        <v>124.91</v>
      </c>
      <c r="EX39">
        <v>4.09</v>
      </c>
      <c r="EY39">
        <v>0</v>
      </c>
      <c r="FQ39">
        <v>0</v>
      </c>
      <c r="FR39">
        <f t="shared" si="46"/>
        <v>0</v>
      </c>
      <c r="FS39">
        <v>0</v>
      </c>
      <c r="FT39" t="s">
        <v>22</v>
      </c>
      <c r="FU39" t="s">
        <v>23</v>
      </c>
      <c r="FX39">
        <v>106.2</v>
      </c>
      <c r="FY39">
        <v>53.55</v>
      </c>
      <c r="GA39" t="s">
        <v>6</v>
      </c>
      <c r="GD39">
        <v>0</v>
      </c>
      <c r="GF39">
        <v>617100110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7"/>
        <v>0</v>
      </c>
      <c r="GM39">
        <f t="shared" si="48"/>
        <v>5413.15</v>
      </c>
      <c r="GN39">
        <f t="shared" si="49"/>
        <v>5413.15</v>
      </c>
      <c r="GO39">
        <f t="shared" si="50"/>
        <v>0</v>
      </c>
      <c r="GP39">
        <f t="shared" si="51"/>
        <v>0</v>
      </c>
      <c r="GR39">
        <v>0</v>
      </c>
      <c r="GS39">
        <v>3</v>
      </c>
      <c r="GT39">
        <v>0</v>
      </c>
      <c r="GU39" t="s">
        <v>6</v>
      </c>
      <c r="GV39">
        <f t="shared" si="52"/>
        <v>0</v>
      </c>
      <c r="GW39">
        <v>1</v>
      </c>
      <c r="GX39">
        <f t="shared" si="53"/>
        <v>0</v>
      </c>
      <c r="HA39">
        <v>0</v>
      </c>
      <c r="HB39">
        <v>0</v>
      </c>
      <c r="HC39">
        <f t="shared" si="54"/>
        <v>0</v>
      </c>
      <c r="IK39">
        <v>0</v>
      </c>
    </row>
    <row r="40" spans="1:245" x14ac:dyDescent="0.2">
      <c r="A40">
        <v>18</v>
      </c>
      <c r="B40">
        <v>1</v>
      </c>
      <c r="C40">
        <v>40</v>
      </c>
      <c r="E40" t="s">
        <v>84</v>
      </c>
      <c r="F40" t="s">
        <v>85</v>
      </c>
      <c r="G40" t="s">
        <v>86</v>
      </c>
      <c r="H40" t="s">
        <v>87</v>
      </c>
      <c r="I40">
        <f>I39*J40</f>
        <v>6.5</v>
      </c>
      <c r="J40">
        <v>100</v>
      </c>
      <c r="O40">
        <f t="shared" si="21"/>
        <v>66196.88</v>
      </c>
      <c r="P40">
        <f t="shared" si="22"/>
        <v>66196.88</v>
      </c>
      <c r="Q40">
        <f t="shared" si="23"/>
        <v>0</v>
      </c>
      <c r="R40">
        <f t="shared" si="24"/>
        <v>0</v>
      </c>
      <c r="S40">
        <f t="shared" si="25"/>
        <v>0</v>
      </c>
      <c r="T40">
        <f t="shared" si="26"/>
        <v>0</v>
      </c>
      <c r="U40">
        <f t="shared" si="27"/>
        <v>0</v>
      </c>
      <c r="V40">
        <f t="shared" si="28"/>
        <v>0</v>
      </c>
      <c r="W40">
        <f t="shared" si="29"/>
        <v>0</v>
      </c>
      <c r="X40">
        <f t="shared" si="30"/>
        <v>0</v>
      </c>
      <c r="Y40">
        <f t="shared" si="31"/>
        <v>0</v>
      </c>
      <c r="AA40">
        <v>16630606</v>
      </c>
      <c r="AB40">
        <f t="shared" si="32"/>
        <v>1428.35</v>
      </c>
      <c r="AC40">
        <f t="shared" si="55"/>
        <v>1428.35</v>
      </c>
      <c r="AD40">
        <f>ROUND((((ET40)-(EU40))+AE40),2)</f>
        <v>0</v>
      </c>
      <c r="AE40">
        <f t="shared" ref="AE40:AF43" si="61">ROUND((EU40),2)</f>
        <v>0</v>
      </c>
      <c r="AF40">
        <f t="shared" si="61"/>
        <v>0</v>
      </c>
      <c r="AG40">
        <f t="shared" si="33"/>
        <v>0</v>
      </c>
      <c r="AH40">
        <f t="shared" ref="AH40:AI43" si="62">(EW40)</f>
        <v>0</v>
      </c>
      <c r="AI40">
        <f t="shared" si="62"/>
        <v>0</v>
      </c>
      <c r="AJ40">
        <f t="shared" si="34"/>
        <v>0</v>
      </c>
      <c r="AK40">
        <v>1428.35</v>
      </c>
      <c r="AL40">
        <v>1428.35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106</v>
      </c>
      <c r="AU40">
        <v>54</v>
      </c>
      <c r="AV40">
        <v>1</v>
      </c>
      <c r="AW40">
        <v>1</v>
      </c>
      <c r="AZ40">
        <v>7.13</v>
      </c>
      <c r="BA40">
        <v>1</v>
      </c>
      <c r="BB40">
        <v>1</v>
      </c>
      <c r="BC40">
        <v>7.13</v>
      </c>
      <c r="BD40" t="s">
        <v>6</v>
      </c>
      <c r="BE40" t="s">
        <v>6</v>
      </c>
      <c r="BF40" t="s">
        <v>6</v>
      </c>
      <c r="BG40" t="s">
        <v>6</v>
      </c>
      <c r="BH40">
        <v>3</v>
      </c>
      <c r="BI40">
        <v>1</v>
      </c>
      <c r="BJ40" t="s">
        <v>88</v>
      </c>
      <c r="BM40">
        <v>10001</v>
      </c>
      <c r="BN40">
        <v>0</v>
      </c>
      <c r="BO40" t="s">
        <v>6</v>
      </c>
      <c r="BP40">
        <v>0</v>
      </c>
      <c r="BQ40">
        <v>2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6</v>
      </c>
      <c r="BZ40">
        <v>118</v>
      </c>
      <c r="CA40">
        <v>63</v>
      </c>
      <c r="CE40">
        <v>0</v>
      </c>
      <c r="CF40">
        <v>0</v>
      </c>
      <c r="CG40">
        <v>0</v>
      </c>
      <c r="CM40">
        <v>0</v>
      </c>
      <c r="CN40" t="s">
        <v>6</v>
      </c>
      <c r="CO40">
        <v>0</v>
      </c>
      <c r="CP40">
        <f t="shared" si="35"/>
        <v>66196.88</v>
      </c>
      <c r="CQ40">
        <f t="shared" si="36"/>
        <v>10184.135499999999</v>
      </c>
      <c r="CR40">
        <f t="shared" si="37"/>
        <v>0</v>
      </c>
      <c r="CS40">
        <f t="shared" si="38"/>
        <v>0</v>
      </c>
      <c r="CT40">
        <f t="shared" si="39"/>
        <v>0</v>
      </c>
      <c r="CU40">
        <f t="shared" si="40"/>
        <v>0</v>
      </c>
      <c r="CV40">
        <f t="shared" si="41"/>
        <v>0</v>
      </c>
      <c r="CW40">
        <f t="shared" si="42"/>
        <v>0</v>
      </c>
      <c r="CX40">
        <f t="shared" si="43"/>
        <v>0</v>
      </c>
      <c r="CY40">
        <f t="shared" si="44"/>
        <v>0</v>
      </c>
      <c r="CZ40">
        <f t="shared" si="45"/>
        <v>0</v>
      </c>
      <c r="DC40" t="s">
        <v>6</v>
      </c>
      <c r="DD40" t="s">
        <v>6</v>
      </c>
      <c r="DE40" t="s">
        <v>6</v>
      </c>
      <c r="DF40" t="s">
        <v>6</v>
      </c>
      <c r="DG40" t="s">
        <v>6</v>
      </c>
      <c r="DH40" t="s">
        <v>6</v>
      </c>
      <c r="DI40" t="s">
        <v>6</v>
      </c>
      <c r="DJ40" t="s">
        <v>6</v>
      </c>
      <c r="DK40" t="s">
        <v>6</v>
      </c>
      <c r="DL40" t="s">
        <v>6</v>
      </c>
      <c r="DM40" t="s">
        <v>6</v>
      </c>
      <c r="DN40">
        <v>0</v>
      </c>
      <c r="DO40">
        <v>0</v>
      </c>
      <c r="DP40">
        <v>1</v>
      </c>
      <c r="DQ40">
        <v>1</v>
      </c>
      <c r="DU40">
        <v>1005</v>
      </c>
      <c r="DV40" t="s">
        <v>87</v>
      </c>
      <c r="DW40" t="s">
        <v>87</v>
      </c>
      <c r="DX40">
        <v>1</v>
      </c>
      <c r="EE40">
        <v>16609107</v>
      </c>
      <c r="EF40">
        <v>2</v>
      </c>
      <c r="EG40" t="s">
        <v>14</v>
      </c>
      <c r="EH40">
        <v>0</v>
      </c>
      <c r="EI40" t="s">
        <v>6</v>
      </c>
      <c r="EJ40">
        <v>1</v>
      </c>
      <c r="EK40">
        <v>10001</v>
      </c>
      <c r="EL40" t="s">
        <v>32</v>
      </c>
      <c r="EM40" t="s">
        <v>33</v>
      </c>
      <c r="EO40" t="s">
        <v>6</v>
      </c>
      <c r="EQ40">
        <v>0</v>
      </c>
      <c r="ER40">
        <v>1428.35</v>
      </c>
      <c r="ES40">
        <v>1428.35</v>
      </c>
      <c r="ET40">
        <v>0</v>
      </c>
      <c r="EU40">
        <v>0</v>
      </c>
      <c r="EV40">
        <v>0</v>
      </c>
      <c r="EW40">
        <v>0</v>
      </c>
      <c r="EX40">
        <v>0</v>
      </c>
      <c r="FQ40">
        <v>0</v>
      </c>
      <c r="FR40">
        <f t="shared" si="46"/>
        <v>0</v>
      </c>
      <c r="FS40">
        <v>0</v>
      </c>
      <c r="FT40" t="s">
        <v>22</v>
      </c>
      <c r="FU40" t="s">
        <v>23</v>
      </c>
      <c r="FX40">
        <v>106.2</v>
      </c>
      <c r="FY40">
        <v>53.55</v>
      </c>
      <c r="GA40" t="s">
        <v>6</v>
      </c>
      <c r="GD40">
        <v>0</v>
      </c>
      <c r="GF40">
        <v>-887076693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7"/>
        <v>0</v>
      </c>
      <c r="GM40">
        <f t="shared" si="48"/>
        <v>66196.88</v>
      </c>
      <c r="GN40">
        <f t="shared" si="49"/>
        <v>66196.88</v>
      </c>
      <c r="GO40">
        <f t="shared" si="50"/>
        <v>0</v>
      </c>
      <c r="GP40">
        <f t="shared" si="51"/>
        <v>0</v>
      </c>
      <c r="GR40">
        <v>0</v>
      </c>
      <c r="GS40">
        <v>3</v>
      </c>
      <c r="GT40">
        <v>0</v>
      </c>
      <c r="GU40" t="s">
        <v>6</v>
      </c>
      <c r="GV40">
        <f t="shared" si="52"/>
        <v>0</v>
      </c>
      <c r="GW40">
        <v>1</v>
      </c>
      <c r="GX40">
        <f t="shared" si="53"/>
        <v>0</v>
      </c>
      <c r="HA40">
        <v>0</v>
      </c>
      <c r="HB40">
        <v>0</v>
      </c>
      <c r="HC40">
        <f t="shared" si="54"/>
        <v>0</v>
      </c>
      <c r="IK40">
        <v>0</v>
      </c>
    </row>
    <row r="41" spans="1:245" x14ac:dyDescent="0.2">
      <c r="A41">
        <v>17</v>
      </c>
      <c r="B41">
        <v>1</v>
      </c>
      <c r="C41">
        <f>ROW(SmtRes!A51)</f>
        <v>51</v>
      </c>
      <c r="D41">
        <f>ROW(EtalonRes!A58)</f>
        <v>58</v>
      </c>
      <c r="E41" t="s">
        <v>89</v>
      </c>
      <c r="F41" t="s">
        <v>90</v>
      </c>
      <c r="G41" t="s">
        <v>91</v>
      </c>
      <c r="H41" t="s">
        <v>18</v>
      </c>
      <c r="I41">
        <f>ROUND(16.32/100,9)</f>
        <v>0.16320000000000001</v>
      </c>
      <c r="J41">
        <v>0</v>
      </c>
      <c r="O41">
        <f t="shared" si="21"/>
        <v>224.2</v>
      </c>
      <c r="P41">
        <f t="shared" si="22"/>
        <v>46.42</v>
      </c>
      <c r="Q41">
        <f t="shared" si="23"/>
        <v>3.26</v>
      </c>
      <c r="R41">
        <f t="shared" si="24"/>
        <v>0.54</v>
      </c>
      <c r="S41">
        <f t="shared" si="25"/>
        <v>174.52</v>
      </c>
      <c r="T41">
        <f t="shared" si="26"/>
        <v>0</v>
      </c>
      <c r="U41">
        <f t="shared" si="27"/>
        <v>2.8005120000000003</v>
      </c>
      <c r="V41">
        <f t="shared" si="28"/>
        <v>6.5280000000000008E-3</v>
      </c>
      <c r="W41">
        <f t="shared" si="29"/>
        <v>0</v>
      </c>
      <c r="X41">
        <f t="shared" si="30"/>
        <v>140.05000000000001</v>
      </c>
      <c r="Y41">
        <f t="shared" si="31"/>
        <v>87.53</v>
      </c>
      <c r="AA41">
        <v>16630606</v>
      </c>
      <c r="AB41">
        <f t="shared" si="32"/>
        <v>192.67</v>
      </c>
      <c r="AC41">
        <f t="shared" si="55"/>
        <v>39.89</v>
      </c>
      <c r="AD41">
        <f>ROUND((((ET41)-(EU41))+AE41),2)</f>
        <v>2.8</v>
      </c>
      <c r="AE41">
        <f t="shared" si="61"/>
        <v>0.46</v>
      </c>
      <c r="AF41">
        <f t="shared" si="61"/>
        <v>149.97999999999999</v>
      </c>
      <c r="AG41">
        <f t="shared" si="33"/>
        <v>0</v>
      </c>
      <c r="AH41">
        <f t="shared" si="62"/>
        <v>17.16</v>
      </c>
      <c r="AI41">
        <f t="shared" si="62"/>
        <v>0.04</v>
      </c>
      <c r="AJ41">
        <f t="shared" si="34"/>
        <v>0</v>
      </c>
      <c r="AK41">
        <v>192.67</v>
      </c>
      <c r="AL41">
        <v>39.89</v>
      </c>
      <c r="AM41">
        <v>2.8</v>
      </c>
      <c r="AN41">
        <v>0.46</v>
      </c>
      <c r="AO41">
        <v>149.97999999999999</v>
      </c>
      <c r="AP41">
        <v>0</v>
      </c>
      <c r="AQ41">
        <v>17.16</v>
      </c>
      <c r="AR41">
        <v>0.04</v>
      </c>
      <c r="AS41">
        <v>0</v>
      </c>
      <c r="AT41">
        <v>80</v>
      </c>
      <c r="AU41">
        <v>50</v>
      </c>
      <c r="AV41">
        <v>1</v>
      </c>
      <c r="AW41">
        <v>1</v>
      </c>
      <c r="AZ41">
        <v>7.13</v>
      </c>
      <c r="BA41">
        <v>7.13</v>
      </c>
      <c r="BB41">
        <v>7.13</v>
      </c>
      <c r="BC41">
        <v>7.13</v>
      </c>
      <c r="BD41" t="s">
        <v>6</v>
      </c>
      <c r="BE41" t="s">
        <v>6</v>
      </c>
      <c r="BF41" t="s">
        <v>6</v>
      </c>
      <c r="BG41" t="s">
        <v>6</v>
      </c>
      <c r="BH41">
        <v>0</v>
      </c>
      <c r="BI41">
        <v>1</v>
      </c>
      <c r="BJ41" t="s">
        <v>92</v>
      </c>
      <c r="BM41">
        <v>62001</v>
      </c>
      <c r="BN41">
        <v>0</v>
      </c>
      <c r="BO41" t="s">
        <v>6</v>
      </c>
      <c r="BP41">
        <v>0</v>
      </c>
      <c r="BQ41">
        <v>6</v>
      </c>
      <c r="BR41">
        <v>0</v>
      </c>
      <c r="BS41">
        <v>7.13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80</v>
      </c>
      <c r="CA41">
        <v>50</v>
      </c>
      <c r="CE41">
        <v>0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35"/>
        <v>224.20000000000002</v>
      </c>
      <c r="CQ41">
        <f t="shared" si="36"/>
        <v>284.41570000000002</v>
      </c>
      <c r="CR41">
        <f t="shared" si="37"/>
        <v>19.963999999999999</v>
      </c>
      <c r="CS41">
        <f t="shared" si="38"/>
        <v>3.2798000000000003</v>
      </c>
      <c r="CT41">
        <f t="shared" si="39"/>
        <v>1069.3573999999999</v>
      </c>
      <c r="CU41">
        <f t="shared" si="40"/>
        <v>0</v>
      </c>
      <c r="CV41">
        <f t="shared" si="41"/>
        <v>17.16</v>
      </c>
      <c r="CW41">
        <f t="shared" si="42"/>
        <v>0.04</v>
      </c>
      <c r="CX41">
        <f t="shared" si="43"/>
        <v>0</v>
      </c>
      <c r="CY41">
        <f t="shared" si="44"/>
        <v>140.048</v>
      </c>
      <c r="CZ41">
        <f t="shared" si="45"/>
        <v>87.53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18</v>
      </c>
      <c r="DW41" t="s">
        <v>18</v>
      </c>
      <c r="DX41">
        <v>100</v>
      </c>
      <c r="EE41">
        <v>16609187</v>
      </c>
      <c r="EF41">
        <v>6</v>
      </c>
      <c r="EG41" t="s">
        <v>39</v>
      </c>
      <c r="EH41">
        <v>0</v>
      </c>
      <c r="EI41" t="s">
        <v>6</v>
      </c>
      <c r="EJ41">
        <v>1</v>
      </c>
      <c r="EK41">
        <v>62001</v>
      </c>
      <c r="EL41" t="s">
        <v>93</v>
      </c>
      <c r="EM41" t="s">
        <v>94</v>
      </c>
      <c r="EO41" t="s">
        <v>6</v>
      </c>
      <c r="EQ41">
        <v>131072</v>
      </c>
      <c r="ER41">
        <v>192.67</v>
      </c>
      <c r="ES41">
        <v>39.89</v>
      </c>
      <c r="ET41">
        <v>2.8</v>
      </c>
      <c r="EU41">
        <v>0.46</v>
      </c>
      <c r="EV41">
        <v>149.97999999999999</v>
      </c>
      <c r="EW41">
        <v>17.16</v>
      </c>
      <c r="EX41">
        <v>0.04</v>
      </c>
      <c r="EY41">
        <v>0</v>
      </c>
      <c r="FQ41">
        <v>0</v>
      </c>
      <c r="FR41">
        <f t="shared" si="46"/>
        <v>0</v>
      </c>
      <c r="FS41">
        <v>0</v>
      </c>
      <c r="FX41">
        <v>80</v>
      </c>
      <c r="FY41">
        <v>50</v>
      </c>
      <c r="GA41" t="s">
        <v>6</v>
      </c>
      <c r="GD41">
        <v>0</v>
      </c>
      <c r="GF41">
        <v>1723598306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7"/>
        <v>0</v>
      </c>
      <c r="GM41">
        <f t="shared" si="48"/>
        <v>451.78</v>
      </c>
      <c r="GN41">
        <f t="shared" si="49"/>
        <v>451.78</v>
      </c>
      <c r="GO41">
        <f t="shared" si="50"/>
        <v>0</v>
      </c>
      <c r="GP41">
        <f t="shared" si="51"/>
        <v>0</v>
      </c>
      <c r="GR41">
        <v>0</v>
      </c>
      <c r="GS41">
        <v>3</v>
      </c>
      <c r="GT41">
        <v>0</v>
      </c>
      <c r="GU41" t="s">
        <v>6</v>
      </c>
      <c r="GV41">
        <f t="shared" si="52"/>
        <v>0</v>
      </c>
      <c r="GW41">
        <v>1</v>
      </c>
      <c r="GX41">
        <f t="shared" si="53"/>
        <v>0</v>
      </c>
      <c r="HA41">
        <v>0</v>
      </c>
      <c r="HB41">
        <v>0</v>
      </c>
      <c r="HC41">
        <f t="shared" si="54"/>
        <v>0</v>
      </c>
      <c r="IK41">
        <v>0</v>
      </c>
    </row>
    <row r="42" spans="1:245" x14ac:dyDescent="0.2">
      <c r="A42">
        <v>18</v>
      </c>
      <c r="B42">
        <v>1</v>
      </c>
      <c r="C42">
        <v>50</v>
      </c>
      <c r="E42" t="s">
        <v>95</v>
      </c>
      <c r="F42" t="s">
        <v>96</v>
      </c>
      <c r="G42" t="s">
        <v>97</v>
      </c>
      <c r="H42" t="s">
        <v>98</v>
      </c>
      <c r="I42">
        <f>I41*J42</f>
        <v>2.2850000000000001E-3</v>
      </c>
      <c r="J42">
        <v>1.4001225490196079E-2</v>
      </c>
      <c r="O42">
        <f t="shared" si="21"/>
        <v>0</v>
      </c>
      <c r="P42">
        <f t="shared" si="22"/>
        <v>0</v>
      </c>
      <c r="Q42">
        <f t="shared" si="23"/>
        <v>0</v>
      </c>
      <c r="R42">
        <f t="shared" si="24"/>
        <v>0</v>
      </c>
      <c r="S42">
        <f t="shared" si="25"/>
        <v>0</v>
      </c>
      <c r="T42">
        <f t="shared" si="26"/>
        <v>0</v>
      </c>
      <c r="U42">
        <f t="shared" si="27"/>
        <v>0</v>
      </c>
      <c r="V42">
        <f t="shared" si="28"/>
        <v>0</v>
      </c>
      <c r="W42">
        <f t="shared" si="29"/>
        <v>0</v>
      </c>
      <c r="X42">
        <f t="shared" si="30"/>
        <v>0</v>
      </c>
      <c r="Y42">
        <f t="shared" si="31"/>
        <v>0</v>
      </c>
      <c r="AA42">
        <v>16630606</v>
      </c>
      <c r="AB42">
        <f t="shared" si="32"/>
        <v>0</v>
      </c>
      <c r="AC42">
        <f t="shared" si="55"/>
        <v>0</v>
      </c>
      <c r="AD42">
        <f>ROUND((((ET42)-(EU42))+AE42),2)</f>
        <v>0</v>
      </c>
      <c r="AE42">
        <f t="shared" si="61"/>
        <v>0</v>
      </c>
      <c r="AF42">
        <f t="shared" si="61"/>
        <v>0</v>
      </c>
      <c r="AG42">
        <f t="shared" si="33"/>
        <v>0</v>
      </c>
      <c r="AH42">
        <f t="shared" si="62"/>
        <v>0</v>
      </c>
      <c r="AI42">
        <f t="shared" si="62"/>
        <v>0</v>
      </c>
      <c r="AJ42">
        <f t="shared" si="34"/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80</v>
      </c>
      <c r="AU42">
        <v>50</v>
      </c>
      <c r="AV42">
        <v>1</v>
      </c>
      <c r="AW42">
        <v>1</v>
      </c>
      <c r="AZ42">
        <v>7.13</v>
      </c>
      <c r="BA42">
        <v>1</v>
      </c>
      <c r="BB42">
        <v>1</v>
      </c>
      <c r="BC42">
        <v>7.13</v>
      </c>
      <c r="BD42" t="s">
        <v>6</v>
      </c>
      <c r="BE42" t="s">
        <v>6</v>
      </c>
      <c r="BF42" t="s">
        <v>6</v>
      </c>
      <c r="BG42" t="s">
        <v>6</v>
      </c>
      <c r="BH42">
        <v>3</v>
      </c>
      <c r="BI42">
        <v>1</v>
      </c>
      <c r="BJ42" t="s">
        <v>6</v>
      </c>
      <c r="BM42">
        <v>62001</v>
      </c>
      <c r="BN42">
        <v>0</v>
      </c>
      <c r="BO42" t="s">
        <v>6</v>
      </c>
      <c r="BP42">
        <v>0</v>
      </c>
      <c r="BQ42">
        <v>6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6</v>
      </c>
      <c r="BZ42">
        <v>80</v>
      </c>
      <c r="CA42">
        <v>50</v>
      </c>
      <c r="CE42">
        <v>0</v>
      </c>
      <c r="CF42">
        <v>0</v>
      </c>
      <c r="CG42">
        <v>0</v>
      </c>
      <c r="CM42">
        <v>0</v>
      </c>
      <c r="CN42" t="s">
        <v>6</v>
      </c>
      <c r="CO42">
        <v>0</v>
      </c>
      <c r="CP42">
        <f t="shared" si="35"/>
        <v>0</v>
      </c>
      <c r="CQ42">
        <f t="shared" si="36"/>
        <v>0</v>
      </c>
      <c r="CR42">
        <f t="shared" si="37"/>
        <v>0</v>
      </c>
      <c r="CS42">
        <f t="shared" si="38"/>
        <v>0</v>
      </c>
      <c r="CT42">
        <f t="shared" si="39"/>
        <v>0</v>
      </c>
      <c r="CU42">
        <f t="shared" si="40"/>
        <v>0</v>
      </c>
      <c r="CV42">
        <f t="shared" si="41"/>
        <v>0</v>
      </c>
      <c r="CW42">
        <f t="shared" si="42"/>
        <v>0</v>
      </c>
      <c r="CX42">
        <f t="shared" si="43"/>
        <v>0</v>
      </c>
      <c r="CY42">
        <f t="shared" si="44"/>
        <v>0</v>
      </c>
      <c r="CZ42">
        <f t="shared" si="45"/>
        <v>0</v>
      </c>
      <c r="DC42" t="s">
        <v>6</v>
      </c>
      <c r="DD42" t="s">
        <v>6</v>
      </c>
      <c r="DE42" t="s">
        <v>6</v>
      </c>
      <c r="DF42" t="s">
        <v>6</v>
      </c>
      <c r="DG42" t="s">
        <v>6</v>
      </c>
      <c r="DH42" t="s">
        <v>6</v>
      </c>
      <c r="DI42" t="s">
        <v>6</v>
      </c>
      <c r="DJ42" t="s">
        <v>6</v>
      </c>
      <c r="DK42" t="s">
        <v>6</v>
      </c>
      <c r="DL42" t="s">
        <v>6</v>
      </c>
      <c r="DM42" t="s">
        <v>6</v>
      </c>
      <c r="DN42">
        <v>0</v>
      </c>
      <c r="DO42">
        <v>0</v>
      </c>
      <c r="DP42">
        <v>1</v>
      </c>
      <c r="DQ42">
        <v>1</v>
      </c>
      <c r="DU42">
        <v>1009</v>
      </c>
      <c r="DV42" t="s">
        <v>98</v>
      </c>
      <c r="DW42" t="s">
        <v>98</v>
      </c>
      <c r="DX42">
        <v>1000</v>
      </c>
      <c r="EE42">
        <v>16609187</v>
      </c>
      <c r="EF42">
        <v>6</v>
      </c>
      <c r="EG42" t="s">
        <v>39</v>
      </c>
      <c r="EH42">
        <v>0</v>
      </c>
      <c r="EI42" t="s">
        <v>6</v>
      </c>
      <c r="EJ42">
        <v>1</v>
      </c>
      <c r="EK42">
        <v>62001</v>
      </c>
      <c r="EL42" t="s">
        <v>93</v>
      </c>
      <c r="EM42" t="s">
        <v>94</v>
      </c>
      <c r="EO42" t="s">
        <v>6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  <c r="FQ42">
        <v>0</v>
      </c>
      <c r="FR42">
        <f t="shared" si="46"/>
        <v>0</v>
      </c>
      <c r="FS42">
        <v>0</v>
      </c>
      <c r="FX42">
        <v>80</v>
      </c>
      <c r="FY42">
        <v>50</v>
      </c>
      <c r="GA42" t="s">
        <v>6</v>
      </c>
      <c r="GD42">
        <v>0</v>
      </c>
      <c r="GF42">
        <v>-2007682757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7"/>
        <v>0</v>
      </c>
      <c r="GM42">
        <f t="shared" si="48"/>
        <v>0</v>
      </c>
      <c r="GN42">
        <f t="shared" si="49"/>
        <v>0</v>
      </c>
      <c r="GO42">
        <f t="shared" si="50"/>
        <v>0</v>
      </c>
      <c r="GP42">
        <f t="shared" si="51"/>
        <v>0</v>
      </c>
      <c r="GR42">
        <v>0</v>
      </c>
      <c r="GS42">
        <v>3</v>
      </c>
      <c r="GT42">
        <v>0</v>
      </c>
      <c r="GU42" t="s">
        <v>6</v>
      </c>
      <c r="GV42">
        <f t="shared" si="52"/>
        <v>0</v>
      </c>
      <c r="GW42">
        <v>1</v>
      </c>
      <c r="GX42">
        <f t="shared" si="53"/>
        <v>0</v>
      </c>
      <c r="HA42">
        <v>0</v>
      </c>
      <c r="HB42">
        <v>0</v>
      </c>
      <c r="HC42">
        <f t="shared" si="54"/>
        <v>0</v>
      </c>
      <c r="IK42">
        <v>0</v>
      </c>
    </row>
    <row r="43" spans="1:245" x14ac:dyDescent="0.2">
      <c r="A43">
        <v>18</v>
      </c>
      <c r="B43">
        <v>1</v>
      </c>
      <c r="C43">
        <v>51</v>
      </c>
      <c r="E43" t="s">
        <v>99</v>
      </c>
      <c r="F43" t="s">
        <v>100</v>
      </c>
      <c r="G43" t="s">
        <v>101</v>
      </c>
      <c r="H43" t="s">
        <v>102</v>
      </c>
      <c r="I43">
        <f>I41*J43</f>
        <v>2.2848000000000002</v>
      </c>
      <c r="J43">
        <v>14</v>
      </c>
      <c r="O43">
        <f t="shared" si="21"/>
        <v>1274.58</v>
      </c>
      <c r="P43">
        <f t="shared" si="22"/>
        <v>1274.58</v>
      </c>
      <c r="Q43">
        <f t="shared" si="23"/>
        <v>0</v>
      </c>
      <c r="R43">
        <f t="shared" si="24"/>
        <v>0</v>
      </c>
      <c r="S43">
        <f t="shared" si="25"/>
        <v>0</v>
      </c>
      <c r="T43">
        <f t="shared" si="26"/>
        <v>0</v>
      </c>
      <c r="U43">
        <f t="shared" si="27"/>
        <v>0</v>
      </c>
      <c r="V43">
        <f t="shared" si="28"/>
        <v>0</v>
      </c>
      <c r="W43">
        <f t="shared" si="29"/>
        <v>0</v>
      </c>
      <c r="X43">
        <f t="shared" si="30"/>
        <v>0</v>
      </c>
      <c r="Y43">
        <f t="shared" si="31"/>
        <v>0</v>
      </c>
      <c r="AA43">
        <v>16630606</v>
      </c>
      <c r="AB43">
        <f t="shared" si="32"/>
        <v>78.239999999999995</v>
      </c>
      <c r="AC43">
        <f t="shared" si="55"/>
        <v>78.239999999999995</v>
      </c>
      <c r="AD43">
        <f>ROUND((((ET43)-(EU43))+AE43),2)</f>
        <v>0</v>
      </c>
      <c r="AE43">
        <f t="shared" si="61"/>
        <v>0</v>
      </c>
      <c r="AF43">
        <f t="shared" si="61"/>
        <v>0</v>
      </c>
      <c r="AG43">
        <f t="shared" si="33"/>
        <v>0</v>
      </c>
      <c r="AH43">
        <f t="shared" si="62"/>
        <v>0</v>
      </c>
      <c r="AI43">
        <f t="shared" si="62"/>
        <v>0</v>
      </c>
      <c r="AJ43">
        <f t="shared" si="34"/>
        <v>0</v>
      </c>
      <c r="AK43">
        <v>78.239999999999995</v>
      </c>
      <c r="AL43">
        <v>78.239999999999995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80</v>
      </c>
      <c r="AU43">
        <v>50</v>
      </c>
      <c r="AV43">
        <v>1</v>
      </c>
      <c r="AW43">
        <v>1</v>
      </c>
      <c r="AZ43">
        <v>7.13</v>
      </c>
      <c r="BA43">
        <v>1</v>
      </c>
      <c r="BB43">
        <v>1</v>
      </c>
      <c r="BC43">
        <v>7.13</v>
      </c>
      <c r="BD43" t="s">
        <v>6</v>
      </c>
      <c r="BE43" t="s">
        <v>6</v>
      </c>
      <c r="BF43" t="s">
        <v>6</v>
      </c>
      <c r="BG43" t="s">
        <v>6</v>
      </c>
      <c r="BH43">
        <v>3</v>
      </c>
      <c r="BI43">
        <v>1</v>
      </c>
      <c r="BJ43" t="s">
        <v>103</v>
      </c>
      <c r="BM43">
        <v>62001</v>
      </c>
      <c r="BN43">
        <v>0</v>
      </c>
      <c r="BO43" t="s">
        <v>6</v>
      </c>
      <c r="BP43">
        <v>0</v>
      </c>
      <c r="BQ43">
        <v>6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80</v>
      </c>
      <c r="CA43">
        <v>50</v>
      </c>
      <c r="CE43">
        <v>0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35"/>
        <v>1274.58</v>
      </c>
      <c r="CQ43">
        <f t="shared" si="36"/>
        <v>557.85119999999995</v>
      </c>
      <c r="CR43">
        <f t="shared" si="37"/>
        <v>0</v>
      </c>
      <c r="CS43">
        <f t="shared" si="38"/>
        <v>0</v>
      </c>
      <c r="CT43">
        <f t="shared" si="39"/>
        <v>0</v>
      </c>
      <c r="CU43">
        <f t="shared" si="40"/>
        <v>0</v>
      </c>
      <c r="CV43">
        <f t="shared" si="41"/>
        <v>0</v>
      </c>
      <c r="CW43">
        <f t="shared" si="42"/>
        <v>0</v>
      </c>
      <c r="CX43">
        <f t="shared" si="43"/>
        <v>0</v>
      </c>
      <c r="CY43">
        <f t="shared" si="44"/>
        <v>0</v>
      </c>
      <c r="CZ43">
        <f t="shared" si="45"/>
        <v>0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1009</v>
      </c>
      <c r="DV43" t="s">
        <v>102</v>
      </c>
      <c r="DW43" t="s">
        <v>102</v>
      </c>
      <c r="DX43">
        <v>1</v>
      </c>
      <c r="EE43">
        <v>16609187</v>
      </c>
      <c r="EF43">
        <v>6</v>
      </c>
      <c r="EG43" t="s">
        <v>39</v>
      </c>
      <c r="EH43">
        <v>0</v>
      </c>
      <c r="EI43" t="s">
        <v>6</v>
      </c>
      <c r="EJ43">
        <v>1</v>
      </c>
      <c r="EK43">
        <v>62001</v>
      </c>
      <c r="EL43" t="s">
        <v>93</v>
      </c>
      <c r="EM43" t="s">
        <v>94</v>
      </c>
      <c r="EO43" t="s">
        <v>6</v>
      </c>
      <c r="EQ43">
        <v>0</v>
      </c>
      <c r="ER43">
        <v>78.239999999999995</v>
      </c>
      <c r="ES43">
        <v>78.239999999999995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6"/>
        <v>0</v>
      </c>
      <c r="FS43">
        <v>0</v>
      </c>
      <c r="FX43">
        <v>80</v>
      </c>
      <c r="FY43">
        <v>50</v>
      </c>
      <c r="GA43" t="s">
        <v>6</v>
      </c>
      <c r="GD43">
        <v>0</v>
      </c>
      <c r="GF43">
        <v>-826844531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7"/>
        <v>0</v>
      </c>
      <c r="GM43">
        <f t="shared" si="48"/>
        <v>1274.58</v>
      </c>
      <c r="GN43">
        <f t="shared" si="49"/>
        <v>1274.58</v>
      </c>
      <c r="GO43">
        <f t="shared" si="50"/>
        <v>0</v>
      </c>
      <c r="GP43">
        <f t="shared" si="51"/>
        <v>0</v>
      </c>
      <c r="GR43">
        <v>0</v>
      </c>
      <c r="GS43">
        <v>3</v>
      </c>
      <c r="GT43">
        <v>0</v>
      </c>
      <c r="GU43" t="s">
        <v>6</v>
      </c>
      <c r="GV43">
        <f t="shared" si="52"/>
        <v>0</v>
      </c>
      <c r="GW43">
        <v>1</v>
      </c>
      <c r="GX43">
        <f t="shared" si="53"/>
        <v>0</v>
      </c>
      <c r="HA43">
        <v>0</v>
      </c>
      <c r="HB43">
        <v>0</v>
      </c>
      <c r="HC43">
        <f t="shared" si="54"/>
        <v>0</v>
      </c>
      <c r="IK43">
        <v>0</v>
      </c>
    </row>
    <row r="44" spans="1:245" x14ac:dyDescent="0.2">
      <c r="A44">
        <v>17</v>
      </c>
      <c r="B44">
        <v>1</v>
      </c>
      <c r="C44">
        <f>ROW(SmtRes!A55)</f>
        <v>55</v>
      </c>
      <c r="D44">
        <f>ROW(EtalonRes!A64)</f>
        <v>64</v>
      </c>
      <c r="E44" t="s">
        <v>104</v>
      </c>
      <c r="F44" t="s">
        <v>105</v>
      </c>
      <c r="G44" t="s">
        <v>106</v>
      </c>
      <c r="H44" t="s">
        <v>57</v>
      </c>
      <c r="I44">
        <f>ROUND(8/100,9)</f>
        <v>0.08</v>
      </c>
      <c r="J44">
        <v>0</v>
      </c>
      <c r="O44">
        <f t="shared" si="21"/>
        <v>80.349999999999994</v>
      </c>
      <c r="P44">
        <f t="shared" si="22"/>
        <v>0</v>
      </c>
      <c r="Q44">
        <f t="shared" si="23"/>
        <v>2.35</v>
      </c>
      <c r="R44">
        <f t="shared" si="24"/>
        <v>0.42</v>
      </c>
      <c r="S44">
        <f t="shared" si="25"/>
        <v>78</v>
      </c>
      <c r="T44">
        <f t="shared" si="26"/>
        <v>0</v>
      </c>
      <c r="U44">
        <f t="shared" si="27"/>
        <v>1.1776</v>
      </c>
      <c r="V44">
        <f t="shared" si="28"/>
        <v>5.0000000000000001E-3</v>
      </c>
      <c r="W44">
        <f t="shared" si="29"/>
        <v>0</v>
      </c>
      <c r="X44">
        <f t="shared" si="30"/>
        <v>63.52</v>
      </c>
      <c r="Y44">
        <f t="shared" si="31"/>
        <v>56.46</v>
      </c>
      <c r="AA44">
        <v>16630606</v>
      </c>
      <c r="AB44">
        <f t="shared" si="32"/>
        <v>140.87</v>
      </c>
      <c r="AC44">
        <f t="shared" si="55"/>
        <v>0</v>
      </c>
      <c r="AD44">
        <f>ROUND(((((ET44*1.25))-((EU44*1.25)))+AE44),2)</f>
        <v>4.12</v>
      </c>
      <c r="AE44">
        <f>ROUND(((EU44*1.25)),2)</f>
        <v>0.73</v>
      </c>
      <c r="AF44">
        <f>ROUND(((EV44*1.15)),2)</f>
        <v>136.75</v>
      </c>
      <c r="AG44">
        <f t="shared" si="33"/>
        <v>0</v>
      </c>
      <c r="AH44">
        <f>((EW44*1.15))</f>
        <v>14.719999999999999</v>
      </c>
      <c r="AI44">
        <f>((EX44*1.25))</f>
        <v>6.25E-2</v>
      </c>
      <c r="AJ44">
        <f t="shared" si="34"/>
        <v>0</v>
      </c>
      <c r="AK44">
        <v>122.2</v>
      </c>
      <c r="AL44">
        <v>0</v>
      </c>
      <c r="AM44">
        <v>3.29</v>
      </c>
      <c r="AN44">
        <v>0.57999999999999996</v>
      </c>
      <c r="AO44">
        <v>118.91</v>
      </c>
      <c r="AP44">
        <v>0</v>
      </c>
      <c r="AQ44">
        <v>12.8</v>
      </c>
      <c r="AR44">
        <v>0.05</v>
      </c>
      <c r="AS44">
        <v>0</v>
      </c>
      <c r="AT44">
        <v>81</v>
      </c>
      <c r="AU44">
        <v>72</v>
      </c>
      <c r="AV44">
        <v>1</v>
      </c>
      <c r="AW44">
        <v>1</v>
      </c>
      <c r="AZ44">
        <v>7.13</v>
      </c>
      <c r="BA44">
        <v>7.13</v>
      </c>
      <c r="BB44">
        <v>7.13</v>
      </c>
      <c r="BC44">
        <v>7.13</v>
      </c>
      <c r="BD44" t="s">
        <v>6</v>
      </c>
      <c r="BE44" t="s">
        <v>6</v>
      </c>
      <c r="BF44" t="s">
        <v>6</v>
      </c>
      <c r="BG44" t="s">
        <v>6</v>
      </c>
      <c r="BH44">
        <v>0</v>
      </c>
      <c r="BI44">
        <v>1</v>
      </c>
      <c r="BJ44" t="s">
        <v>107</v>
      </c>
      <c r="BM44">
        <v>9001</v>
      </c>
      <c r="BN44">
        <v>0</v>
      </c>
      <c r="BO44" t="s">
        <v>6</v>
      </c>
      <c r="BP44">
        <v>0</v>
      </c>
      <c r="BQ44">
        <v>2</v>
      </c>
      <c r="BR44">
        <v>0</v>
      </c>
      <c r="BS44">
        <v>7.13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6</v>
      </c>
      <c r="BZ44">
        <v>90</v>
      </c>
      <c r="CA44">
        <v>85</v>
      </c>
      <c r="CE44">
        <v>0</v>
      </c>
      <c r="CF44">
        <v>0</v>
      </c>
      <c r="CG44">
        <v>0</v>
      </c>
      <c r="CM44">
        <v>0</v>
      </c>
      <c r="CN44" t="s">
        <v>1758</v>
      </c>
      <c r="CO44">
        <v>0</v>
      </c>
      <c r="CP44">
        <f t="shared" si="35"/>
        <v>80.349999999999994</v>
      </c>
      <c r="CQ44">
        <f t="shared" si="36"/>
        <v>0</v>
      </c>
      <c r="CR44">
        <f t="shared" si="37"/>
        <v>29.375599999999999</v>
      </c>
      <c r="CS44">
        <f t="shared" si="38"/>
        <v>5.2048999999999994</v>
      </c>
      <c r="CT44">
        <f t="shared" si="39"/>
        <v>975.02750000000003</v>
      </c>
      <c r="CU44">
        <f t="shared" si="40"/>
        <v>0</v>
      </c>
      <c r="CV44">
        <f t="shared" si="41"/>
        <v>14.719999999999999</v>
      </c>
      <c r="CW44">
        <f t="shared" si="42"/>
        <v>6.25E-2</v>
      </c>
      <c r="CX44">
        <f t="shared" si="43"/>
        <v>0</v>
      </c>
      <c r="CY44">
        <f t="shared" si="44"/>
        <v>63.520200000000003</v>
      </c>
      <c r="CZ44">
        <f t="shared" si="45"/>
        <v>56.462399999999995</v>
      </c>
      <c r="DC44" t="s">
        <v>6</v>
      </c>
      <c r="DD44" t="s">
        <v>6</v>
      </c>
      <c r="DE44" t="s">
        <v>81</v>
      </c>
      <c r="DF44" t="s">
        <v>81</v>
      </c>
      <c r="DG44" t="s">
        <v>82</v>
      </c>
      <c r="DH44" t="s">
        <v>6</v>
      </c>
      <c r="DI44" t="s">
        <v>82</v>
      </c>
      <c r="DJ44" t="s">
        <v>81</v>
      </c>
      <c r="DK44" t="s">
        <v>6</v>
      </c>
      <c r="DL44" t="s">
        <v>6</v>
      </c>
      <c r="DM44" t="s">
        <v>6</v>
      </c>
      <c r="DN44">
        <v>0</v>
      </c>
      <c r="DO44">
        <v>0</v>
      </c>
      <c r="DP44">
        <v>1</v>
      </c>
      <c r="DQ44">
        <v>1</v>
      </c>
      <c r="DU44">
        <v>1003</v>
      </c>
      <c r="DV44" t="s">
        <v>57</v>
      </c>
      <c r="DW44" t="s">
        <v>57</v>
      </c>
      <c r="DX44">
        <v>100</v>
      </c>
      <c r="EE44">
        <v>16609106</v>
      </c>
      <c r="EF44">
        <v>2</v>
      </c>
      <c r="EG44" t="s">
        <v>14</v>
      </c>
      <c r="EH44">
        <v>0</v>
      </c>
      <c r="EI44" t="s">
        <v>6</v>
      </c>
      <c r="EJ44">
        <v>1</v>
      </c>
      <c r="EK44">
        <v>9001</v>
      </c>
      <c r="EL44" t="s">
        <v>108</v>
      </c>
      <c r="EM44" t="s">
        <v>109</v>
      </c>
      <c r="EO44" t="s">
        <v>83</v>
      </c>
      <c r="EQ44">
        <v>131072</v>
      </c>
      <c r="ER44">
        <v>122.2</v>
      </c>
      <c r="ES44">
        <v>0</v>
      </c>
      <c r="ET44">
        <v>3.29</v>
      </c>
      <c r="EU44">
        <v>0.57999999999999996</v>
      </c>
      <c r="EV44">
        <v>118.91</v>
      </c>
      <c r="EW44">
        <v>12.8</v>
      </c>
      <c r="EX44">
        <v>0.05</v>
      </c>
      <c r="EY44">
        <v>0</v>
      </c>
      <c r="FQ44">
        <v>0</v>
      </c>
      <c r="FR44">
        <f t="shared" si="46"/>
        <v>0</v>
      </c>
      <c r="FS44">
        <v>0</v>
      </c>
      <c r="FT44" t="s">
        <v>22</v>
      </c>
      <c r="FU44" t="s">
        <v>23</v>
      </c>
      <c r="FX44">
        <v>81</v>
      </c>
      <c r="FY44">
        <v>72.25</v>
      </c>
      <c r="GA44" t="s">
        <v>6</v>
      </c>
      <c r="GD44">
        <v>0</v>
      </c>
      <c r="GF44">
        <v>-1646399505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7"/>
        <v>0</v>
      </c>
      <c r="GM44">
        <f t="shared" si="48"/>
        <v>200.33</v>
      </c>
      <c r="GN44">
        <f t="shared" si="49"/>
        <v>200.33</v>
      </c>
      <c r="GO44">
        <f t="shared" si="50"/>
        <v>0</v>
      </c>
      <c r="GP44">
        <f t="shared" si="51"/>
        <v>0</v>
      </c>
      <c r="GR44">
        <v>0</v>
      </c>
      <c r="GS44">
        <v>3</v>
      </c>
      <c r="GT44">
        <v>0</v>
      </c>
      <c r="GU44" t="s">
        <v>6</v>
      </c>
      <c r="GV44">
        <f t="shared" si="52"/>
        <v>0</v>
      </c>
      <c r="GW44">
        <v>1</v>
      </c>
      <c r="GX44">
        <f t="shared" si="53"/>
        <v>0</v>
      </c>
      <c r="HA44">
        <v>0</v>
      </c>
      <c r="HB44">
        <v>0</v>
      </c>
      <c r="HC44">
        <f t="shared" si="54"/>
        <v>0</v>
      </c>
      <c r="IK44">
        <v>0</v>
      </c>
    </row>
    <row r="45" spans="1:245" x14ac:dyDescent="0.2">
      <c r="A45">
        <v>18</v>
      </c>
      <c r="B45">
        <v>1</v>
      </c>
      <c r="C45">
        <v>55</v>
      </c>
      <c r="E45" t="s">
        <v>110</v>
      </c>
      <c r="F45" t="s">
        <v>111</v>
      </c>
      <c r="G45" t="s">
        <v>112</v>
      </c>
      <c r="H45" t="s">
        <v>98</v>
      </c>
      <c r="I45">
        <f>I44*J45</f>
        <v>3.2000000000000003E-4</v>
      </c>
      <c r="J45">
        <v>4.0000000000000001E-3</v>
      </c>
      <c r="O45">
        <f t="shared" si="21"/>
        <v>11.65</v>
      </c>
      <c r="P45">
        <f t="shared" si="22"/>
        <v>11.65</v>
      </c>
      <c r="Q45">
        <f t="shared" si="23"/>
        <v>0</v>
      </c>
      <c r="R45">
        <f t="shared" si="24"/>
        <v>0</v>
      </c>
      <c r="S45">
        <f t="shared" si="25"/>
        <v>0</v>
      </c>
      <c r="T45">
        <f t="shared" si="26"/>
        <v>0</v>
      </c>
      <c r="U45">
        <f t="shared" si="27"/>
        <v>0</v>
      </c>
      <c r="V45">
        <f t="shared" si="28"/>
        <v>0</v>
      </c>
      <c r="W45">
        <f t="shared" si="29"/>
        <v>0</v>
      </c>
      <c r="X45">
        <f t="shared" si="30"/>
        <v>0</v>
      </c>
      <c r="Y45">
        <f t="shared" si="31"/>
        <v>0</v>
      </c>
      <c r="AA45">
        <v>16630606</v>
      </c>
      <c r="AB45">
        <f t="shared" si="32"/>
        <v>5106.21</v>
      </c>
      <c r="AC45">
        <f t="shared" si="55"/>
        <v>5106.21</v>
      </c>
      <c r="AD45">
        <f>ROUND((((ET45)-(EU45))+AE45),2)</f>
        <v>0</v>
      </c>
      <c r="AE45">
        <f>ROUND((EU45),2)</f>
        <v>0</v>
      </c>
      <c r="AF45">
        <f>ROUND((EV45),2)</f>
        <v>0</v>
      </c>
      <c r="AG45">
        <f t="shared" si="33"/>
        <v>0</v>
      </c>
      <c r="AH45">
        <f>(EW45)</f>
        <v>0</v>
      </c>
      <c r="AI45">
        <f>(EX45)</f>
        <v>0</v>
      </c>
      <c r="AJ45">
        <f t="shared" si="34"/>
        <v>0</v>
      </c>
      <c r="AK45">
        <v>5106.21</v>
      </c>
      <c r="AL45">
        <v>5106.21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81</v>
      </c>
      <c r="AU45">
        <v>72</v>
      </c>
      <c r="AV45">
        <v>1</v>
      </c>
      <c r="AW45">
        <v>1</v>
      </c>
      <c r="AZ45">
        <v>7.13</v>
      </c>
      <c r="BA45">
        <v>1</v>
      </c>
      <c r="BB45">
        <v>1</v>
      </c>
      <c r="BC45">
        <v>7.13</v>
      </c>
      <c r="BD45" t="s">
        <v>6</v>
      </c>
      <c r="BE45" t="s">
        <v>6</v>
      </c>
      <c r="BF45" t="s">
        <v>6</v>
      </c>
      <c r="BG45" t="s">
        <v>6</v>
      </c>
      <c r="BH45">
        <v>3</v>
      </c>
      <c r="BI45">
        <v>1</v>
      </c>
      <c r="BJ45" t="s">
        <v>113</v>
      </c>
      <c r="BM45">
        <v>9001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90</v>
      </c>
      <c r="CA45">
        <v>85</v>
      </c>
      <c r="CE45">
        <v>0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35"/>
        <v>11.65</v>
      </c>
      <c r="CQ45">
        <f t="shared" si="36"/>
        <v>36407.277300000002</v>
      </c>
      <c r="CR45">
        <f t="shared" si="37"/>
        <v>0</v>
      </c>
      <c r="CS45">
        <f t="shared" si="38"/>
        <v>0</v>
      </c>
      <c r="CT45">
        <f t="shared" si="39"/>
        <v>0</v>
      </c>
      <c r="CU45">
        <f t="shared" si="40"/>
        <v>0</v>
      </c>
      <c r="CV45">
        <f t="shared" si="41"/>
        <v>0</v>
      </c>
      <c r="CW45">
        <f t="shared" si="42"/>
        <v>0</v>
      </c>
      <c r="CX45">
        <f t="shared" si="43"/>
        <v>0</v>
      </c>
      <c r="CY45">
        <f t="shared" si="44"/>
        <v>0</v>
      </c>
      <c r="CZ45">
        <f t="shared" si="45"/>
        <v>0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1009</v>
      </c>
      <c r="DV45" t="s">
        <v>98</v>
      </c>
      <c r="DW45" t="s">
        <v>98</v>
      </c>
      <c r="DX45">
        <v>1000</v>
      </c>
      <c r="EE45">
        <v>16609106</v>
      </c>
      <c r="EF45">
        <v>2</v>
      </c>
      <c r="EG45" t="s">
        <v>14</v>
      </c>
      <c r="EH45">
        <v>0</v>
      </c>
      <c r="EI45" t="s">
        <v>6</v>
      </c>
      <c r="EJ45">
        <v>1</v>
      </c>
      <c r="EK45">
        <v>9001</v>
      </c>
      <c r="EL45" t="s">
        <v>108</v>
      </c>
      <c r="EM45" t="s">
        <v>109</v>
      </c>
      <c r="EO45" t="s">
        <v>6</v>
      </c>
      <c r="EQ45">
        <v>0</v>
      </c>
      <c r="ER45">
        <v>5106.21</v>
      </c>
      <c r="ES45">
        <v>5106.21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6"/>
        <v>0</v>
      </c>
      <c r="FS45">
        <v>0</v>
      </c>
      <c r="FT45" t="s">
        <v>22</v>
      </c>
      <c r="FU45" t="s">
        <v>23</v>
      </c>
      <c r="FX45">
        <v>81</v>
      </c>
      <c r="FY45">
        <v>72.25</v>
      </c>
      <c r="GA45" t="s">
        <v>6</v>
      </c>
      <c r="GD45">
        <v>0</v>
      </c>
      <c r="GF45">
        <v>291228826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7"/>
        <v>0</v>
      </c>
      <c r="GM45">
        <f t="shared" si="48"/>
        <v>11.65</v>
      </c>
      <c r="GN45">
        <f t="shared" si="49"/>
        <v>11.65</v>
      </c>
      <c r="GO45">
        <f t="shared" si="50"/>
        <v>0</v>
      </c>
      <c r="GP45">
        <f t="shared" si="51"/>
        <v>0</v>
      </c>
      <c r="GR45">
        <v>0</v>
      </c>
      <c r="GS45">
        <v>3</v>
      </c>
      <c r="GT45">
        <v>0</v>
      </c>
      <c r="GU45" t="s">
        <v>6</v>
      </c>
      <c r="GV45">
        <f t="shared" si="52"/>
        <v>0</v>
      </c>
      <c r="GW45">
        <v>1</v>
      </c>
      <c r="GX45">
        <f t="shared" si="53"/>
        <v>0</v>
      </c>
      <c r="HA45">
        <v>0</v>
      </c>
      <c r="HB45">
        <v>0</v>
      </c>
      <c r="HC45">
        <f t="shared" si="54"/>
        <v>0</v>
      </c>
      <c r="IK45">
        <v>0</v>
      </c>
    </row>
    <row r="46" spans="1:245" x14ac:dyDescent="0.2">
      <c r="A46">
        <v>17</v>
      </c>
      <c r="B46">
        <v>1</v>
      </c>
      <c r="C46">
        <f>ROW(SmtRes!A62)</f>
        <v>62</v>
      </c>
      <c r="D46">
        <f>ROW(EtalonRes!A71)</f>
        <v>71</v>
      </c>
      <c r="E46" t="s">
        <v>114</v>
      </c>
      <c r="F46" t="s">
        <v>115</v>
      </c>
      <c r="G46" t="s">
        <v>116</v>
      </c>
      <c r="H46" t="s">
        <v>18</v>
      </c>
      <c r="I46">
        <f>ROUND(8/100,9)</f>
        <v>0.08</v>
      </c>
      <c r="J46">
        <v>0</v>
      </c>
      <c r="O46">
        <f t="shared" si="21"/>
        <v>465.14</v>
      </c>
      <c r="P46">
        <f t="shared" si="22"/>
        <v>50.52</v>
      </c>
      <c r="Q46">
        <f t="shared" si="23"/>
        <v>1.63</v>
      </c>
      <c r="R46">
        <f t="shared" si="24"/>
        <v>0.35</v>
      </c>
      <c r="S46">
        <f t="shared" si="25"/>
        <v>412.99</v>
      </c>
      <c r="T46">
        <f t="shared" si="26"/>
        <v>0</v>
      </c>
      <c r="U46">
        <f t="shared" si="27"/>
        <v>6.5375199999999998</v>
      </c>
      <c r="V46">
        <f t="shared" si="28"/>
        <v>4.0000000000000001E-3</v>
      </c>
      <c r="W46">
        <f t="shared" si="29"/>
        <v>0</v>
      </c>
      <c r="X46">
        <f t="shared" si="30"/>
        <v>392.67</v>
      </c>
      <c r="Y46">
        <f t="shared" si="31"/>
        <v>194.27</v>
      </c>
      <c r="AA46">
        <v>16630606</v>
      </c>
      <c r="AB46">
        <f t="shared" si="32"/>
        <v>815.45</v>
      </c>
      <c r="AC46">
        <f t="shared" si="55"/>
        <v>88.57</v>
      </c>
      <c r="AD46">
        <f>ROUND(((((ET46*1.25))-((EU46*1.25)))+AE46),2)</f>
        <v>2.85</v>
      </c>
      <c r="AE46">
        <f>ROUND(((EU46*1.25)),2)</f>
        <v>0.61</v>
      </c>
      <c r="AF46">
        <f>ROUND(((EV46*1.15)),2)</f>
        <v>724.03</v>
      </c>
      <c r="AG46">
        <f t="shared" si="33"/>
        <v>0</v>
      </c>
      <c r="AH46">
        <f>((EW46*1.15))</f>
        <v>81.718999999999994</v>
      </c>
      <c r="AI46">
        <f>((EX46*1.25))</f>
        <v>0.05</v>
      </c>
      <c r="AJ46">
        <f t="shared" si="34"/>
        <v>0</v>
      </c>
      <c r="AK46">
        <v>720.44</v>
      </c>
      <c r="AL46">
        <v>88.57</v>
      </c>
      <c r="AM46">
        <v>2.2799999999999998</v>
      </c>
      <c r="AN46">
        <v>0.49</v>
      </c>
      <c r="AO46">
        <v>629.59</v>
      </c>
      <c r="AP46">
        <v>0</v>
      </c>
      <c r="AQ46">
        <v>71.06</v>
      </c>
      <c r="AR46">
        <v>0.04</v>
      </c>
      <c r="AS46">
        <v>0</v>
      </c>
      <c r="AT46">
        <v>95</v>
      </c>
      <c r="AU46">
        <v>47</v>
      </c>
      <c r="AV46">
        <v>1</v>
      </c>
      <c r="AW46">
        <v>1</v>
      </c>
      <c r="AZ46">
        <v>7.13</v>
      </c>
      <c r="BA46">
        <v>7.13</v>
      </c>
      <c r="BB46">
        <v>7.13</v>
      </c>
      <c r="BC46">
        <v>7.13</v>
      </c>
      <c r="BD46" t="s">
        <v>6</v>
      </c>
      <c r="BE46" t="s">
        <v>6</v>
      </c>
      <c r="BF46" t="s">
        <v>6</v>
      </c>
      <c r="BG46" t="s">
        <v>6</v>
      </c>
      <c r="BH46">
        <v>0</v>
      </c>
      <c r="BI46">
        <v>1</v>
      </c>
      <c r="BJ46" t="s">
        <v>117</v>
      </c>
      <c r="BM46">
        <v>15001</v>
      </c>
      <c r="BN46">
        <v>0</v>
      </c>
      <c r="BO46" t="s">
        <v>6</v>
      </c>
      <c r="BP46">
        <v>0</v>
      </c>
      <c r="BQ46">
        <v>2</v>
      </c>
      <c r="BR46">
        <v>0</v>
      </c>
      <c r="BS46">
        <v>7.13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6</v>
      </c>
      <c r="BZ46">
        <v>105</v>
      </c>
      <c r="CA46">
        <v>55</v>
      </c>
      <c r="CE46">
        <v>0</v>
      </c>
      <c r="CF46">
        <v>0</v>
      </c>
      <c r="CG46">
        <v>0</v>
      </c>
      <c r="CM46">
        <v>0</v>
      </c>
      <c r="CN46" t="s">
        <v>1758</v>
      </c>
      <c r="CO46">
        <v>0</v>
      </c>
      <c r="CP46">
        <f t="shared" si="35"/>
        <v>465.14</v>
      </c>
      <c r="CQ46">
        <f t="shared" si="36"/>
        <v>631.50409999999999</v>
      </c>
      <c r="CR46">
        <f t="shared" si="37"/>
        <v>20.320499999999999</v>
      </c>
      <c r="CS46">
        <f t="shared" si="38"/>
        <v>4.3492999999999995</v>
      </c>
      <c r="CT46">
        <f t="shared" si="39"/>
        <v>5162.3338999999996</v>
      </c>
      <c r="CU46">
        <f t="shared" si="40"/>
        <v>0</v>
      </c>
      <c r="CV46">
        <f t="shared" si="41"/>
        <v>81.718999999999994</v>
      </c>
      <c r="CW46">
        <f t="shared" si="42"/>
        <v>0.05</v>
      </c>
      <c r="CX46">
        <f t="shared" si="43"/>
        <v>0</v>
      </c>
      <c r="CY46">
        <f t="shared" si="44"/>
        <v>392.673</v>
      </c>
      <c r="CZ46">
        <f t="shared" si="45"/>
        <v>194.26980000000003</v>
      </c>
      <c r="DC46" t="s">
        <v>6</v>
      </c>
      <c r="DD46" t="s">
        <v>6</v>
      </c>
      <c r="DE46" t="s">
        <v>81</v>
      </c>
      <c r="DF46" t="s">
        <v>81</v>
      </c>
      <c r="DG46" t="s">
        <v>82</v>
      </c>
      <c r="DH46" t="s">
        <v>6</v>
      </c>
      <c r="DI46" t="s">
        <v>82</v>
      </c>
      <c r="DJ46" t="s">
        <v>81</v>
      </c>
      <c r="DK46" t="s">
        <v>6</v>
      </c>
      <c r="DL46" t="s">
        <v>6</v>
      </c>
      <c r="DM46" t="s">
        <v>6</v>
      </c>
      <c r="DN46">
        <v>0</v>
      </c>
      <c r="DO46">
        <v>0</v>
      </c>
      <c r="DP46">
        <v>1</v>
      </c>
      <c r="DQ46">
        <v>1</v>
      </c>
      <c r="DU46">
        <v>1005</v>
      </c>
      <c r="DV46" t="s">
        <v>18</v>
      </c>
      <c r="DW46" t="s">
        <v>18</v>
      </c>
      <c r="DX46">
        <v>100</v>
      </c>
      <c r="EE46">
        <v>16609130</v>
      </c>
      <c r="EF46">
        <v>2</v>
      </c>
      <c r="EG46" t="s">
        <v>14</v>
      </c>
      <c r="EH46">
        <v>0</v>
      </c>
      <c r="EI46" t="s">
        <v>6</v>
      </c>
      <c r="EJ46">
        <v>1</v>
      </c>
      <c r="EK46">
        <v>15001</v>
      </c>
      <c r="EL46" t="s">
        <v>118</v>
      </c>
      <c r="EM46" t="s">
        <v>119</v>
      </c>
      <c r="EO46" t="s">
        <v>83</v>
      </c>
      <c r="EQ46">
        <v>131072</v>
      </c>
      <c r="ER46">
        <v>720.44</v>
      </c>
      <c r="ES46">
        <v>88.57</v>
      </c>
      <c r="ET46">
        <v>2.2799999999999998</v>
      </c>
      <c r="EU46">
        <v>0.49</v>
      </c>
      <c r="EV46">
        <v>629.59</v>
      </c>
      <c r="EW46">
        <v>71.06</v>
      </c>
      <c r="EX46">
        <v>0.04</v>
      </c>
      <c r="EY46">
        <v>0</v>
      </c>
      <c r="FQ46">
        <v>0</v>
      </c>
      <c r="FR46">
        <f t="shared" si="46"/>
        <v>0</v>
      </c>
      <c r="FS46">
        <v>0</v>
      </c>
      <c r="FT46" t="s">
        <v>22</v>
      </c>
      <c r="FU46" t="s">
        <v>23</v>
      </c>
      <c r="FX46">
        <v>94.5</v>
      </c>
      <c r="FY46">
        <v>46.75</v>
      </c>
      <c r="GA46" t="s">
        <v>6</v>
      </c>
      <c r="GD46">
        <v>0</v>
      </c>
      <c r="GF46">
        <v>-1311473070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7"/>
        <v>0</v>
      </c>
      <c r="GM46">
        <f t="shared" si="48"/>
        <v>1052.08</v>
      </c>
      <c r="GN46">
        <f t="shared" si="49"/>
        <v>1052.08</v>
      </c>
      <c r="GO46">
        <f t="shared" si="50"/>
        <v>0</v>
      </c>
      <c r="GP46">
        <f t="shared" si="51"/>
        <v>0</v>
      </c>
      <c r="GR46">
        <v>0</v>
      </c>
      <c r="GS46">
        <v>3</v>
      </c>
      <c r="GT46">
        <v>0</v>
      </c>
      <c r="GU46" t="s">
        <v>6</v>
      </c>
      <c r="GV46">
        <f t="shared" si="52"/>
        <v>0</v>
      </c>
      <c r="GW46">
        <v>1</v>
      </c>
      <c r="GX46">
        <f t="shared" si="53"/>
        <v>0</v>
      </c>
      <c r="HA46">
        <v>0</v>
      </c>
      <c r="HB46">
        <v>0</v>
      </c>
      <c r="HC46">
        <f t="shared" si="54"/>
        <v>0</v>
      </c>
      <c r="IK46">
        <v>0</v>
      </c>
    </row>
    <row r="47" spans="1:245" x14ac:dyDescent="0.2">
      <c r="A47">
        <v>18</v>
      </c>
      <c r="B47">
        <v>1</v>
      </c>
      <c r="C47">
        <v>61</v>
      </c>
      <c r="E47" t="s">
        <v>120</v>
      </c>
      <c r="F47" t="s">
        <v>121</v>
      </c>
      <c r="G47" t="s">
        <v>122</v>
      </c>
      <c r="H47" t="s">
        <v>102</v>
      </c>
      <c r="I47">
        <f>I46*J47</f>
        <v>1.96875</v>
      </c>
      <c r="J47">
        <v>24.609375</v>
      </c>
      <c r="O47">
        <f t="shared" si="21"/>
        <v>233.86</v>
      </c>
      <c r="P47">
        <f t="shared" si="22"/>
        <v>233.86</v>
      </c>
      <c r="Q47">
        <f t="shared" si="23"/>
        <v>0</v>
      </c>
      <c r="R47">
        <f t="shared" si="24"/>
        <v>0</v>
      </c>
      <c r="S47">
        <f t="shared" si="25"/>
        <v>0</v>
      </c>
      <c r="T47">
        <f t="shared" si="26"/>
        <v>0</v>
      </c>
      <c r="U47">
        <f t="shared" si="27"/>
        <v>0</v>
      </c>
      <c r="V47">
        <f t="shared" si="28"/>
        <v>0</v>
      </c>
      <c r="W47">
        <f t="shared" si="29"/>
        <v>0</v>
      </c>
      <c r="X47">
        <f t="shared" si="30"/>
        <v>0</v>
      </c>
      <c r="Y47">
        <f t="shared" si="31"/>
        <v>0</v>
      </c>
      <c r="AA47">
        <v>16630606</v>
      </c>
      <c r="AB47">
        <f t="shared" si="32"/>
        <v>16.66</v>
      </c>
      <c r="AC47">
        <f t="shared" si="55"/>
        <v>16.66</v>
      </c>
      <c r="AD47">
        <f>ROUND((((ET47)-(EU47))+AE47),2)</f>
        <v>0</v>
      </c>
      <c r="AE47">
        <f>ROUND((EU47),2)</f>
        <v>0</v>
      </c>
      <c r="AF47">
        <f>ROUND((EV47),2)</f>
        <v>0</v>
      </c>
      <c r="AG47">
        <f t="shared" si="33"/>
        <v>0</v>
      </c>
      <c r="AH47">
        <f>(EW47)</f>
        <v>0</v>
      </c>
      <c r="AI47">
        <f>(EX47)</f>
        <v>0</v>
      </c>
      <c r="AJ47">
        <f t="shared" si="34"/>
        <v>0</v>
      </c>
      <c r="AK47">
        <v>16.66</v>
      </c>
      <c r="AL47">
        <v>16.66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95</v>
      </c>
      <c r="AU47">
        <v>47</v>
      </c>
      <c r="AV47">
        <v>1</v>
      </c>
      <c r="AW47">
        <v>1</v>
      </c>
      <c r="AZ47">
        <v>7.13</v>
      </c>
      <c r="BA47">
        <v>1</v>
      </c>
      <c r="BB47">
        <v>1</v>
      </c>
      <c r="BC47">
        <v>7.13</v>
      </c>
      <c r="BD47" t="s">
        <v>6</v>
      </c>
      <c r="BE47" t="s">
        <v>6</v>
      </c>
      <c r="BF47" t="s">
        <v>6</v>
      </c>
      <c r="BG47" t="s">
        <v>6</v>
      </c>
      <c r="BH47">
        <v>3</v>
      </c>
      <c r="BI47">
        <v>1</v>
      </c>
      <c r="BJ47" t="s">
        <v>123</v>
      </c>
      <c r="BM47">
        <v>15001</v>
      </c>
      <c r="BN47">
        <v>0</v>
      </c>
      <c r="BO47" t="s">
        <v>6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105</v>
      </c>
      <c r="CA47">
        <v>55</v>
      </c>
      <c r="CE47">
        <v>0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35"/>
        <v>233.86</v>
      </c>
      <c r="CQ47">
        <f t="shared" si="36"/>
        <v>118.78579999999999</v>
      </c>
      <c r="CR47">
        <f t="shared" si="37"/>
        <v>0</v>
      </c>
      <c r="CS47">
        <f t="shared" si="38"/>
        <v>0</v>
      </c>
      <c r="CT47">
        <f t="shared" si="39"/>
        <v>0</v>
      </c>
      <c r="CU47">
        <f t="shared" si="40"/>
        <v>0</v>
      </c>
      <c r="CV47">
        <f t="shared" si="41"/>
        <v>0</v>
      </c>
      <c r="CW47">
        <f t="shared" si="42"/>
        <v>0</v>
      </c>
      <c r="CX47">
        <f t="shared" si="43"/>
        <v>0</v>
      </c>
      <c r="CY47">
        <f t="shared" si="44"/>
        <v>0</v>
      </c>
      <c r="CZ47">
        <f t="shared" si="45"/>
        <v>0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1009</v>
      </c>
      <c r="DV47" t="s">
        <v>102</v>
      </c>
      <c r="DW47" t="s">
        <v>102</v>
      </c>
      <c r="DX47">
        <v>1</v>
      </c>
      <c r="EE47">
        <v>16609130</v>
      </c>
      <c r="EF47">
        <v>2</v>
      </c>
      <c r="EG47" t="s">
        <v>14</v>
      </c>
      <c r="EH47">
        <v>0</v>
      </c>
      <c r="EI47" t="s">
        <v>6</v>
      </c>
      <c r="EJ47">
        <v>1</v>
      </c>
      <c r="EK47">
        <v>15001</v>
      </c>
      <c r="EL47" t="s">
        <v>118</v>
      </c>
      <c r="EM47" t="s">
        <v>119</v>
      </c>
      <c r="EO47" t="s">
        <v>6</v>
      </c>
      <c r="EQ47">
        <v>0</v>
      </c>
      <c r="ER47">
        <v>16.66</v>
      </c>
      <c r="ES47">
        <v>16.66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6"/>
        <v>0</v>
      </c>
      <c r="FS47">
        <v>0</v>
      </c>
      <c r="FT47" t="s">
        <v>22</v>
      </c>
      <c r="FU47" t="s">
        <v>23</v>
      </c>
      <c r="FX47">
        <v>94.5</v>
      </c>
      <c r="FY47">
        <v>46.75</v>
      </c>
      <c r="GA47" t="s">
        <v>6</v>
      </c>
      <c r="GD47">
        <v>0</v>
      </c>
      <c r="GF47">
        <v>-134063439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7"/>
        <v>0</v>
      </c>
      <c r="GM47">
        <f t="shared" si="48"/>
        <v>233.86</v>
      </c>
      <c r="GN47">
        <f t="shared" si="49"/>
        <v>233.86</v>
      </c>
      <c r="GO47">
        <f t="shared" si="50"/>
        <v>0</v>
      </c>
      <c r="GP47">
        <f t="shared" si="51"/>
        <v>0</v>
      </c>
      <c r="GR47">
        <v>0</v>
      </c>
      <c r="GS47">
        <v>3</v>
      </c>
      <c r="GT47">
        <v>0</v>
      </c>
      <c r="GU47" t="s">
        <v>6</v>
      </c>
      <c r="GV47">
        <f t="shared" si="52"/>
        <v>0</v>
      </c>
      <c r="GW47">
        <v>1</v>
      </c>
      <c r="GX47">
        <f t="shared" si="53"/>
        <v>0</v>
      </c>
      <c r="HA47">
        <v>0</v>
      </c>
      <c r="HB47">
        <v>0</v>
      </c>
      <c r="HC47">
        <f t="shared" si="54"/>
        <v>0</v>
      </c>
      <c r="IK47">
        <v>0</v>
      </c>
    </row>
    <row r="48" spans="1:245" x14ac:dyDescent="0.2">
      <c r="A48">
        <v>17</v>
      </c>
      <c r="B48">
        <v>1</v>
      </c>
      <c r="C48">
        <f>ROW(SmtRes!A67)</f>
        <v>67</v>
      </c>
      <c r="D48">
        <f>ROW(EtalonRes!A76)</f>
        <v>76</v>
      </c>
      <c r="E48" t="s">
        <v>124</v>
      </c>
      <c r="F48" t="s">
        <v>125</v>
      </c>
      <c r="G48" t="s">
        <v>126</v>
      </c>
      <c r="H48" t="s">
        <v>127</v>
      </c>
      <c r="I48">
        <v>2</v>
      </c>
      <c r="J48">
        <v>0</v>
      </c>
      <c r="O48">
        <f t="shared" si="21"/>
        <v>228.45</v>
      </c>
      <c r="P48">
        <f t="shared" si="22"/>
        <v>10.27</v>
      </c>
      <c r="Q48">
        <f t="shared" si="23"/>
        <v>37.65</v>
      </c>
      <c r="R48">
        <f t="shared" si="24"/>
        <v>0</v>
      </c>
      <c r="S48">
        <f t="shared" si="25"/>
        <v>180.53</v>
      </c>
      <c r="T48">
        <f t="shared" si="26"/>
        <v>0</v>
      </c>
      <c r="U48">
        <f t="shared" si="27"/>
        <v>2.5529999999999999</v>
      </c>
      <c r="V48">
        <f t="shared" si="28"/>
        <v>0</v>
      </c>
      <c r="W48">
        <f t="shared" si="29"/>
        <v>0</v>
      </c>
      <c r="X48">
        <f t="shared" si="30"/>
        <v>146.22999999999999</v>
      </c>
      <c r="Y48">
        <f t="shared" si="31"/>
        <v>129.97999999999999</v>
      </c>
      <c r="AA48">
        <v>16630606</v>
      </c>
      <c r="AB48">
        <f t="shared" si="32"/>
        <v>16.02</v>
      </c>
      <c r="AC48">
        <f t="shared" si="55"/>
        <v>0.72</v>
      </c>
      <c r="AD48">
        <f>ROUND(((((ET48*1.25))-((EU48*1.25)))+AE48),2)</f>
        <v>2.64</v>
      </c>
      <c r="AE48">
        <f>ROUND(((EU48*1.25)),2)</f>
        <v>0</v>
      </c>
      <c r="AF48">
        <f>ROUND(((EV48*1.15)),2)</f>
        <v>12.66</v>
      </c>
      <c r="AG48">
        <f t="shared" si="33"/>
        <v>0</v>
      </c>
      <c r="AH48">
        <f>((EW48*1.15))</f>
        <v>1.2765</v>
      </c>
      <c r="AI48">
        <f>((EX48*1.25))</f>
        <v>0</v>
      </c>
      <c r="AJ48">
        <f t="shared" si="34"/>
        <v>0</v>
      </c>
      <c r="AK48">
        <v>13.84</v>
      </c>
      <c r="AL48">
        <v>0.72</v>
      </c>
      <c r="AM48">
        <v>2.11</v>
      </c>
      <c r="AN48">
        <v>0</v>
      </c>
      <c r="AO48">
        <v>11.01</v>
      </c>
      <c r="AP48">
        <v>0</v>
      </c>
      <c r="AQ48">
        <v>1.1100000000000001</v>
      </c>
      <c r="AR48">
        <v>0</v>
      </c>
      <c r="AS48">
        <v>0</v>
      </c>
      <c r="AT48">
        <v>81</v>
      </c>
      <c r="AU48">
        <v>72</v>
      </c>
      <c r="AV48">
        <v>1</v>
      </c>
      <c r="AW48">
        <v>1</v>
      </c>
      <c r="AZ48">
        <v>7.13</v>
      </c>
      <c r="BA48">
        <v>7.13</v>
      </c>
      <c r="BB48">
        <v>7.13</v>
      </c>
      <c r="BC48">
        <v>7.13</v>
      </c>
      <c r="BD48" t="s">
        <v>6</v>
      </c>
      <c r="BE48" t="s">
        <v>6</v>
      </c>
      <c r="BF48" t="s">
        <v>6</v>
      </c>
      <c r="BG48" t="s">
        <v>6</v>
      </c>
      <c r="BH48">
        <v>0</v>
      </c>
      <c r="BI48">
        <v>1</v>
      </c>
      <c r="BJ48" t="s">
        <v>128</v>
      </c>
      <c r="BM48">
        <v>9001</v>
      </c>
      <c r="BN48">
        <v>0</v>
      </c>
      <c r="BO48" t="s">
        <v>6</v>
      </c>
      <c r="BP48">
        <v>0</v>
      </c>
      <c r="BQ48">
        <v>2</v>
      </c>
      <c r="BR48">
        <v>0</v>
      </c>
      <c r="BS48">
        <v>7.13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6</v>
      </c>
      <c r="BZ48">
        <v>90</v>
      </c>
      <c r="CA48">
        <v>85</v>
      </c>
      <c r="CE48">
        <v>0</v>
      </c>
      <c r="CF48">
        <v>0</v>
      </c>
      <c r="CG48">
        <v>0</v>
      </c>
      <c r="CM48">
        <v>0</v>
      </c>
      <c r="CN48" t="s">
        <v>1758</v>
      </c>
      <c r="CO48">
        <v>0</v>
      </c>
      <c r="CP48">
        <f t="shared" si="35"/>
        <v>228.45</v>
      </c>
      <c r="CQ48">
        <f t="shared" si="36"/>
        <v>5.1335999999999995</v>
      </c>
      <c r="CR48">
        <f t="shared" si="37"/>
        <v>18.8232</v>
      </c>
      <c r="CS48">
        <f t="shared" si="38"/>
        <v>0</v>
      </c>
      <c r="CT48">
        <f t="shared" si="39"/>
        <v>90.265799999999999</v>
      </c>
      <c r="CU48">
        <f t="shared" si="40"/>
        <v>0</v>
      </c>
      <c r="CV48">
        <f t="shared" si="41"/>
        <v>1.2765</v>
      </c>
      <c r="CW48">
        <f t="shared" si="42"/>
        <v>0</v>
      </c>
      <c r="CX48">
        <f t="shared" si="43"/>
        <v>0</v>
      </c>
      <c r="CY48">
        <f t="shared" si="44"/>
        <v>146.22929999999999</v>
      </c>
      <c r="CZ48">
        <f t="shared" si="45"/>
        <v>129.98159999999999</v>
      </c>
      <c r="DC48" t="s">
        <v>6</v>
      </c>
      <c r="DD48" t="s">
        <v>6</v>
      </c>
      <c r="DE48" t="s">
        <v>81</v>
      </c>
      <c r="DF48" t="s">
        <v>81</v>
      </c>
      <c r="DG48" t="s">
        <v>82</v>
      </c>
      <c r="DH48" t="s">
        <v>6</v>
      </c>
      <c r="DI48" t="s">
        <v>82</v>
      </c>
      <c r="DJ48" t="s">
        <v>81</v>
      </c>
      <c r="DK48" t="s">
        <v>6</v>
      </c>
      <c r="DL48" t="s">
        <v>6</v>
      </c>
      <c r="DM48" t="s">
        <v>6</v>
      </c>
      <c r="DN48">
        <v>0</v>
      </c>
      <c r="DO48">
        <v>0</v>
      </c>
      <c r="DP48">
        <v>1</v>
      </c>
      <c r="DQ48">
        <v>1</v>
      </c>
      <c r="DU48">
        <v>1013</v>
      </c>
      <c r="DV48" t="s">
        <v>127</v>
      </c>
      <c r="DW48" t="s">
        <v>127</v>
      </c>
      <c r="DX48">
        <v>1</v>
      </c>
      <c r="EE48">
        <v>16609106</v>
      </c>
      <c r="EF48">
        <v>2</v>
      </c>
      <c r="EG48" t="s">
        <v>14</v>
      </c>
      <c r="EH48">
        <v>0</v>
      </c>
      <c r="EI48" t="s">
        <v>6</v>
      </c>
      <c r="EJ48">
        <v>1</v>
      </c>
      <c r="EK48">
        <v>9001</v>
      </c>
      <c r="EL48" t="s">
        <v>108</v>
      </c>
      <c r="EM48" t="s">
        <v>109</v>
      </c>
      <c r="EO48" t="s">
        <v>83</v>
      </c>
      <c r="EQ48">
        <v>131072</v>
      </c>
      <c r="ER48">
        <v>13.84</v>
      </c>
      <c r="ES48">
        <v>0.72</v>
      </c>
      <c r="ET48">
        <v>2.11</v>
      </c>
      <c r="EU48">
        <v>0</v>
      </c>
      <c r="EV48">
        <v>11.01</v>
      </c>
      <c r="EW48">
        <v>1.1100000000000001</v>
      </c>
      <c r="EX48">
        <v>0</v>
      </c>
      <c r="EY48">
        <v>0</v>
      </c>
      <c r="FQ48">
        <v>0</v>
      </c>
      <c r="FR48">
        <f t="shared" si="46"/>
        <v>0</v>
      </c>
      <c r="FS48">
        <v>0</v>
      </c>
      <c r="FT48" t="s">
        <v>22</v>
      </c>
      <c r="FU48" t="s">
        <v>23</v>
      </c>
      <c r="FX48">
        <v>81</v>
      </c>
      <c r="FY48">
        <v>72.25</v>
      </c>
      <c r="GA48" t="s">
        <v>6</v>
      </c>
      <c r="GD48">
        <v>0</v>
      </c>
      <c r="GF48">
        <v>-418508909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7"/>
        <v>0</v>
      </c>
      <c r="GM48">
        <f t="shared" si="48"/>
        <v>504.66</v>
      </c>
      <c r="GN48">
        <f t="shared" si="49"/>
        <v>504.66</v>
      </c>
      <c r="GO48">
        <f t="shared" si="50"/>
        <v>0</v>
      </c>
      <c r="GP48">
        <f t="shared" si="51"/>
        <v>0</v>
      </c>
      <c r="GR48">
        <v>0</v>
      </c>
      <c r="GS48">
        <v>3</v>
      </c>
      <c r="GT48">
        <v>0</v>
      </c>
      <c r="GU48" t="s">
        <v>6</v>
      </c>
      <c r="GV48">
        <f t="shared" si="52"/>
        <v>0</v>
      </c>
      <c r="GW48">
        <v>1</v>
      </c>
      <c r="GX48">
        <f t="shared" si="53"/>
        <v>0</v>
      </c>
      <c r="HA48">
        <v>0</v>
      </c>
      <c r="HB48">
        <v>0</v>
      </c>
      <c r="HC48">
        <f t="shared" si="54"/>
        <v>0</v>
      </c>
      <c r="IK48">
        <v>0</v>
      </c>
    </row>
    <row r="49" spans="1:245" x14ac:dyDescent="0.2">
      <c r="A49">
        <v>18</v>
      </c>
      <c r="B49">
        <v>1</v>
      </c>
      <c r="C49">
        <v>65</v>
      </c>
      <c r="E49" t="s">
        <v>129</v>
      </c>
      <c r="F49" t="s">
        <v>130</v>
      </c>
      <c r="G49" t="s">
        <v>131</v>
      </c>
      <c r="H49" t="s">
        <v>132</v>
      </c>
      <c r="I49">
        <f>I48*J49</f>
        <v>2</v>
      </c>
      <c r="J49">
        <v>1</v>
      </c>
      <c r="O49">
        <f t="shared" si="21"/>
        <v>5293.31</v>
      </c>
      <c r="P49">
        <f t="shared" si="22"/>
        <v>5293.31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16630606</v>
      </c>
      <c r="AB49">
        <f t="shared" si="32"/>
        <v>371.2</v>
      </c>
      <c r="AC49">
        <f t="shared" si="55"/>
        <v>371.2</v>
      </c>
      <c r="AD49">
        <f>ROUND((((ET49)-(EU49))+AE49),2)</f>
        <v>0</v>
      </c>
      <c r="AE49">
        <f>ROUND((EU49),2)</f>
        <v>0</v>
      </c>
      <c r="AF49">
        <f>ROUND((EV49),2)</f>
        <v>0</v>
      </c>
      <c r="AG49">
        <f t="shared" si="33"/>
        <v>0</v>
      </c>
      <c r="AH49">
        <f>(EW49)</f>
        <v>0</v>
      </c>
      <c r="AI49">
        <f>(EX49)</f>
        <v>0</v>
      </c>
      <c r="AJ49">
        <f t="shared" si="34"/>
        <v>0</v>
      </c>
      <c r="AK49">
        <v>371.2</v>
      </c>
      <c r="AL49">
        <v>371.2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81</v>
      </c>
      <c r="AU49">
        <v>72</v>
      </c>
      <c r="AV49">
        <v>1</v>
      </c>
      <c r="AW49">
        <v>1</v>
      </c>
      <c r="AZ49">
        <v>7.13</v>
      </c>
      <c r="BA49">
        <v>1</v>
      </c>
      <c r="BB49">
        <v>1</v>
      </c>
      <c r="BC49">
        <v>7.13</v>
      </c>
      <c r="BD49" t="s">
        <v>6</v>
      </c>
      <c r="BE49" t="s">
        <v>6</v>
      </c>
      <c r="BF49" t="s">
        <v>6</v>
      </c>
      <c r="BG49" t="s">
        <v>6</v>
      </c>
      <c r="BH49">
        <v>3</v>
      </c>
      <c r="BI49">
        <v>1</v>
      </c>
      <c r="BJ49" t="s">
        <v>133</v>
      </c>
      <c r="BM49">
        <v>9001</v>
      </c>
      <c r="BN49">
        <v>0</v>
      </c>
      <c r="BO49" t="s">
        <v>6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90</v>
      </c>
      <c r="CA49">
        <v>85</v>
      </c>
      <c r="CE49">
        <v>0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35"/>
        <v>5293.31</v>
      </c>
      <c r="CQ49">
        <f t="shared" si="36"/>
        <v>2646.6559999999999</v>
      </c>
      <c r="CR49">
        <f t="shared" si="37"/>
        <v>0</v>
      </c>
      <c r="CS49">
        <f t="shared" si="38"/>
        <v>0</v>
      </c>
      <c r="CT49">
        <f t="shared" si="39"/>
        <v>0</v>
      </c>
      <c r="CU49">
        <f t="shared" si="40"/>
        <v>0</v>
      </c>
      <c r="CV49">
        <f t="shared" si="41"/>
        <v>0</v>
      </c>
      <c r="CW49">
        <f t="shared" si="42"/>
        <v>0</v>
      </c>
      <c r="CX49">
        <f t="shared" si="43"/>
        <v>0</v>
      </c>
      <c r="CY49">
        <f t="shared" si="44"/>
        <v>0</v>
      </c>
      <c r="CZ49">
        <f t="shared" si="45"/>
        <v>0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1010</v>
      </c>
      <c r="DV49" t="s">
        <v>132</v>
      </c>
      <c r="DW49" t="s">
        <v>132</v>
      </c>
      <c r="DX49">
        <v>1</v>
      </c>
      <c r="EE49">
        <v>16609106</v>
      </c>
      <c r="EF49">
        <v>2</v>
      </c>
      <c r="EG49" t="s">
        <v>14</v>
      </c>
      <c r="EH49">
        <v>0</v>
      </c>
      <c r="EI49" t="s">
        <v>6</v>
      </c>
      <c r="EJ49">
        <v>1</v>
      </c>
      <c r="EK49">
        <v>9001</v>
      </c>
      <c r="EL49" t="s">
        <v>108</v>
      </c>
      <c r="EM49" t="s">
        <v>109</v>
      </c>
      <c r="EO49" t="s">
        <v>6</v>
      </c>
      <c r="EQ49">
        <v>0</v>
      </c>
      <c r="ER49">
        <v>371.2</v>
      </c>
      <c r="ES49">
        <v>371.2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6"/>
        <v>0</v>
      </c>
      <c r="FS49">
        <v>0</v>
      </c>
      <c r="FT49" t="s">
        <v>22</v>
      </c>
      <c r="FU49" t="s">
        <v>23</v>
      </c>
      <c r="FX49">
        <v>81</v>
      </c>
      <c r="FY49">
        <v>72.25</v>
      </c>
      <c r="GA49" t="s">
        <v>6</v>
      </c>
      <c r="GD49">
        <v>0</v>
      </c>
      <c r="GF49">
        <v>-462216632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7"/>
        <v>0</v>
      </c>
      <c r="GM49">
        <f t="shared" si="48"/>
        <v>5293.31</v>
      </c>
      <c r="GN49">
        <f t="shared" si="49"/>
        <v>5293.31</v>
      </c>
      <c r="GO49">
        <f t="shared" si="50"/>
        <v>0</v>
      </c>
      <c r="GP49">
        <f t="shared" si="51"/>
        <v>0</v>
      </c>
      <c r="GR49">
        <v>0</v>
      </c>
      <c r="GS49">
        <v>3</v>
      </c>
      <c r="GT49">
        <v>0</v>
      </c>
      <c r="GU49" t="s">
        <v>6</v>
      </c>
      <c r="GV49">
        <f t="shared" si="52"/>
        <v>0</v>
      </c>
      <c r="GW49">
        <v>1</v>
      </c>
      <c r="GX49">
        <f t="shared" si="53"/>
        <v>0</v>
      </c>
      <c r="HA49">
        <v>0</v>
      </c>
      <c r="HB49">
        <v>0</v>
      </c>
      <c r="HC49">
        <f t="shared" si="54"/>
        <v>0</v>
      </c>
      <c r="IK49">
        <v>0</v>
      </c>
    </row>
    <row r="50" spans="1:245" x14ac:dyDescent="0.2">
      <c r="A50">
        <v>17</v>
      </c>
      <c r="B50">
        <v>1</v>
      </c>
      <c r="C50">
        <f>ROW(SmtRes!A75)</f>
        <v>75</v>
      </c>
      <c r="D50">
        <f>ROW(EtalonRes!A84)</f>
        <v>84</v>
      </c>
      <c r="E50" t="s">
        <v>134</v>
      </c>
      <c r="F50" t="s">
        <v>135</v>
      </c>
      <c r="G50" t="s">
        <v>136</v>
      </c>
      <c r="H50" t="s">
        <v>18</v>
      </c>
      <c r="I50">
        <f>ROUND(18.8/100,9)</f>
        <v>0.188</v>
      </c>
      <c r="J50">
        <v>0</v>
      </c>
      <c r="O50">
        <f t="shared" si="21"/>
        <v>986.48</v>
      </c>
      <c r="P50">
        <f t="shared" si="22"/>
        <v>375.73</v>
      </c>
      <c r="Q50">
        <f t="shared" si="23"/>
        <v>17.57</v>
      </c>
      <c r="R50">
        <f t="shared" si="24"/>
        <v>3.36</v>
      </c>
      <c r="S50">
        <f t="shared" si="25"/>
        <v>593.17999999999995</v>
      </c>
      <c r="T50">
        <f t="shared" si="26"/>
        <v>0</v>
      </c>
      <c r="U50">
        <f t="shared" si="27"/>
        <v>9.2749799999999993</v>
      </c>
      <c r="V50">
        <f t="shared" si="28"/>
        <v>3.9950000000000006E-2</v>
      </c>
      <c r="W50">
        <f t="shared" si="29"/>
        <v>0</v>
      </c>
      <c r="X50">
        <f t="shared" si="30"/>
        <v>566.71</v>
      </c>
      <c r="Y50">
        <f t="shared" si="31"/>
        <v>280.37</v>
      </c>
      <c r="AA50">
        <v>16630606</v>
      </c>
      <c r="AB50">
        <f t="shared" si="32"/>
        <v>735.94</v>
      </c>
      <c r="AC50">
        <f t="shared" si="55"/>
        <v>280.3</v>
      </c>
      <c r="AD50">
        <f>ROUND(((((ET50*1.25))-((EU50*1.25)))+AE50),2)</f>
        <v>13.11</v>
      </c>
      <c r="AE50">
        <f>ROUND(((EU50*1.25)),2)</f>
        <v>2.5099999999999998</v>
      </c>
      <c r="AF50">
        <f>ROUND(((EV50*1.15)),2)</f>
        <v>442.53</v>
      </c>
      <c r="AG50">
        <f t="shared" si="33"/>
        <v>0</v>
      </c>
      <c r="AH50">
        <f>((EW50*1.15))</f>
        <v>49.334999999999994</v>
      </c>
      <c r="AI50">
        <f>((EX50*1.25))</f>
        <v>0.21250000000000002</v>
      </c>
      <c r="AJ50">
        <f t="shared" si="34"/>
        <v>0</v>
      </c>
      <c r="AK50">
        <v>675.6</v>
      </c>
      <c r="AL50">
        <v>280.3</v>
      </c>
      <c r="AM50">
        <v>10.49</v>
      </c>
      <c r="AN50">
        <v>2.0099999999999998</v>
      </c>
      <c r="AO50">
        <v>384.81</v>
      </c>
      <c r="AP50">
        <v>0</v>
      </c>
      <c r="AQ50">
        <v>42.9</v>
      </c>
      <c r="AR50">
        <v>0.17</v>
      </c>
      <c r="AS50">
        <v>0</v>
      </c>
      <c r="AT50">
        <v>95</v>
      </c>
      <c r="AU50">
        <v>47</v>
      </c>
      <c r="AV50">
        <v>1</v>
      </c>
      <c r="AW50">
        <v>1</v>
      </c>
      <c r="AZ50">
        <v>7.13</v>
      </c>
      <c r="BA50">
        <v>7.13</v>
      </c>
      <c r="BB50">
        <v>7.13</v>
      </c>
      <c r="BC50">
        <v>7.13</v>
      </c>
      <c r="BD50" t="s">
        <v>6</v>
      </c>
      <c r="BE50" t="s">
        <v>6</v>
      </c>
      <c r="BF50" t="s">
        <v>6</v>
      </c>
      <c r="BG50" t="s">
        <v>6</v>
      </c>
      <c r="BH50">
        <v>0</v>
      </c>
      <c r="BI50">
        <v>1</v>
      </c>
      <c r="BJ50" t="s">
        <v>137</v>
      </c>
      <c r="BM50">
        <v>15001</v>
      </c>
      <c r="BN50">
        <v>0</v>
      </c>
      <c r="BO50" t="s">
        <v>6</v>
      </c>
      <c r="BP50">
        <v>0</v>
      </c>
      <c r="BQ50">
        <v>2</v>
      </c>
      <c r="BR50">
        <v>0</v>
      </c>
      <c r="BS50">
        <v>7.13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6</v>
      </c>
      <c r="BZ50">
        <v>105</v>
      </c>
      <c r="CA50">
        <v>55</v>
      </c>
      <c r="CE50">
        <v>0</v>
      </c>
      <c r="CF50">
        <v>0</v>
      </c>
      <c r="CG50">
        <v>0</v>
      </c>
      <c r="CM50">
        <v>0</v>
      </c>
      <c r="CN50" t="s">
        <v>1758</v>
      </c>
      <c r="CO50">
        <v>0</v>
      </c>
      <c r="CP50">
        <f t="shared" si="35"/>
        <v>986.48</v>
      </c>
      <c r="CQ50">
        <f t="shared" si="36"/>
        <v>1998.539</v>
      </c>
      <c r="CR50">
        <f t="shared" si="37"/>
        <v>93.474299999999999</v>
      </c>
      <c r="CS50">
        <f t="shared" si="38"/>
        <v>17.896299999999997</v>
      </c>
      <c r="CT50">
        <f t="shared" si="39"/>
        <v>3155.2388999999998</v>
      </c>
      <c r="CU50">
        <f t="shared" si="40"/>
        <v>0</v>
      </c>
      <c r="CV50">
        <f t="shared" si="41"/>
        <v>49.334999999999994</v>
      </c>
      <c r="CW50">
        <f t="shared" si="42"/>
        <v>0.21250000000000002</v>
      </c>
      <c r="CX50">
        <f t="shared" si="43"/>
        <v>0</v>
      </c>
      <c r="CY50">
        <f t="shared" si="44"/>
        <v>566.71299999999997</v>
      </c>
      <c r="CZ50">
        <f t="shared" si="45"/>
        <v>280.37379999999996</v>
      </c>
      <c r="DC50" t="s">
        <v>6</v>
      </c>
      <c r="DD50" t="s">
        <v>6</v>
      </c>
      <c r="DE50" t="s">
        <v>81</v>
      </c>
      <c r="DF50" t="s">
        <v>81</v>
      </c>
      <c r="DG50" t="s">
        <v>82</v>
      </c>
      <c r="DH50" t="s">
        <v>6</v>
      </c>
      <c r="DI50" t="s">
        <v>82</v>
      </c>
      <c r="DJ50" t="s">
        <v>81</v>
      </c>
      <c r="DK50" t="s">
        <v>6</v>
      </c>
      <c r="DL50" t="s">
        <v>6</v>
      </c>
      <c r="DM50" t="s">
        <v>6</v>
      </c>
      <c r="DN50">
        <v>0</v>
      </c>
      <c r="DO50">
        <v>0</v>
      </c>
      <c r="DP50">
        <v>1</v>
      </c>
      <c r="DQ50">
        <v>1</v>
      </c>
      <c r="DU50">
        <v>1005</v>
      </c>
      <c r="DV50" t="s">
        <v>18</v>
      </c>
      <c r="DW50" t="s">
        <v>18</v>
      </c>
      <c r="DX50">
        <v>100</v>
      </c>
      <c r="EE50">
        <v>16609130</v>
      </c>
      <c r="EF50">
        <v>2</v>
      </c>
      <c r="EG50" t="s">
        <v>14</v>
      </c>
      <c r="EH50">
        <v>0</v>
      </c>
      <c r="EI50" t="s">
        <v>6</v>
      </c>
      <c r="EJ50">
        <v>1</v>
      </c>
      <c r="EK50">
        <v>15001</v>
      </c>
      <c r="EL50" t="s">
        <v>118</v>
      </c>
      <c r="EM50" t="s">
        <v>119</v>
      </c>
      <c r="EO50" t="s">
        <v>83</v>
      </c>
      <c r="EQ50">
        <v>131072</v>
      </c>
      <c r="ER50">
        <v>675.6</v>
      </c>
      <c r="ES50">
        <v>280.3</v>
      </c>
      <c r="ET50">
        <v>10.49</v>
      </c>
      <c r="EU50">
        <v>2.0099999999999998</v>
      </c>
      <c r="EV50">
        <v>384.81</v>
      </c>
      <c r="EW50">
        <v>42.9</v>
      </c>
      <c r="EX50">
        <v>0.17</v>
      </c>
      <c r="EY50">
        <v>0</v>
      </c>
      <c r="FQ50">
        <v>0</v>
      </c>
      <c r="FR50">
        <f t="shared" si="46"/>
        <v>0</v>
      </c>
      <c r="FS50">
        <v>0</v>
      </c>
      <c r="FT50" t="s">
        <v>22</v>
      </c>
      <c r="FU50" t="s">
        <v>23</v>
      </c>
      <c r="FX50">
        <v>94.5</v>
      </c>
      <c r="FY50">
        <v>46.75</v>
      </c>
      <c r="GA50" t="s">
        <v>6</v>
      </c>
      <c r="GD50">
        <v>0</v>
      </c>
      <c r="GF50">
        <v>1944878748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7"/>
        <v>0</v>
      </c>
      <c r="GM50">
        <f t="shared" si="48"/>
        <v>1833.56</v>
      </c>
      <c r="GN50">
        <f t="shared" si="49"/>
        <v>1833.56</v>
      </c>
      <c r="GO50">
        <f t="shared" si="50"/>
        <v>0</v>
      </c>
      <c r="GP50">
        <f t="shared" si="51"/>
        <v>0</v>
      </c>
      <c r="GR50">
        <v>0</v>
      </c>
      <c r="GS50">
        <v>3</v>
      </c>
      <c r="GT50">
        <v>0</v>
      </c>
      <c r="GU50" t="s">
        <v>6</v>
      </c>
      <c r="GV50">
        <f t="shared" si="52"/>
        <v>0</v>
      </c>
      <c r="GW50">
        <v>1</v>
      </c>
      <c r="GX50">
        <f t="shared" si="53"/>
        <v>0</v>
      </c>
      <c r="HA50">
        <v>0</v>
      </c>
      <c r="HB50">
        <v>0</v>
      </c>
      <c r="HC50">
        <f t="shared" si="54"/>
        <v>0</v>
      </c>
      <c r="IK50">
        <v>0</v>
      </c>
    </row>
    <row r="51" spans="1:245" x14ac:dyDescent="0.2">
      <c r="A51">
        <v>18</v>
      </c>
      <c r="B51">
        <v>1</v>
      </c>
      <c r="C51">
        <v>74</v>
      </c>
      <c r="E51" t="s">
        <v>138</v>
      </c>
      <c r="F51" t="s">
        <v>139</v>
      </c>
      <c r="G51" t="s">
        <v>140</v>
      </c>
      <c r="H51" t="s">
        <v>98</v>
      </c>
      <c r="I51">
        <f>I50*J51</f>
        <v>1.1844E-2</v>
      </c>
      <c r="J51">
        <v>6.3E-2</v>
      </c>
      <c r="O51">
        <f t="shared" si="21"/>
        <v>1307.3399999999999</v>
      </c>
      <c r="P51">
        <f t="shared" si="22"/>
        <v>1307.3399999999999</v>
      </c>
      <c r="Q51">
        <f t="shared" si="23"/>
        <v>0</v>
      </c>
      <c r="R51">
        <f t="shared" si="24"/>
        <v>0</v>
      </c>
      <c r="S51">
        <f t="shared" si="25"/>
        <v>0</v>
      </c>
      <c r="T51">
        <f t="shared" si="26"/>
        <v>0</v>
      </c>
      <c r="U51">
        <f t="shared" si="27"/>
        <v>0</v>
      </c>
      <c r="V51">
        <f t="shared" si="28"/>
        <v>0</v>
      </c>
      <c r="W51">
        <f t="shared" si="29"/>
        <v>0</v>
      </c>
      <c r="X51">
        <f t="shared" si="30"/>
        <v>0</v>
      </c>
      <c r="Y51">
        <f t="shared" si="31"/>
        <v>0</v>
      </c>
      <c r="AA51">
        <v>16630606</v>
      </c>
      <c r="AB51">
        <f t="shared" si="32"/>
        <v>15481</v>
      </c>
      <c r="AC51">
        <f t="shared" si="55"/>
        <v>15481</v>
      </c>
      <c r="AD51">
        <f>ROUND((((ET51)-(EU51))+AE51),2)</f>
        <v>0</v>
      </c>
      <c r="AE51">
        <f>ROUND((EU51),2)</f>
        <v>0</v>
      </c>
      <c r="AF51">
        <f>ROUND((EV51),2)</f>
        <v>0</v>
      </c>
      <c r="AG51">
        <f t="shared" si="33"/>
        <v>0</v>
      </c>
      <c r="AH51">
        <f>(EW51)</f>
        <v>0</v>
      </c>
      <c r="AI51">
        <f>(EX51)</f>
        <v>0</v>
      </c>
      <c r="AJ51">
        <f t="shared" si="34"/>
        <v>0</v>
      </c>
      <c r="AK51">
        <v>15481</v>
      </c>
      <c r="AL51">
        <v>15481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95</v>
      </c>
      <c r="AU51">
        <v>47</v>
      </c>
      <c r="AV51">
        <v>1</v>
      </c>
      <c r="AW51">
        <v>1</v>
      </c>
      <c r="AZ51">
        <v>7.13</v>
      </c>
      <c r="BA51">
        <v>1</v>
      </c>
      <c r="BB51">
        <v>1</v>
      </c>
      <c r="BC51">
        <v>7.13</v>
      </c>
      <c r="BD51" t="s">
        <v>6</v>
      </c>
      <c r="BE51" t="s">
        <v>6</v>
      </c>
      <c r="BF51" t="s">
        <v>6</v>
      </c>
      <c r="BG51" t="s">
        <v>6</v>
      </c>
      <c r="BH51">
        <v>3</v>
      </c>
      <c r="BI51">
        <v>1</v>
      </c>
      <c r="BJ51" t="s">
        <v>141</v>
      </c>
      <c r="BM51">
        <v>15001</v>
      </c>
      <c r="BN51">
        <v>0</v>
      </c>
      <c r="BO51" t="s">
        <v>6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105</v>
      </c>
      <c r="CA51">
        <v>55</v>
      </c>
      <c r="CE51">
        <v>0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35"/>
        <v>1307.3399999999999</v>
      </c>
      <c r="CQ51">
        <f t="shared" si="36"/>
        <v>110379.53</v>
      </c>
      <c r="CR51">
        <f t="shared" si="37"/>
        <v>0</v>
      </c>
      <c r="CS51">
        <f t="shared" si="38"/>
        <v>0</v>
      </c>
      <c r="CT51">
        <f t="shared" si="39"/>
        <v>0</v>
      </c>
      <c r="CU51">
        <f t="shared" si="40"/>
        <v>0</v>
      </c>
      <c r="CV51">
        <f t="shared" si="41"/>
        <v>0</v>
      </c>
      <c r="CW51">
        <f t="shared" si="42"/>
        <v>0</v>
      </c>
      <c r="CX51">
        <f t="shared" si="43"/>
        <v>0</v>
      </c>
      <c r="CY51">
        <f t="shared" si="44"/>
        <v>0</v>
      </c>
      <c r="CZ51">
        <f t="shared" si="45"/>
        <v>0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1009</v>
      </c>
      <c r="DV51" t="s">
        <v>98</v>
      </c>
      <c r="DW51" t="s">
        <v>98</v>
      </c>
      <c r="DX51">
        <v>1000</v>
      </c>
      <c r="EE51">
        <v>16609130</v>
      </c>
      <c r="EF51">
        <v>2</v>
      </c>
      <c r="EG51" t="s">
        <v>14</v>
      </c>
      <c r="EH51">
        <v>0</v>
      </c>
      <c r="EI51" t="s">
        <v>6</v>
      </c>
      <c r="EJ51">
        <v>1</v>
      </c>
      <c r="EK51">
        <v>15001</v>
      </c>
      <c r="EL51" t="s">
        <v>118</v>
      </c>
      <c r="EM51" t="s">
        <v>119</v>
      </c>
      <c r="EO51" t="s">
        <v>6</v>
      </c>
      <c r="EQ51">
        <v>0</v>
      </c>
      <c r="ER51">
        <v>15481</v>
      </c>
      <c r="ES51">
        <v>15481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6"/>
        <v>0</v>
      </c>
      <c r="FS51">
        <v>0</v>
      </c>
      <c r="FT51" t="s">
        <v>22</v>
      </c>
      <c r="FU51" t="s">
        <v>23</v>
      </c>
      <c r="FX51">
        <v>94.5</v>
      </c>
      <c r="FY51">
        <v>46.75</v>
      </c>
      <c r="GA51" t="s">
        <v>6</v>
      </c>
      <c r="GD51">
        <v>0</v>
      </c>
      <c r="GF51">
        <v>654700009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7"/>
        <v>0</v>
      </c>
      <c r="GM51">
        <f t="shared" si="48"/>
        <v>1307.3399999999999</v>
      </c>
      <c r="GN51">
        <f t="shared" si="49"/>
        <v>1307.3399999999999</v>
      </c>
      <c r="GO51">
        <f t="shared" si="50"/>
        <v>0</v>
      </c>
      <c r="GP51">
        <f t="shared" si="51"/>
        <v>0</v>
      </c>
      <c r="GR51">
        <v>0</v>
      </c>
      <c r="GS51">
        <v>3</v>
      </c>
      <c r="GT51">
        <v>0</v>
      </c>
      <c r="GU51" t="s">
        <v>6</v>
      </c>
      <c r="GV51">
        <f t="shared" si="52"/>
        <v>0</v>
      </c>
      <c r="GW51">
        <v>1</v>
      </c>
      <c r="GX51">
        <f t="shared" si="53"/>
        <v>0</v>
      </c>
      <c r="HA51">
        <v>0</v>
      </c>
      <c r="HB51">
        <v>0</v>
      </c>
      <c r="HC51">
        <f t="shared" si="54"/>
        <v>0</v>
      </c>
      <c r="IK51">
        <v>0</v>
      </c>
    </row>
    <row r="52" spans="1:245" x14ac:dyDescent="0.2">
      <c r="A52">
        <v>17</v>
      </c>
      <c r="B52">
        <v>1</v>
      </c>
      <c r="C52">
        <f>ROW(SmtRes!A79)</f>
        <v>79</v>
      </c>
      <c r="D52">
        <f>ROW(EtalonRes!A87)</f>
        <v>87</v>
      </c>
      <c r="E52" t="s">
        <v>142</v>
      </c>
      <c r="F52" t="s">
        <v>143</v>
      </c>
      <c r="G52" t="s">
        <v>144</v>
      </c>
      <c r="H52" t="s">
        <v>57</v>
      </c>
      <c r="I52">
        <f>ROUND(14/100,9)</f>
        <v>0.14000000000000001</v>
      </c>
      <c r="J52">
        <v>0</v>
      </c>
      <c r="O52">
        <f t="shared" si="21"/>
        <v>247.2</v>
      </c>
      <c r="P52">
        <f t="shared" si="22"/>
        <v>80.260000000000005</v>
      </c>
      <c r="Q52">
        <f t="shared" si="23"/>
        <v>0</v>
      </c>
      <c r="R52">
        <f t="shared" si="24"/>
        <v>0</v>
      </c>
      <c r="S52">
        <f t="shared" si="25"/>
        <v>166.94</v>
      </c>
      <c r="T52">
        <f t="shared" si="26"/>
        <v>0</v>
      </c>
      <c r="U52">
        <f t="shared" si="27"/>
        <v>2.6790400000000001</v>
      </c>
      <c r="V52">
        <f t="shared" si="28"/>
        <v>0</v>
      </c>
      <c r="W52">
        <f t="shared" si="29"/>
        <v>0</v>
      </c>
      <c r="X52">
        <f t="shared" si="30"/>
        <v>185.3</v>
      </c>
      <c r="Y52">
        <f t="shared" si="31"/>
        <v>106.84</v>
      </c>
      <c r="AA52">
        <v>16630606</v>
      </c>
      <c r="AB52">
        <f t="shared" si="32"/>
        <v>247.64</v>
      </c>
      <c r="AC52">
        <f t="shared" si="55"/>
        <v>80.400000000000006</v>
      </c>
      <c r="AD52">
        <f>ROUND(((((ET52*1.25))-((EU52*1.25)))+AE52),2)</f>
        <v>0</v>
      </c>
      <c r="AE52">
        <f>ROUND(((EU52*1.25)),2)</f>
        <v>0</v>
      </c>
      <c r="AF52">
        <f>ROUND(((EV52*1.15)),2)</f>
        <v>167.24</v>
      </c>
      <c r="AG52">
        <f t="shared" si="33"/>
        <v>0</v>
      </c>
      <c r="AH52">
        <f>((EW52*1.15))</f>
        <v>19.135999999999999</v>
      </c>
      <c r="AI52">
        <f>((EX52*1.25))</f>
        <v>0</v>
      </c>
      <c r="AJ52">
        <f t="shared" si="34"/>
        <v>0</v>
      </c>
      <c r="AK52">
        <v>225.83</v>
      </c>
      <c r="AL52">
        <v>80.400000000000006</v>
      </c>
      <c r="AM52">
        <v>0</v>
      </c>
      <c r="AN52">
        <v>0</v>
      </c>
      <c r="AO52">
        <v>145.43</v>
      </c>
      <c r="AP52">
        <v>0</v>
      </c>
      <c r="AQ52">
        <v>16.64</v>
      </c>
      <c r="AR52">
        <v>0</v>
      </c>
      <c r="AS52">
        <v>0</v>
      </c>
      <c r="AT52">
        <v>111</v>
      </c>
      <c r="AU52">
        <v>64</v>
      </c>
      <c r="AV52">
        <v>1</v>
      </c>
      <c r="AW52">
        <v>1</v>
      </c>
      <c r="AZ52">
        <v>7.13</v>
      </c>
      <c r="BA52">
        <v>7.13</v>
      </c>
      <c r="BB52">
        <v>7.13</v>
      </c>
      <c r="BC52">
        <v>7.13</v>
      </c>
      <c r="BD52" t="s">
        <v>6</v>
      </c>
      <c r="BE52" t="s">
        <v>6</v>
      </c>
      <c r="BF52" t="s">
        <v>6</v>
      </c>
      <c r="BG52" t="s">
        <v>6</v>
      </c>
      <c r="BH52">
        <v>0</v>
      </c>
      <c r="BI52">
        <v>1</v>
      </c>
      <c r="BJ52" t="s">
        <v>145</v>
      </c>
      <c r="BM52">
        <v>11001</v>
      </c>
      <c r="BN52">
        <v>0</v>
      </c>
      <c r="BO52" t="s">
        <v>6</v>
      </c>
      <c r="BP52">
        <v>0</v>
      </c>
      <c r="BQ52">
        <v>2</v>
      </c>
      <c r="BR52">
        <v>0</v>
      </c>
      <c r="BS52">
        <v>7.13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6</v>
      </c>
      <c r="BZ52">
        <v>123</v>
      </c>
      <c r="CA52">
        <v>75</v>
      </c>
      <c r="CE52">
        <v>0</v>
      </c>
      <c r="CF52">
        <v>0</v>
      </c>
      <c r="CG52">
        <v>0</v>
      </c>
      <c r="CM52">
        <v>0</v>
      </c>
      <c r="CN52" t="s">
        <v>1758</v>
      </c>
      <c r="CO52">
        <v>0</v>
      </c>
      <c r="CP52">
        <f t="shared" si="35"/>
        <v>247.2</v>
      </c>
      <c r="CQ52">
        <f t="shared" si="36"/>
        <v>573.25200000000007</v>
      </c>
      <c r="CR52">
        <f t="shared" si="37"/>
        <v>0</v>
      </c>
      <c r="CS52">
        <f t="shared" si="38"/>
        <v>0</v>
      </c>
      <c r="CT52">
        <f t="shared" si="39"/>
        <v>1192.4212</v>
      </c>
      <c r="CU52">
        <f t="shared" si="40"/>
        <v>0</v>
      </c>
      <c r="CV52">
        <f t="shared" si="41"/>
        <v>19.135999999999999</v>
      </c>
      <c r="CW52">
        <f t="shared" si="42"/>
        <v>0</v>
      </c>
      <c r="CX52">
        <f t="shared" si="43"/>
        <v>0</v>
      </c>
      <c r="CY52">
        <f t="shared" si="44"/>
        <v>185.30340000000001</v>
      </c>
      <c r="CZ52">
        <f t="shared" si="45"/>
        <v>106.8416</v>
      </c>
      <c r="DC52" t="s">
        <v>6</v>
      </c>
      <c r="DD52" t="s">
        <v>6</v>
      </c>
      <c r="DE52" t="s">
        <v>81</v>
      </c>
      <c r="DF52" t="s">
        <v>81</v>
      </c>
      <c r="DG52" t="s">
        <v>82</v>
      </c>
      <c r="DH52" t="s">
        <v>6</v>
      </c>
      <c r="DI52" t="s">
        <v>82</v>
      </c>
      <c r="DJ52" t="s">
        <v>81</v>
      </c>
      <c r="DK52" t="s">
        <v>6</v>
      </c>
      <c r="DL52" t="s">
        <v>6</v>
      </c>
      <c r="DM52" t="s">
        <v>6</v>
      </c>
      <c r="DN52">
        <v>0</v>
      </c>
      <c r="DO52">
        <v>0</v>
      </c>
      <c r="DP52">
        <v>1</v>
      </c>
      <c r="DQ52">
        <v>1</v>
      </c>
      <c r="DU52">
        <v>1003</v>
      </c>
      <c r="DV52" t="s">
        <v>57</v>
      </c>
      <c r="DW52" t="s">
        <v>57</v>
      </c>
      <c r="DX52">
        <v>100</v>
      </c>
      <c r="EE52">
        <v>16609108</v>
      </c>
      <c r="EF52">
        <v>2</v>
      </c>
      <c r="EG52" t="s">
        <v>14</v>
      </c>
      <c r="EH52">
        <v>0</v>
      </c>
      <c r="EI52" t="s">
        <v>6</v>
      </c>
      <c r="EJ52">
        <v>1</v>
      </c>
      <c r="EK52">
        <v>11001</v>
      </c>
      <c r="EL52" t="s">
        <v>40</v>
      </c>
      <c r="EM52" t="s">
        <v>146</v>
      </c>
      <c r="EO52" t="s">
        <v>83</v>
      </c>
      <c r="EQ52">
        <v>131072</v>
      </c>
      <c r="ER52">
        <v>225.83</v>
      </c>
      <c r="ES52">
        <v>80.400000000000006</v>
      </c>
      <c r="ET52">
        <v>0</v>
      </c>
      <c r="EU52">
        <v>0</v>
      </c>
      <c r="EV52">
        <v>145.43</v>
      </c>
      <c r="EW52">
        <v>16.64</v>
      </c>
      <c r="EX52">
        <v>0</v>
      </c>
      <c r="EY52">
        <v>0</v>
      </c>
      <c r="FQ52">
        <v>0</v>
      </c>
      <c r="FR52">
        <f t="shared" si="46"/>
        <v>0</v>
      </c>
      <c r="FS52">
        <v>0</v>
      </c>
      <c r="FT52" t="s">
        <v>22</v>
      </c>
      <c r="FU52" t="s">
        <v>23</v>
      </c>
      <c r="FX52">
        <v>110.7</v>
      </c>
      <c r="FY52">
        <v>63.75</v>
      </c>
      <c r="GA52" t="s">
        <v>6</v>
      </c>
      <c r="GD52">
        <v>0</v>
      </c>
      <c r="GF52">
        <v>30217037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 t="shared" si="47"/>
        <v>0</v>
      </c>
      <c r="GM52">
        <f t="shared" si="48"/>
        <v>539.34</v>
      </c>
      <c r="GN52">
        <f t="shared" si="49"/>
        <v>539.34</v>
      </c>
      <c r="GO52">
        <f t="shared" si="50"/>
        <v>0</v>
      </c>
      <c r="GP52">
        <f t="shared" si="51"/>
        <v>0</v>
      </c>
      <c r="GR52">
        <v>0</v>
      </c>
      <c r="GS52">
        <v>3</v>
      </c>
      <c r="GT52">
        <v>0</v>
      </c>
      <c r="GU52" t="s">
        <v>6</v>
      </c>
      <c r="GV52">
        <f t="shared" si="52"/>
        <v>0</v>
      </c>
      <c r="GW52">
        <v>1</v>
      </c>
      <c r="GX52">
        <f t="shared" si="53"/>
        <v>0</v>
      </c>
      <c r="HA52">
        <v>0</v>
      </c>
      <c r="HB52">
        <v>0</v>
      </c>
      <c r="HC52">
        <f t="shared" si="54"/>
        <v>0</v>
      </c>
      <c r="IK52">
        <v>0</v>
      </c>
    </row>
    <row r="53" spans="1:245" x14ac:dyDescent="0.2">
      <c r="A53">
        <v>18</v>
      </c>
      <c r="B53">
        <v>1</v>
      </c>
      <c r="C53">
        <v>78</v>
      </c>
      <c r="E53" t="s">
        <v>147</v>
      </c>
      <c r="F53" t="s">
        <v>148</v>
      </c>
      <c r="G53" t="s">
        <v>149</v>
      </c>
      <c r="H53" t="s">
        <v>150</v>
      </c>
      <c r="I53">
        <f>I52*J53</f>
        <v>14.7</v>
      </c>
      <c r="J53">
        <v>104.99999999999999</v>
      </c>
      <c r="O53">
        <f t="shared" si="21"/>
        <v>0</v>
      </c>
      <c r="P53">
        <f t="shared" si="22"/>
        <v>0</v>
      </c>
      <c r="Q53">
        <f t="shared" si="23"/>
        <v>0</v>
      </c>
      <c r="R53">
        <f t="shared" si="24"/>
        <v>0</v>
      </c>
      <c r="S53">
        <f t="shared" si="25"/>
        <v>0</v>
      </c>
      <c r="T53">
        <f t="shared" si="26"/>
        <v>0</v>
      </c>
      <c r="U53">
        <f t="shared" si="27"/>
        <v>0</v>
      </c>
      <c r="V53">
        <f t="shared" si="28"/>
        <v>0</v>
      </c>
      <c r="W53">
        <f t="shared" si="29"/>
        <v>0</v>
      </c>
      <c r="X53">
        <f t="shared" si="30"/>
        <v>0</v>
      </c>
      <c r="Y53">
        <f t="shared" si="31"/>
        <v>0</v>
      </c>
      <c r="AA53">
        <v>16630606</v>
      </c>
      <c r="AB53">
        <f t="shared" si="32"/>
        <v>0</v>
      </c>
      <c r="AC53">
        <f t="shared" si="55"/>
        <v>0</v>
      </c>
      <c r="AD53">
        <f>ROUND((((ET53)-(EU53))+AE53),2)</f>
        <v>0</v>
      </c>
      <c r="AE53">
        <f>ROUND((EU53),2)</f>
        <v>0</v>
      </c>
      <c r="AF53">
        <f>ROUND((EV53),2)</f>
        <v>0</v>
      </c>
      <c r="AG53">
        <f t="shared" si="33"/>
        <v>0</v>
      </c>
      <c r="AH53">
        <f>(EW53)</f>
        <v>0</v>
      </c>
      <c r="AI53">
        <f>(EX53)</f>
        <v>0</v>
      </c>
      <c r="AJ53">
        <f t="shared" si="34"/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111</v>
      </c>
      <c r="AU53">
        <v>64</v>
      </c>
      <c r="AV53">
        <v>1</v>
      </c>
      <c r="AW53">
        <v>1</v>
      </c>
      <c r="AZ53">
        <v>7.13</v>
      </c>
      <c r="BA53">
        <v>1</v>
      </c>
      <c r="BB53">
        <v>1</v>
      </c>
      <c r="BC53">
        <v>7.13</v>
      </c>
      <c r="BD53" t="s">
        <v>6</v>
      </c>
      <c r="BE53" t="s">
        <v>6</v>
      </c>
      <c r="BF53" t="s">
        <v>6</v>
      </c>
      <c r="BG53" t="s">
        <v>6</v>
      </c>
      <c r="BH53">
        <v>3</v>
      </c>
      <c r="BI53">
        <v>1</v>
      </c>
      <c r="BJ53" t="s">
        <v>6</v>
      </c>
      <c r="BM53">
        <v>11001</v>
      </c>
      <c r="BN53">
        <v>0</v>
      </c>
      <c r="BO53" t="s">
        <v>6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123</v>
      </c>
      <c r="CA53">
        <v>75</v>
      </c>
      <c r="CE53">
        <v>0</v>
      </c>
      <c r="CF53">
        <v>0</v>
      </c>
      <c r="CG53">
        <v>0</v>
      </c>
      <c r="CM53">
        <v>0</v>
      </c>
      <c r="CN53" t="s">
        <v>6</v>
      </c>
      <c r="CO53">
        <v>0</v>
      </c>
      <c r="CP53">
        <f t="shared" si="35"/>
        <v>0</v>
      </c>
      <c r="CQ53">
        <f t="shared" si="36"/>
        <v>0</v>
      </c>
      <c r="CR53">
        <f t="shared" si="37"/>
        <v>0</v>
      </c>
      <c r="CS53">
        <f t="shared" si="38"/>
        <v>0</v>
      </c>
      <c r="CT53">
        <f t="shared" si="39"/>
        <v>0</v>
      </c>
      <c r="CU53">
        <f t="shared" si="40"/>
        <v>0</v>
      </c>
      <c r="CV53">
        <f t="shared" si="41"/>
        <v>0</v>
      </c>
      <c r="CW53">
        <f t="shared" si="42"/>
        <v>0</v>
      </c>
      <c r="CX53">
        <f t="shared" si="43"/>
        <v>0</v>
      </c>
      <c r="CY53">
        <f t="shared" si="44"/>
        <v>0</v>
      </c>
      <c r="CZ53">
        <f t="shared" si="45"/>
        <v>0</v>
      </c>
      <c r="DC53" t="s">
        <v>6</v>
      </c>
      <c r="DD53" t="s">
        <v>6</v>
      </c>
      <c r="DE53" t="s">
        <v>6</v>
      </c>
      <c r="DF53" t="s">
        <v>6</v>
      </c>
      <c r="DG53" t="s">
        <v>6</v>
      </c>
      <c r="DH53" t="s">
        <v>6</v>
      </c>
      <c r="DI53" t="s">
        <v>6</v>
      </c>
      <c r="DJ53" t="s">
        <v>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1003</v>
      </c>
      <c r="DV53" t="s">
        <v>150</v>
      </c>
      <c r="DW53" t="s">
        <v>150</v>
      </c>
      <c r="DX53">
        <v>1</v>
      </c>
      <c r="EE53">
        <v>16609108</v>
      </c>
      <c r="EF53">
        <v>2</v>
      </c>
      <c r="EG53" t="s">
        <v>14</v>
      </c>
      <c r="EH53">
        <v>0</v>
      </c>
      <c r="EI53" t="s">
        <v>6</v>
      </c>
      <c r="EJ53">
        <v>1</v>
      </c>
      <c r="EK53">
        <v>11001</v>
      </c>
      <c r="EL53" t="s">
        <v>40</v>
      </c>
      <c r="EM53" t="s">
        <v>146</v>
      </c>
      <c r="EO53" t="s">
        <v>6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6"/>
        <v>0</v>
      </c>
      <c r="FS53">
        <v>0</v>
      </c>
      <c r="FT53" t="s">
        <v>22</v>
      </c>
      <c r="FU53" t="s">
        <v>23</v>
      </c>
      <c r="FX53">
        <v>110.7</v>
      </c>
      <c r="FY53">
        <v>63.75</v>
      </c>
      <c r="GA53" t="s">
        <v>6</v>
      </c>
      <c r="GD53">
        <v>0</v>
      </c>
      <c r="GF53">
        <v>2101938969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 t="shared" si="47"/>
        <v>0</v>
      </c>
      <c r="GM53">
        <f t="shared" si="48"/>
        <v>0</v>
      </c>
      <c r="GN53">
        <f t="shared" si="49"/>
        <v>0</v>
      </c>
      <c r="GO53">
        <f t="shared" si="50"/>
        <v>0</v>
      </c>
      <c r="GP53">
        <f t="shared" si="51"/>
        <v>0</v>
      </c>
      <c r="GR53">
        <v>0</v>
      </c>
      <c r="GS53">
        <v>3</v>
      </c>
      <c r="GT53">
        <v>0</v>
      </c>
      <c r="GU53" t="s">
        <v>6</v>
      </c>
      <c r="GV53">
        <f t="shared" si="52"/>
        <v>0</v>
      </c>
      <c r="GW53">
        <v>1</v>
      </c>
      <c r="GX53">
        <f t="shared" si="53"/>
        <v>0</v>
      </c>
      <c r="HA53">
        <v>0</v>
      </c>
      <c r="HB53">
        <v>0</v>
      </c>
      <c r="HC53">
        <f t="shared" si="54"/>
        <v>0</v>
      </c>
      <c r="IK53">
        <v>0</v>
      </c>
    </row>
    <row r="54" spans="1:245" x14ac:dyDescent="0.2">
      <c r="A54">
        <v>18</v>
      </c>
      <c r="B54">
        <v>1</v>
      </c>
      <c r="C54">
        <v>79</v>
      </c>
      <c r="E54" t="s">
        <v>151</v>
      </c>
      <c r="F54" t="s">
        <v>152</v>
      </c>
      <c r="G54" t="s">
        <v>153</v>
      </c>
      <c r="H54" t="s">
        <v>150</v>
      </c>
      <c r="I54">
        <f>I52*J54</f>
        <v>14.7</v>
      </c>
      <c r="J54">
        <v>104.99999999999999</v>
      </c>
      <c r="O54">
        <f t="shared" si="21"/>
        <v>2366.63</v>
      </c>
      <c r="P54">
        <f t="shared" si="22"/>
        <v>2366.63</v>
      </c>
      <c r="Q54">
        <f t="shared" si="23"/>
        <v>0</v>
      </c>
      <c r="R54">
        <f t="shared" si="24"/>
        <v>0</v>
      </c>
      <c r="S54">
        <f t="shared" si="25"/>
        <v>0</v>
      </c>
      <c r="T54">
        <f t="shared" si="26"/>
        <v>0</v>
      </c>
      <c r="U54">
        <f t="shared" si="27"/>
        <v>0</v>
      </c>
      <c r="V54">
        <f t="shared" si="28"/>
        <v>0</v>
      </c>
      <c r="W54">
        <f t="shared" si="29"/>
        <v>0</v>
      </c>
      <c r="X54">
        <f t="shared" si="30"/>
        <v>0</v>
      </c>
      <c r="Y54">
        <f t="shared" si="31"/>
        <v>0</v>
      </c>
      <c r="AA54">
        <v>16630606</v>
      </c>
      <c r="AB54">
        <f t="shared" si="32"/>
        <v>22.58</v>
      </c>
      <c r="AC54">
        <f t="shared" si="55"/>
        <v>22.58</v>
      </c>
      <c r="AD54">
        <f>ROUND((((ET54)-(EU54))+AE54),2)</f>
        <v>0</v>
      </c>
      <c r="AE54">
        <f>ROUND((EU54),2)</f>
        <v>0</v>
      </c>
      <c r="AF54">
        <f>ROUND((EV54),2)</f>
        <v>0</v>
      </c>
      <c r="AG54">
        <f t="shared" si="33"/>
        <v>0</v>
      </c>
      <c r="AH54">
        <f>(EW54)</f>
        <v>0</v>
      </c>
      <c r="AI54">
        <f>(EX54)</f>
        <v>0</v>
      </c>
      <c r="AJ54">
        <f t="shared" si="34"/>
        <v>0</v>
      </c>
      <c r="AK54">
        <v>22.58</v>
      </c>
      <c r="AL54">
        <v>22.58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111</v>
      </c>
      <c r="AU54">
        <v>64</v>
      </c>
      <c r="AV54">
        <v>1</v>
      </c>
      <c r="AW54">
        <v>1</v>
      </c>
      <c r="AZ54">
        <v>7.13</v>
      </c>
      <c r="BA54">
        <v>1</v>
      </c>
      <c r="BB54">
        <v>1</v>
      </c>
      <c r="BC54">
        <v>7.13</v>
      </c>
      <c r="BD54" t="s">
        <v>6</v>
      </c>
      <c r="BE54" t="s">
        <v>6</v>
      </c>
      <c r="BF54" t="s">
        <v>6</v>
      </c>
      <c r="BG54" t="s">
        <v>6</v>
      </c>
      <c r="BH54">
        <v>3</v>
      </c>
      <c r="BI54">
        <v>1</v>
      </c>
      <c r="BJ54" t="s">
        <v>154</v>
      </c>
      <c r="BM54">
        <v>11001</v>
      </c>
      <c r="BN54">
        <v>0</v>
      </c>
      <c r="BO54" t="s">
        <v>6</v>
      </c>
      <c r="BP54">
        <v>0</v>
      </c>
      <c r="BQ54">
        <v>2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6</v>
      </c>
      <c r="BZ54">
        <v>123</v>
      </c>
      <c r="CA54">
        <v>75</v>
      </c>
      <c r="CE54">
        <v>0</v>
      </c>
      <c r="CF54">
        <v>0</v>
      </c>
      <c r="CG54">
        <v>0</v>
      </c>
      <c r="CM54">
        <v>0</v>
      </c>
      <c r="CN54" t="s">
        <v>6</v>
      </c>
      <c r="CO54">
        <v>0</v>
      </c>
      <c r="CP54">
        <f t="shared" si="35"/>
        <v>2366.63</v>
      </c>
      <c r="CQ54">
        <f t="shared" si="36"/>
        <v>160.99539999999999</v>
      </c>
      <c r="CR54">
        <f t="shared" si="37"/>
        <v>0</v>
      </c>
      <c r="CS54">
        <f t="shared" si="38"/>
        <v>0</v>
      </c>
      <c r="CT54">
        <f t="shared" si="39"/>
        <v>0</v>
      </c>
      <c r="CU54">
        <f t="shared" si="40"/>
        <v>0</v>
      </c>
      <c r="CV54">
        <f t="shared" si="41"/>
        <v>0</v>
      </c>
      <c r="CW54">
        <f t="shared" si="42"/>
        <v>0</v>
      </c>
      <c r="CX54">
        <f t="shared" si="43"/>
        <v>0</v>
      </c>
      <c r="CY54">
        <f t="shared" si="44"/>
        <v>0</v>
      </c>
      <c r="CZ54">
        <f t="shared" si="45"/>
        <v>0</v>
      </c>
      <c r="DC54" t="s">
        <v>6</v>
      </c>
      <c r="DD54" t="s">
        <v>6</v>
      </c>
      <c r="DE54" t="s">
        <v>6</v>
      </c>
      <c r="DF54" t="s">
        <v>6</v>
      </c>
      <c r="DG54" t="s">
        <v>6</v>
      </c>
      <c r="DH54" t="s">
        <v>6</v>
      </c>
      <c r="DI54" t="s">
        <v>6</v>
      </c>
      <c r="DJ54" t="s">
        <v>6</v>
      </c>
      <c r="DK54" t="s">
        <v>6</v>
      </c>
      <c r="DL54" t="s">
        <v>6</v>
      </c>
      <c r="DM54" t="s">
        <v>6</v>
      </c>
      <c r="DN54">
        <v>0</v>
      </c>
      <c r="DO54">
        <v>0</v>
      </c>
      <c r="DP54">
        <v>1</v>
      </c>
      <c r="DQ54">
        <v>1</v>
      </c>
      <c r="DU54">
        <v>1003</v>
      </c>
      <c r="DV54" t="s">
        <v>150</v>
      </c>
      <c r="DW54" t="s">
        <v>150</v>
      </c>
      <c r="DX54">
        <v>1</v>
      </c>
      <c r="EE54">
        <v>16609108</v>
      </c>
      <c r="EF54">
        <v>2</v>
      </c>
      <c r="EG54" t="s">
        <v>14</v>
      </c>
      <c r="EH54">
        <v>0</v>
      </c>
      <c r="EI54" t="s">
        <v>6</v>
      </c>
      <c r="EJ54">
        <v>1</v>
      </c>
      <c r="EK54">
        <v>11001</v>
      </c>
      <c r="EL54" t="s">
        <v>40</v>
      </c>
      <c r="EM54" t="s">
        <v>146</v>
      </c>
      <c r="EO54" t="s">
        <v>6</v>
      </c>
      <c r="EQ54">
        <v>0</v>
      </c>
      <c r="ER54">
        <v>22.58</v>
      </c>
      <c r="ES54">
        <v>22.58</v>
      </c>
      <c r="ET54">
        <v>0</v>
      </c>
      <c r="EU54">
        <v>0</v>
      </c>
      <c r="EV54">
        <v>0</v>
      </c>
      <c r="EW54">
        <v>0</v>
      </c>
      <c r="EX54">
        <v>0</v>
      </c>
      <c r="FQ54">
        <v>0</v>
      </c>
      <c r="FR54">
        <f t="shared" si="46"/>
        <v>0</v>
      </c>
      <c r="FS54">
        <v>0</v>
      </c>
      <c r="FT54" t="s">
        <v>22</v>
      </c>
      <c r="FU54" t="s">
        <v>23</v>
      </c>
      <c r="FX54">
        <v>110.7</v>
      </c>
      <c r="FY54">
        <v>63.75</v>
      </c>
      <c r="GA54" t="s">
        <v>6</v>
      </c>
      <c r="GD54">
        <v>0</v>
      </c>
      <c r="GF54">
        <v>-208962189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 t="shared" si="47"/>
        <v>0</v>
      </c>
      <c r="GM54">
        <f t="shared" si="48"/>
        <v>2366.63</v>
      </c>
      <c r="GN54">
        <f t="shared" si="49"/>
        <v>2366.63</v>
      </c>
      <c r="GO54">
        <f t="shared" si="50"/>
        <v>0</v>
      </c>
      <c r="GP54">
        <f t="shared" si="51"/>
        <v>0</v>
      </c>
      <c r="GR54">
        <v>0</v>
      </c>
      <c r="GS54">
        <v>3</v>
      </c>
      <c r="GT54">
        <v>0</v>
      </c>
      <c r="GU54" t="s">
        <v>6</v>
      </c>
      <c r="GV54">
        <f t="shared" si="52"/>
        <v>0</v>
      </c>
      <c r="GW54">
        <v>1</v>
      </c>
      <c r="GX54">
        <f t="shared" si="53"/>
        <v>0</v>
      </c>
      <c r="HA54">
        <v>0</v>
      </c>
      <c r="HB54">
        <v>0</v>
      </c>
      <c r="HC54">
        <f t="shared" si="54"/>
        <v>0</v>
      </c>
      <c r="IK54">
        <v>0</v>
      </c>
    </row>
    <row r="55" spans="1:245" x14ac:dyDescent="0.2">
      <c r="A55">
        <v>17</v>
      </c>
      <c r="B55">
        <v>1</v>
      </c>
      <c r="C55">
        <f>ROW(SmtRes!A86)</f>
        <v>86</v>
      </c>
      <c r="D55">
        <f>ROW(EtalonRes!A92)</f>
        <v>92</v>
      </c>
      <c r="E55" t="s">
        <v>155</v>
      </c>
      <c r="F55" t="s">
        <v>156</v>
      </c>
      <c r="G55" t="s">
        <v>157</v>
      </c>
      <c r="H55" t="s">
        <v>57</v>
      </c>
      <c r="I55">
        <f>ROUND(221.8/100,9)</f>
        <v>2.218</v>
      </c>
      <c r="J55">
        <v>0</v>
      </c>
      <c r="O55">
        <f t="shared" si="21"/>
        <v>1348.33</v>
      </c>
      <c r="P55">
        <f t="shared" si="22"/>
        <v>134.41999999999999</v>
      </c>
      <c r="Q55">
        <f t="shared" si="23"/>
        <v>52.03</v>
      </c>
      <c r="R55">
        <f t="shared" si="24"/>
        <v>9.17</v>
      </c>
      <c r="S55">
        <f t="shared" si="25"/>
        <v>1161.8800000000001</v>
      </c>
      <c r="T55">
        <f t="shared" si="26"/>
        <v>0</v>
      </c>
      <c r="U55">
        <f t="shared" si="27"/>
        <v>19.946474000000002</v>
      </c>
      <c r="V55">
        <f t="shared" si="28"/>
        <v>0.1109</v>
      </c>
      <c r="W55">
        <f t="shared" si="29"/>
        <v>0</v>
      </c>
      <c r="X55">
        <f t="shared" si="30"/>
        <v>1241.31</v>
      </c>
      <c r="Y55">
        <f t="shared" si="31"/>
        <v>632.37</v>
      </c>
      <c r="AA55">
        <v>16630606</v>
      </c>
      <c r="AB55">
        <f t="shared" si="32"/>
        <v>85.26</v>
      </c>
      <c r="AC55">
        <f t="shared" si="55"/>
        <v>8.5</v>
      </c>
      <c r="AD55">
        <f>ROUND(((((ET55*1.25))-((EU55*1.25)))+AE55),2)</f>
        <v>3.29</v>
      </c>
      <c r="AE55">
        <f>ROUND(((EU55*1.25)),2)</f>
        <v>0.57999999999999996</v>
      </c>
      <c r="AF55">
        <f>ROUND(((EV55*1.15)),2)</f>
        <v>73.47</v>
      </c>
      <c r="AG55">
        <f t="shared" si="33"/>
        <v>0</v>
      </c>
      <c r="AH55">
        <f>((EW55*1.15))</f>
        <v>8.9930000000000003</v>
      </c>
      <c r="AI55">
        <f>((EX55*1.25))</f>
        <v>0.05</v>
      </c>
      <c r="AJ55">
        <f t="shared" si="34"/>
        <v>0</v>
      </c>
      <c r="AK55">
        <v>75.02</v>
      </c>
      <c r="AL55">
        <v>8.5</v>
      </c>
      <c r="AM55">
        <v>2.63</v>
      </c>
      <c r="AN55">
        <v>0.46</v>
      </c>
      <c r="AO55">
        <v>63.89</v>
      </c>
      <c r="AP55">
        <v>0</v>
      </c>
      <c r="AQ55">
        <v>7.82</v>
      </c>
      <c r="AR55">
        <v>0.04</v>
      </c>
      <c r="AS55">
        <v>0</v>
      </c>
      <c r="AT55">
        <v>106</v>
      </c>
      <c r="AU55">
        <v>54</v>
      </c>
      <c r="AV55">
        <v>1</v>
      </c>
      <c r="AW55">
        <v>1</v>
      </c>
      <c r="AZ55">
        <v>7.13</v>
      </c>
      <c r="BA55">
        <v>7.13</v>
      </c>
      <c r="BB55">
        <v>7.13</v>
      </c>
      <c r="BC55">
        <v>7.13</v>
      </c>
      <c r="BD55" t="s">
        <v>6</v>
      </c>
      <c r="BE55" t="s">
        <v>6</v>
      </c>
      <c r="BF55" t="s">
        <v>6</v>
      </c>
      <c r="BG55" t="s">
        <v>6</v>
      </c>
      <c r="BH55">
        <v>0</v>
      </c>
      <c r="BI55">
        <v>1</v>
      </c>
      <c r="BJ55" t="s">
        <v>158</v>
      </c>
      <c r="BM55">
        <v>10001</v>
      </c>
      <c r="BN55">
        <v>0</v>
      </c>
      <c r="BO55" t="s">
        <v>6</v>
      </c>
      <c r="BP55">
        <v>0</v>
      </c>
      <c r="BQ55">
        <v>2</v>
      </c>
      <c r="BR55">
        <v>0</v>
      </c>
      <c r="BS55">
        <v>7.13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118</v>
      </c>
      <c r="CA55">
        <v>63</v>
      </c>
      <c r="CE55">
        <v>0</v>
      </c>
      <c r="CF55">
        <v>0</v>
      </c>
      <c r="CG55">
        <v>0</v>
      </c>
      <c r="CM55">
        <v>0</v>
      </c>
      <c r="CN55" t="s">
        <v>1758</v>
      </c>
      <c r="CO55">
        <v>0</v>
      </c>
      <c r="CP55">
        <f t="shared" si="35"/>
        <v>1348.3300000000002</v>
      </c>
      <c r="CQ55">
        <f t="shared" si="36"/>
        <v>60.604999999999997</v>
      </c>
      <c r="CR55">
        <f t="shared" si="37"/>
        <v>23.457699999999999</v>
      </c>
      <c r="CS55">
        <f t="shared" si="38"/>
        <v>4.1353999999999997</v>
      </c>
      <c r="CT55">
        <f t="shared" si="39"/>
        <v>523.84109999999998</v>
      </c>
      <c r="CU55">
        <f t="shared" si="40"/>
        <v>0</v>
      </c>
      <c r="CV55">
        <f t="shared" si="41"/>
        <v>8.9930000000000003</v>
      </c>
      <c r="CW55">
        <f t="shared" si="42"/>
        <v>0.05</v>
      </c>
      <c r="CX55">
        <f t="shared" si="43"/>
        <v>0</v>
      </c>
      <c r="CY55">
        <f t="shared" si="44"/>
        <v>1241.3130000000001</v>
      </c>
      <c r="CZ55">
        <f t="shared" si="45"/>
        <v>632.36700000000008</v>
      </c>
      <c r="DC55" t="s">
        <v>6</v>
      </c>
      <c r="DD55" t="s">
        <v>6</v>
      </c>
      <c r="DE55" t="s">
        <v>81</v>
      </c>
      <c r="DF55" t="s">
        <v>81</v>
      </c>
      <c r="DG55" t="s">
        <v>82</v>
      </c>
      <c r="DH55" t="s">
        <v>6</v>
      </c>
      <c r="DI55" t="s">
        <v>82</v>
      </c>
      <c r="DJ55" t="s">
        <v>81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1003</v>
      </c>
      <c r="DV55" t="s">
        <v>57</v>
      </c>
      <c r="DW55" t="s">
        <v>57</v>
      </c>
      <c r="DX55">
        <v>100</v>
      </c>
      <c r="EE55">
        <v>16609107</v>
      </c>
      <c r="EF55">
        <v>2</v>
      </c>
      <c r="EG55" t="s">
        <v>14</v>
      </c>
      <c r="EH55">
        <v>0</v>
      </c>
      <c r="EI55" t="s">
        <v>6</v>
      </c>
      <c r="EJ55">
        <v>1</v>
      </c>
      <c r="EK55">
        <v>10001</v>
      </c>
      <c r="EL55" t="s">
        <v>32</v>
      </c>
      <c r="EM55" t="s">
        <v>33</v>
      </c>
      <c r="EO55" t="s">
        <v>83</v>
      </c>
      <c r="EQ55">
        <v>131072</v>
      </c>
      <c r="ER55">
        <v>75.02</v>
      </c>
      <c r="ES55">
        <v>8.5</v>
      </c>
      <c r="ET55">
        <v>2.63</v>
      </c>
      <c r="EU55">
        <v>0.46</v>
      </c>
      <c r="EV55">
        <v>63.89</v>
      </c>
      <c r="EW55">
        <v>7.82</v>
      </c>
      <c r="EX55">
        <v>0.04</v>
      </c>
      <c r="EY55">
        <v>0</v>
      </c>
      <c r="FQ55">
        <v>0</v>
      </c>
      <c r="FR55">
        <f t="shared" si="46"/>
        <v>0</v>
      </c>
      <c r="FS55">
        <v>0</v>
      </c>
      <c r="FT55" t="s">
        <v>22</v>
      </c>
      <c r="FU55" t="s">
        <v>23</v>
      </c>
      <c r="FX55">
        <v>106.2</v>
      </c>
      <c r="FY55">
        <v>53.55</v>
      </c>
      <c r="GA55" t="s">
        <v>6</v>
      </c>
      <c r="GD55">
        <v>0</v>
      </c>
      <c r="GF55">
        <v>-971434034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 t="shared" si="47"/>
        <v>0</v>
      </c>
      <c r="GM55">
        <f t="shared" si="48"/>
        <v>3222.01</v>
      </c>
      <c r="GN55">
        <f t="shared" si="49"/>
        <v>3222.01</v>
      </c>
      <c r="GO55">
        <f t="shared" si="50"/>
        <v>0</v>
      </c>
      <c r="GP55">
        <f t="shared" si="51"/>
        <v>0</v>
      </c>
      <c r="GR55">
        <v>0</v>
      </c>
      <c r="GS55">
        <v>3</v>
      </c>
      <c r="GT55">
        <v>0</v>
      </c>
      <c r="GU55" t="s">
        <v>6</v>
      </c>
      <c r="GV55">
        <f t="shared" si="52"/>
        <v>0</v>
      </c>
      <c r="GW55">
        <v>1</v>
      </c>
      <c r="GX55">
        <f t="shared" si="53"/>
        <v>0</v>
      </c>
      <c r="HA55">
        <v>0</v>
      </c>
      <c r="HB55">
        <v>0</v>
      </c>
      <c r="HC55">
        <f t="shared" si="54"/>
        <v>0</v>
      </c>
      <c r="IK55">
        <v>0</v>
      </c>
    </row>
    <row r="56" spans="1:245" x14ac:dyDescent="0.2">
      <c r="A56">
        <v>18</v>
      </c>
      <c r="B56">
        <v>1</v>
      </c>
      <c r="C56">
        <v>84</v>
      </c>
      <c r="E56" t="s">
        <v>159</v>
      </c>
      <c r="F56" t="s">
        <v>160</v>
      </c>
      <c r="G56" t="s">
        <v>161</v>
      </c>
      <c r="H56" t="s">
        <v>150</v>
      </c>
      <c r="I56">
        <f>I55*J56</f>
        <v>248.416</v>
      </c>
      <c r="J56">
        <v>112</v>
      </c>
      <c r="O56">
        <f t="shared" si="21"/>
        <v>0</v>
      </c>
      <c r="P56">
        <f t="shared" si="22"/>
        <v>0</v>
      </c>
      <c r="Q56">
        <f t="shared" si="23"/>
        <v>0</v>
      </c>
      <c r="R56">
        <f t="shared" si="24"/>
        <v>0</v>
      </c>
      <c r="S56">
        <f t="shared" si="25"/>
        <v>0</v>
      </c>
      <c r="T56">
        <f t="shared" si="26"/>
        <v>0</v>
      </c>
      <c r="U56">
        <f t="shared" si="27"/>
        <v>0</v>
      </c>
      <c r="V56">
        <f t="shared" si="28"/>
        <v>0</v>
      </c>
      <c r="W56">
        <f t="shared" si="29"/>
        <v>0</v>
      </c>
      <c r="X56">
        <f t="shared" si="30"/>
        <v>0</v>
      </c>
      <c r="Y56">
        <f t="shared" si="31"/>
        <v>0</v>
      </c>
      <c r="AA56">
        <v>16630606</v>
      </c>
      <c r="AB56">
        <f t="shared" si="32"/>
        <v>0</v>
      </c>
      <c r="AC56">
        <f t="shared" si="55"/>
        <v>0</v>
      </c>
      <c r="AD56">
        <f>ROUND((((ET56)-(EU56))+AE56),2)</f>
        <v>0</v>
      </c>
      <c r="AE56">
        <f t="shared" ref="AE56:AF58" si="63">ROUND((EU56),2)</f>
        <v>0</v>
      </c>
      <c r="AF56">
        <f t="shared" si="63"/>
        <v>0</v>
      </c>
      <c r="AG56">
        <f t="shared" si="33"/>
        <v>0</v>
      </c>
      <c r="AH56">
        <f t="shared" ref="AH56:AI58" si="64">(EW56)</f>
        <v>0</v>
      </c>
      <c r="AI56">
        <f t="shared" si="64"/>
        <v>0</v>
      </c>
      <c r="AJ56">
        <f t="shared" si="34"/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106</v>
      </c>
      <c r="AU56">
        <v>54</v>
      </c>
      <c r="AV56">
        <v>1</v>
      </c>
      <c r="AW56">
        <v>1</v>
      </c>
      <c r="AZ56">
        <v>7.13</v>
      </c>
      <c r="BA56">
        <v>1</v>
      </c>
      <c r="BB56">
        <v>1</v>
      </c>
      <c r="BC56">
        <v>7.13</v>
      </c>
      <c r="BD56" t="s">
        <v>6</v>
      </c>
      <c r="BE56" t="s">
        <v>6</v>
      </c>
      <c r="BF56" t="s">
        <v>6</v>
      </c>
      <c r="BG56" t="s">
        <v>6</v>
      </c>
      <c r="BH56">
        <v>3</v>
      </c>
      <c r="BI56">
        <v>1</v>
      </c>
      <c r="BJ56" t="s">
        <v>6</v>
      </c>
      <c r="BM56">
        <v>10001</v>
      </c>
      <c r="BN56">
        <v>0</v>
      </c>
      <c r="BO56" t="s">
        <v>6</v>
      </c>
      <c r="BP56">
        <v>0</v>
      </c>
      <c r="BQ56">
        <v>2</v>
      </c>
      <c r="BR56">
        <v>0</v>
      </c>
      <c r="BS56">
        <v>1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6</v>
      </c>
      <c r="BZ56">
        <v>118</v>
      </c>
      <c r="CA56">
        <v>63</v>
      </c>
      <c r="CE56">
        <v>0</v>
      </c>
      <c r="CF56">
        <v>0</v>
      </c>
      <c r="CG56">
        <v>0</v>
      </c>
      <c r="CM56">
        <v>0</v>
      </c>
      <c r="CN56" t="s">
        <v>6</v>
      </c>
      <c r="CO56">
        <v>0</v>
      </c>
      <c r="CP56">
        <f t="shared" si="35"/>
        <v>0</v>
      </c>
      <c r="CQ56">
        <f t="shared" si="36"/>
        <v>0</v>
      </c>
      <c r="CR56">
        <f t="shared" si="37"/>
        <v>0</v>
      </c>
      <c r="CS56">
        <f t="shared" si="38"/>
        <v>0</v>
      </c>
      <c r="CT56">
        <f t="shared" si="39"/>
        <v>0</v>
      </c>
      <c r="CU56">
        <f t="shared" si="40"/>
        <v>0</v>
      </c>
      <c r="CV56">
        <f t="shared" si="41"/>
        <v>0</v>
      </c>
      <c r="CW56">
        <f t="shared" si="42"/>
        <v>0</v>
      </c>
      <c r="CX56">
        <f t="shared" si="43"/>
        <v>0</v>
      </c>
      <c r="CY56">
        <f t="shared" si="44"/>
        <v>0</v>
      </c>
      <c r="CZ56">
        <f t="shared" si="45"/>
        <v>0</v>
      </c>
      <c r="DC56" t="s">
        <v>6</v>
      </c>
      <c r="DD56" t="s">
        <v>6</v>
      </c>
      <c r="DE56" t="s">
        <v>6</v>
      </c>
      <c r="DF56" t="s">
        <v>6</v>
      </c>
      <c r="DG56" t="s">
        <v>6</v>
      </c>
      <c r="DH56" t="s">
        <v>6</v>
      </c>
      <c r="DI56" t="s">
        <v>6</v>
      </c>
      <c r="DJ56" t="s">
        <v>6</v>
      </c>
      <c r="DK56" t="s">
        <v>6</v>
      </c>
      <c r="DL56" t="s">
        <v>6</v>
      </c>
      <c r="DM56" t="s">
        <v>6</v>
      </c>
      <c r="DN56">
        <v>0</v>
      </c>
      <c r="DO56">
        <v>0</v>
      </c>
      <c r="DP56">
        <v>1</v>
      </c>
      <c r="DQ56">
        <v>1</v>
      </c>
      <c r="DU56">
        <v>1003</v>
      </c>
      <c r="DV56" t="s">
        <v>150</v>
      </c>
      <c r="DW56" t="s">
        <v>150</v>
      </c>
      <c r="DX56">
        <v>1</v>
      </c>
      <c r="EE56">
        <v>16609107</v>
      </c>
      <c r="EF56">
        <v>2</v>
      </c>
      <c r="EG56" t="s">
        <v>14</v>
      </c>
      <c r="EH56">
        <v>0</v>
      </c>
      <c r="EI56" t="s">
        <v>6</v>
      </c>
      <c r="EJ56">
        <v>1</v>
      </c>
      <c r="EK56">
        <v>10001</v>
      </c>
      <c r="EL56" t="s">
        <v>32</v>
      </c>
      <c r="EM56" t="s">
        <v>33</v>
      </c>
      <c r="EO56" t="s">
        <v>6</v>
      </c>
      <c r="EQ56">
        <v>0</v>
      </c>
      <c r="ER56">
        <v>0</v>
      </c>
      <c r="ES56">
        <v>0</v>
      </c>
      <c r="ET56">
        <v>0</v>
      </c>
      <c r="EU56">
        <v>0</v>
      </c>
      <c r="EV56">
        <v>0</v>
      </c>
      <c r="EW56">
        <v>0</v>
      </c>
      <c r="EX56">
        <v>0</v>
      </c>
      <c r="FQ56">
        <v>0</v>
      </c>
      <c r="FR56">
        <f t="shared" si="46"/>
        <v>0</v>
      </c>
      <c r="FS56">
        <v>0</v>
      </c>
      <c r="FT56" t="s">
        <v>22</v>
      </c>
      <c r="FU56" t="s">
        <v>23</v>
      </c>
      <c r="FX56">
        <v>106.2</v>
      </c>
      <c r="FY56">
        <v>53.55</v>
      </c>
      <c r="GA56" t="s">
        <v>6</v>
      </c>
      <c r="GD56">
        <v>0</v>
      </c>
      <c r="GF56">
        <v>1542502361</v>
      </c>
      <c r="GG56">
        <v>1</v>
      </c>
      <c r="GH56">
        <v>1</v>
      </c>
      <c r="GI56">
        <v>4</v>
      </c>
      <c r="GJ56">
        <v>0</v>
      </c>
      <c r="GK56">
        <f>ROUND(R56*(R12)/100,2)</f>
        <v>0</v>
      </c>
      <c r="GL56">
        <f t="shared" si="47"/>
        <v>0</v>
      </c>
      <c r="GM56">
        <f t="shared" si="48"/>
        <v>0</v>
      </c>
      <c r="GN56">
        <f t="shared" si="49"/>
        <v>0</v>
      </c>
      <c r="GO56">
        <f t="shared" si="50"/>
        <v>0</v>
      </c>
      <c r="GP56">
        <f t="shared" si="51"/>
        <v>0</v>
      </c>
      <c r="GR56">
        <v>0</v>
      </c>
      <c r="GS56">
        <v>3</v>
      </c>
      <c r="GT56">
        <v>0</v>
      </c>
      <c r="GU56" t="s">
        <v>6</v>
      </c>
      <c r="GV56">
        <f t="shared" si="52"/>
        <v>0</v>
      </c>
      <c r="GW56">
        <v>1</v>
      </c>
      <c r="GX56">
        <f t="shared" si="53"/>
        <v>0</v>
      </c>
      <c r="HA56">
        <v>0</v>
      </c>
      <c r="HB56">
        <v>0</v>
      </c>
      <c r="HC56">
        <f t="shared" si="54"/>
        <v>0</v>
      </c>
      <c r="IK56">
        <v>0</v>
      </c>
    </row>
    <row r="57" spans="1:245" x14ac:dyDescent="0.2">
      <c r="A57">
        <v>18</v>
      </c>
      <c r="B57">
        <v>1</v>
      </c>
      <c r="C57">
        <v>85</v>
      </c>
      <c r="E57" t="s">
        <v>162</v>
      </c>
      <c r="F57" t="s">
        <v>163</v>
      </c>
      <c r="G57" t="s">
        <v>164</v>
      </c>
      <c r="H57" t="s">
        <v>150</v>
      </c>
      <c r="I57">
        <f>I55*J57</f>
        <v>102</v>
      </c>
      <c r="J57">
        <v>45.987376014427412</v>
      </c>
      <c r="O57">
        <f t="shared" si="21"/>
        <v>2858.13</v>
      </c>
      <c r="P57">
        <f t="shared" si="22"/>
        <v>2858.13</v>
      </c>
      <c r="Q57">
        <f t="shared" si="23"/>
        <v>0</v>
      </c>
      <c r="R57">
        <f t="shared" si="24"/>
        <v>0</v>
      </c>
      <c r="S57">
        <f t="shared" si="25"/>
        <v>0</v>
      </c>
      <c r="T57">
        <f t="shared" si="26"/>
        <v>0</v>
      </c>
      <c r="U57">
        <f t="shared" si="27"/>
        <v>0</v>
      </c>
      <c r="V57">
        <f t="shared" si="28"/>
        <v>0</v>
      </c>
      <c r="W57">
        <f t="shared" si="29"/>
        <v>0</v>
      </c>
      <c r="X57">
        <f t="shared" si="30"/>
        <v>0</v>
      </c>
      <c r="Y57">
        <f t="shared" si="31"/>
        <v>0</v>
      </c>
      <c r="AA57">
        <v>16630606</v>
      </c>
      <c r="AB57">
        <f t="shared" si="32"/>
        <v>3.93</v>
      </c>
      <c r="AC57">
        <f t="shared" si="55"/>
        <v>3.93</v>
      </c>
      <c r="AD57">
        <f>ROUND((((ET57)-(EU57))+AE57),2)</f>
        <v>0</v>
      </c>
      <c r="AE57">
        <f t="shared" si="63"/>
        <v>0</v>
      </c>
      <c r="AF57">
        <f t="shared" si="63"/>
        <v>0</v>
      </c>
      <c r="AG57">
        <f t="shared" si="33"/>
        <v>0</v>
      </c>
      <c r="AH57">
        <f t="shared" si="64"/>
        <v>0</v>
      </c>
      <c r="AI57">
        <f t="shared" si="64"/>
        <v>0</v>
      </c>
      <c r="AJ57">
        <f t="shared" si="34"/>
        <v>0</v>
      </c>
      <c r="AK57">
        <v>3.93</v>
      </c>
      <c r="AL57">
        <v>3.93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106</v>
      </c>
      <c r="AU57">
        <v>54</v>
      </c>
      <c r="AV57">
        <v>1</v>
      </c>
      <c r="AW57">
        <v>1</v>
      </c>
      <c r="AZ57">
        <v>7.13</v>
      </c>
      <c r="BA57">
        <v>1</v>
      </c>
      <c r="BB57">
        <v>1</v>
      </c>
      <c r="BC57">
        <v>7.13</v>
      </c>
      <c r="BD57" t="s">
        <v>6</v>
      </c>
      <c r="BE57" t="s">
        <v>6</v>
      </c>
      <c r="BF57" t="s">
        <v>6</v>
      </c>
      <c r="BG57" t="s">
        <v>6</v>
      </c>
      <c r="BH57">
        <v>3</v>
      </c>
      <c r="BI57">
        <v>1</v>
      </c>
      <c r="BJ57" t="s">
        <v>165</v>
      </c>
      <c r="BM57">
        <v>10001</v>
      </c>
      <c r="BN57">
        <v>0</v>
      </c>
      <c r="BO57" t="s">
        <v>6</v>
      </c>
      <c r="BP57">
        <v>0</v>
      </c>
      <c r="BQ57">
        <v>2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118</v>
      </c>
      <c r="CA57">
        <v>63</v>
      </c>
      <c r="CE57">
        <v>0</v>
      </c>
      <c r="CF57">
        <v>0</v>
      </c>
      <c r="CG57">
        <v>0</v>
      </c>
      <c r="CM57">
        <v>0</v>
      </c>
      <c r="CN57" t="s">
        <v>6</v>
      </c>
      <c r="CO57">
        <v>0</v>
      </c>
      <c r="CP57">
        <f t="shared" si="35"/>
        <v>2858.13</v>
      </c>
      <c r="CQ57">
        <f t="shared" si="36"/>
        <v>28.020900000000001</v>
      </c>
      <c r="CR57">
        <f t="shared" si="37"/>
        <v>0</v>
      </c>
      <c r="CS57">
        <f t="shared" si="38"/>
        <v>0</v>
      </c>
      <c r="CT57">
        <f t="shared" si="39"/>
        <v>0</v>
      </c>
      <c r="CU57">
        <f t="shared" si="40"/>
        <v>0</v>
      </c>
      <c r="CV57">
        <f t="shared" si="41"/>
        <v>0</v>
      </c>
      <c r="CW57">
        <f t="shared" si="42"/>
        <v>0</v>
      </c>
      <c r="CX57">
        <f t="shared" si="43"/>
        <v>0</v>
      </c>
      <c r="CY57">
        <f t="shared" si="44"/>
        <v>0</v>
      </c>
      <c r="CZ57">
        <f t="shared" si="45"/>
        <v>0</v>
      </c>
      <c r="DC57" t="s">
        <v>6</v>
      </c>
      <c r="DD57" t="s">
        <v>6</v>
      </c>
      <c r="DE57" t="s">
        <v>6</v>
      </c>
      <c r="DF57" t="s">
        <v>6</v>
      </c>
      <c r="DG57" t="s">
        <v>6</v>
      </c>
      <c r="DH57" t="s">
        <v>6</v>
      </c>
      <c r="DI57" t="s">
        <v>6</v>
      </c>
      <c r="DJ57" t="s">
        <v>6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1003</v>
      </c>
      <c r="DV57" t="s">
        <v>150</v>
      </c>
      <c r="DW57" t="s">
        <v>150</v>
      </c>
      <c r="DX57">
        <v>1</v>
      </c>
      <c r="EE57">
        <v>16609107</v>
      </c>
      <c r="EF57">
        <v>2</v>
      </c>
      <c r="EG57" t="s">
        <v>14</v>
      </c>
      <c r="EH57">
        <v>0</v>
      </c>
      <c r="EI57" t="s">
        <v>6</v>
      </c>
      <c r="EJ57">
        <v>1</v>
      </c>
      <c r="EK57">
        <v>10001</v>
      </c>
      <c r="EL57" t="s">
        <v>32</v>
      </c>
      <c r="EM57" t="s">
        <v>33</v>
      </c>
      <c r="EO57" t="s">
        <v>6</v>
      </c>
      <c r="EQ57">
        <v>0</v>
      </c>
      <c r="ER57">
        <v>3.93</v>
      </c>
      <c r="ES57">
        <v>3.93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46"/>
        <v>0</v>
      </c>
      <c r="FS57">
        <v>0</v>
      </c>
      <c r="FT57" t="s">
        <v>22</v>
      </c>
      <c r="FU57" t="s">
        <v>23</v>
      </c>
      <c r="FX57">
        <v>106.2</v>
      </c>
      <c r="FY57">
        <v>53.55</v>
      </c>
      <c r="GA57" t="s">
        <v>6</v>
      </c>
      <c r="GD57">
        <v>0</v>
      </c>
      <c r="GF57">
        <v>1426628376</v>
      </c>
      <c r="GG57">
        <v>1</v>
      </c>
      <c r="GH57">
        <v>1</v>
      </c>
      <c r="GI57">
        <v>4</v>
      </c>
      <c r="GJ57">
        <v>0</v>
      </c>
      <c r="GK57">
        <f>ROUND(R57*(R12)/100,2)</f>
        <v>0</v>
      </c>
      <c r="GL57">
        <f t="shared" si="47"/>
        <v>0</v>
      </c>
      <c r="GM57">
        <f t="shared" si="48"/>
        <v>2858.13</v>
      </c>
      <c r="GN57">
        <f t="shared" si="49"/>
        <v>2858.13</v>
      </c>
      <c r="GO57">
        <f t="shared" si="50"/>
        <v>0</v>
      </c>
      <c r="GP57">
        <f t="shared" si="51"/>
        <v>0</v>
      </c>
      <c r="GR57">
        <v>0</v>
      </c>
      <c r="GS57">
        <v>3</v>
      </c>
      <c r="GT57">
        <v>0</v>
      </c>
      <c r="GU57" t="s">
        <v>6</v>
      </c>
      <c r="GV57">
        <f t="shared" si="52"/>
        <v>0</v>
      </c>
      <c r="GW57">
        <v>1</v>
      </c>
      <c r="GX57">
        <f t="shared" si="53"/>
        <v>0</v>
      </c>
      <c r="HA57">
        <v>0</v>
      </c>
      <c r="HB57">
        <v>0</v>
      </c>
      <c r="HC57">
        <f t="shared" si="54"/>
        <v>0</v>
      </c>
      <c r="IK57">
        <v>0</v>
      </c>
    </row>
    <row r="58" spans="1:245" x14ac:dyDescent="0.2">
      <c r="A58">
        <v>18</v>
      </c>
      <c r="B58">
        <v>1</v>
      </c>
      <c r="C58">
        <v>86</v>
      </c>
      <c r="E58" t="s">
        <v>166</v>
      </c>
      <c r="F58" t="s">
        <v>167</v>
      </c>
      <c r="G58" t="s">
        <v>168</v>
      </c>
      <c r="H58" t="s">
        <v>150</v>
      </c>
      <c r="I58">
        <f>I55*J58</f>
        <v>119.8</v>
      </c>
      <c r="J58">
        <v>54.012623985572588</v>
      </c>
      <c r="O58">
        <f t="shared" si="21"/>
        <v>16545.349999999999</v>
      </c>
      <c r="P58">
        <f t="shared" si="22"/>
        <v>16545.349999999999</v>
      </c>
      <c r="Q58">
        <f t="shared" si="23"/>
        <v>0</v>
      </c>
      <c r="R58">
        <f t="shared" si="24"/>
        <v>0</v>
      </c>
      <c r="S58">
        <f t="shared" si="25"/>
        <v>0</v>
      </c>
      <c r="T58">
        <f t="shared" si="26"/>
        <v>0</v>
      </c>
      <c r="U58">
        <f t="shared" si="27"/>
        <v>0</v>
      </c>
      <c r="V58">
        <f t="shared" si="28"/>
        <v>0</v>
      </c>
      <c r="W58">
        <f t="shared" si="29"/>
        <v>0</v>
      </c>
      <c r="X58">
        <f t="shared" si="30"/>
        <v>0</v>
      </c>
      <c r="Y58">
        <f t="shared" si="31"/>
        <v>0</v>
      </c>
      <c r="AA58">
        <v>16630606</v>
      </c>
      <c r="AB58">
        <f t="shared" si="32"/>
        <v>19.37</v>
      </c>
      <c r="AC58">
        <f t="shared" si="55"/>
        <v>19.37</v>
      </c>
      <c r="AD58">
        <f>ROUND((((ET58)-(EU58))+AE58),2)</f>
        <v>0</v>
      </c>
      <c r="AE58">
        <f t="shared" si="63"/>
        <v>0</v>
      </c>
      <c r="AF58">
        <f t="shared" si="63"/>
        <v>0</v>
      </c>
      <c r="AG58">
        <f t="shared" si="33"/>
        <v>0</v>
      </c>
      <c r="AH58">
        <f t="shared" si="64"/>
        <v>0</v>
      </c>
      <c r="AI58">
        <f t="shared" si="64"/>
        <v>0</v>
      </c>
      <c r="AJ58">
        <f t="shared" si="34"/>
        <v>0</v>
      </c>
      <c r="AK58">
        <v>19.37</v>
      </c>
      <c r="AL58">
        <v>19.37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106</v>
      </c>
      <c r="AU58">
        <v>54</v>
      </c>
      <c r="AV58">
        <v>1</v>
      </c>
      <c r="AW58">
        <v>1</v>
      </c>
      <c r="AZ58">
        <v>7.13</v>
      </c>
      <c r="BA58">
        <v>1</v>
      </c>
      <c r="BB58">
        <v>1</v>
      </c>
      <c r="BC58">
        <v>7.13</v>
      </c>
      <c r="BD58" t="s">
        <v>6</v>
      </c>
      <c r="BE58" t="s">
        <v>6</v>
      </c>
      <c r="BF58" t="s">
        <v>6</v>
      </c>
      <c r="BG58" t="s">
        <v>6</v>
      </c>
      <c r="BH58">
        <v>3</v>
      </c>
      <c r="BI58">
        <v>1</v>
      </c>
      <c r="BJ58" t="s">
        <v>169</v>
      </c>
      <c r="BM58">
        <v>10001</v>
      </c>
      <c r="BN58">
        <v>0</v>
      </c>
      <c r="BO58" t="s">
        <v>6</v>
      </c>
      <c r="BP58">
        <v>0</v>
      </c>
      <c r="BQ58">
        <v>2</v>
      </c>
      <c r="BR58">
        <v>0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6</v>
      </c>
      <c r="BZ58">
        <v>118</v>
      </c>
      <c r="CA58">
        <v>63</v>
      </c>
      <c r="CE58">
        <v>0</v>
      </c>
      <c r="CF58">
        <v>0</v>
      </c>
      <c r="CG58">
        <v>0</v>
      </c>
      <c r="CM58">
        <v>0</v>
      </c>
      <c r="CN58" t="s">
        <v>6</v>
      </c>
      <c r="CO58">
        <v>0</v>
      </c>
      <c r="CP58">
        <f t="shared" si="35"/>
        <v>16545.349999999999</v>
      </c>
      <c r="CQ58">
        <f t="shared" si="36"/>
        <v>138.10810000000001</v>
      </c>
      <c r="CR58">
        <f t="shared" si="37"/>
        <v>0</v>
      </c>
      <c r="CS58">
        <f t="shared" si="38"/>
        <v>0</v>
      </c>
      <c r="CT58">
        <f t="shared" si="39"/>
        <v>0</v>
      </c>
      <c r="CU58">
        <f t="shared" si="40"/>
        <v>0</v>
      </c>
      <c r="CV58">
        <f t="shared" si="41"/>
        <v>0</v>
      </c>
      <c r="CW58">
        <f t="shared" si="42"/>
        <v>0</v>
      </c>
      <c r="CX58">
        <f t="shared" si="43"/>
        <v>0</v>
      </c>
      <c r="CY58">
        <f t="shared" si="44"/>
        <v>0</v>
      </c>
      <c r="CZ58">
        <f t="shared" si="45"/>
        <v>0</v>
      </c>
      <c r="DC58" t="s">
        <v>6</v>
      </c>
      <c r="DD58" t="s">
        <v>6</v>
      </c>
      <c r="DE58" t="s">
        <v>6</v>
      </c>
      <c r="DF58" t="s">
        <v>6</v>
      </c>
      <c r="DG58" t="s">
        <v>6</v>
      </c>
      <c r="DH58" t="s">
        <v>6</v>
      </c>
      <c r="DI58" t="s">
        <v>6</v>
      </c>
      <c r="DJ58" t="s">
        <v>6</v>
      </c>
      <c r="DK58" t="s">
        <v>6</v>
      </c>
      <c r="DL58" t="s">
        <v>6</v>
      </c>
      <c r="DM58" t="s">
        <v>6</v>
      </c>
      <c r="DN58">
        <v>0</v>
      </c>
      <c r="DO58">
        <v>0</v>
      </c>
      <c r="DP58">
        <v>1</v>
      </c>
      <c r="DQ58">
        <v>1</v>
      </c>
      <c r="DU58">
        <v>1003</v>
      </c>
      <c r="DV58" t="s">
        <v>150</v>
      </c>
      <c r="DW58" t="s">
        <v>150</v>
      </c>
      <c r="DX58">
        <v>1</v>
      </c>
      <c r="EE58">
        <v>16609107</v>
      </c>
      <c r="EF58">
        <v>2</v>
      </c>
      <c r="EG58" t="s">
        <v>14</v>
      </c>
      <c r="EH58">
        <v>0</v>
      </c>
      <c r="EI58" t="s">
        <v>6</v>
      </c>
      <c r="EJ58">
        <v>1</v>
      </c>
      <c r="EK58">
        <v>10001</v>
      </c>
      <c r="EL58" t="s">
        <v>32</v>
      </c>
      <c r="EM58" t="s">
        <v>33</v>
      </c>
      <c r="EO58" t="s">
        <v>6</v>
      </c>
      <c r="EQ58">
        <v>0</v>
      </c>
      <c r="ER58">
        <v>19.37</v>
      </c>
      <c r="ES58">
        <v>19.37</v>
      </c>
      <c r="ET58">
        <v>0</v>
      </c>
      <c r="EU58">
        <v>0</v>
      </c>
      <c r="EV58">
        <v>0</v>
      </c>
      <c r="EW58">
        <v>0</v>
      </c>
      <c r="EX58">
        <v>0</v>
      </c>
      <c r="FQ58">
        <v>0</v>
      </c>
      <c r="FR58">
        <f t="shared" si="46"/>
        <v>0</v>
      </c>
      <c r="FS58">
        <v>0</v>
      </c>
      <c r="FT58" t="s">
        <v>22</v>
      </c>
      <c r="FU58" t="s">
        <v>23</v>
      </c>
      <c r="FX58">
        <v>106.2</v>
      </c>
      <c r="FY58">
        <v>53.55</v>
      </c>
      <c r="GA58" t="s">
        <v>6</v>
      </c>
      <c r="GD58">
        <v>0</v>
      </c>
      <c r="GF58">
        <v>-1018238883</v>
      </c>
      <c r="GG58">
        <v>1</v>
      </c>
      <c r="GH58">
        <v>1</v>
      </c>
      <c r="GI58">
        <v>4</v>
      </c>
      <c r="GJ58">
        <v>0</v>
      </c>
      <c r="GK58">
        <f>ROUND(R58*(R12)/100,2)</f>
        <v>0</v>
      </c>
      <c r="GL58">
        <f t="shared" si="47"/>
        <v>0</v>
      </c>
      <c r="GM58">
        <f t="shared" si="48"/>
        <v>16545.349999999999</v>
      </c>
      <c r="GN58">
        <f t="shared" si="49"/>
        <v>16545.349999999999</v>
      </c>
      <c r="GO58">
        <f t="shared" si="50"/>
        <v>0</v>
      </c>
      <c r="GP58">
        <f t="shared" si="51"/>
        <v>0</v>
      </c>
      <c r="GR58">
        <v>0</v>
      </c>
      <c r="GS58">
        <v>3</v>
      </c>
      <c r="GT58">
        <v>0</v>
      </c>
      <c r="GU58" t="s">
        <v>6</v>
      </c>
      <c r="GV58">
        <f t="shared" si="52"/>
        <v>0</v>
      </c>
      <c r="GW58">
        <v>1</v>
      </c>
      <c r="GX58">
        <f t="shared" si="53"/>
        <v>0</v>
      </c>
      <c r="HA58">
        <v>0</v>
      </c>
      <c r="HB58">
        <v>0</v>
      </c>
      <c r="HC58">
        <f t="shared" si="54"/>
        <v>0</v>
      </c>
      <c r="IK58">
        <v>0</v>
      </c>
    </row>
    <row r="59" spans="1:245" x14ac:dyDescent="0.2">
      <c r="A59">
        <v>17</v>
      </c>
      <c r="B59">
        <v>1</v>
      </c>
      <c r="C59">
        <f>ROW(SmtRes!A97)</f>
        <v>97</v>
      </c>
      <c r="D59">
        <f>ROW(EtalonRes!A103)</f>
        <v>103</v>
      </c>
      <c r="E59" t="s">
        <v>170</v>
      </c>
      <c r="F59" t="s">
        <v>171</v>
      </c>
      <c r="G59" t="s">
        <v>172</v>
      </c>
      <c r="H59" t="s">
        <v>18</v>
      </c>
      <c r="I59">
        <f>ROUND(34.86/100,9)</f>
        <v>0.34860000000000002</v>
      </c>
      <c r="J59">
        <v>0</v>
      </c>
      <c r="O59">
        <f t="shared" si="21"/>
        <v>9591.5499999999993</v>
      </c>
      <c r="P59">
        <f t="shared" si="22"/>
        <v>4234.88</v>
      </c>
      <c r="Q59">
        <f t="shared" si="23"/>
        <v>3007.43</v>
      </c>
      <c r="R59">
        <f t="shared" si="24"/>
        <v>478.16</v>
      </c>
      <c r="S59">
        <f t="shared" si="25"/>
        <v>2349.2399999999998</v>
      </c>
      <c r="T59">
        <f t="shared" si="26"/>
        <v>0</v>
      </c>
      <c r="U59">
        <f t="shared" si="27"/>
        <v>35.891681699999999</v>
      </c>
      <c r="V59">
        <f t="shared" si="28"/>
        <v>5.0895600000000005</v>
      </c>
      <c r="W59">
        <f t="shared" si="29"/>
        <v>0</v>
      </c>
      <c r="X59">
        <f t="shared" si="30"/>
        <v>2997.04</v>
      </c>
      <c r="Y59">
        <f t="shared" si="31"/>
        <v>1526.8</v>
      </c>
      <c r="AA59">
        <v>16630606</v>
      </c>
      <c r="AB59">
        <f t="shared" si="32"/>
        <v>3858.97</v>
      </c>
      <c r="AC59">
        <f t="shared" si="55"/>
        <v>1703.82</v>
      </c>
      <c r="AD59">
        <f>ROUND(((((ET59*1.25))-((EU59*1.25)))+AE59),2)</f>
        <v>1209.98</v>
      </c>
      <c r="AE59">
        <f>ROUND(((EU59*1.25)),2)</f>
        <v>192.38</v>
      </c>
      <c r="AF59">
        <f>ROUND(((EV59*1.15)),2)</f>
        <v>945.17</v>
      </c>
      <c r="AG59">
        <f t="shared" si="33"/>
        <v>0</v>
      </c>
      <c r="AH59">
        <f>((EW59*1.15))</f>
        <v>102.95949999999999</v>
      </c>
      <c r="AI59">
        <f>((EX59*1.25))</f>
        <v>14.6</v>
      </c>
      <c r="AJ59">
        <f t="shared" si="34"/>
        <v>0</v>
      </c>
      <c r="AK59">
        <v>3493.69</v>
      </c>
      <c r="AL59">
        <v>1703.82</v>
      </c>
      <c r="AM59">
        <v>967.98</v>
      </c>
      <c r="AN59">
        <v>153.9</v>
      </c>
      <c r="AO59">
        <v>821.89</v>
      </c>
      <c r="AP59">
        <v>0</v>
      </c>
      <c r="AQ59">
        <v>89.53</v>
      </c>
      <c r="AR59">
        <v>11.68</v>
      </c>
      <c r="AS59">
        <v>0</v>
      </c>
      <c r="AT59">
        <v>106</v>
      </c>
      <c r="AU59">
        <v>54</v>
      </c>
      <c r="AV59">
        <v>1</v>
      </c>
      <c r="AW59">
        <v>1</v>
      </c>
      <c r="AZ59">
        <v>7.13</v>
      </c>
      <c r="BA59">
        <v>7.13</v>
      </c>
      <c r="BB59">
        <v>7.13</v>
      </c>
      <c r="BC59">
        <v>7.13</v>
      </c>
      <c r="BD59" t="s">
        <v>6</v>
      </c>
      <c r="BE59" t="s">
        <v>6</v>
      </c>
      <c r="BF59" t="s">
        <v>6</v>
      </c>
      <c r="BG59" t="s">
        <v>6</v>
      </c>
      <c r="BH59">
        <v>0</v>
      </c>
      <c r="BI59">
        <v>1</v>
      </c>
      <c r="BJ59" t="s">
        <v>173</v>
      </c>
      <c r="BM59">
        <v>10001</v>
      </c>
      <c r="BN59">
        <v>0</v>
      </c>
      <c r="BO59" t="s">
        <v>6</v>
      </c>
      <c r="BP59">
        <v>0</v>
      </c>
      <c r="BQ59">
        <v>2</v>
      </c>
      <c r="BR59">
        <v>0</v>
      </c>
      <c r="BS59">
        <v>7.13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118</v>
      </c>
      <c r="CA59">
        <v>63</v>
      </c>
      <c r="CE59">
        <v>0</v>
      </c>
      <c r="CF59">
        <v>0</v>
      </c>
      <c r="CG59">
        <v>0</v>
      </c>
      <c r="CM59">
        <v>0</v>
      </c>
      <c r="CN59" t="s">
        <v>1758</v>
      </c>
      <c r="CO59">
        <v>0</v>
      </c>
      <c r="CP59">
        <f t="shared" si="35"/>
        <v>9591.5499999999993</v>
      </c>
      <c r="CQ59">
        <f t="shared" si="36"/>
        <v>12148.2366</v>
      </c>
      <c r="CR59">
        <f t="shared" si="37"/>
        <v>8627.1574000000001</v>
      </c>
      <c r="CS59">
        <f t="shared" si="38"/>
        <v>1371.6694</v>
      </c>
      <c r="CT59">
        <f t="shared" si="39"/>
        <v>6739.0620999999992</v>
      </c>
      <c r="CU59">
        <f t="shared" si="40"/>
        <v>0</v>
      </c>
      <c r="CV59">
        <f t="shared" si="41"/>
        <v>102.95949999999999</v>
      </c>
      <c r="CW59">
        <f t="shared" si="42"/>
        <v>14.6</v>
      </c>
      <c r="CX59">
        <f t="shared" si="43"/>
        <v>0</v>
      </c>
      <c r="CY59">
        <f t="shared" si="44"/>
        <v>2997.0439999999999</v>
      </c>
      <c r="CZ59">
        <f t="shared" si="45"/>
        <v>1526.7959999999998</v>
      </c>
      <c r="DC59" t="s">
        <v>6</v>
      </c>
      <c r="DD59" t="s">
        <v>6</v>
      </c>
      <c r="DE59" t="s">
        <v>81</v>
      </c>
      <c r="DF59" t="s">
        <v>81</v>
      </c>
      <c r="DG59" t="s">
        <v>82</v>
      </c>
      <c r="DH59" t="s">
        <v>6</v>
      </c>
      <c r="DI59" t="s">
        <v>82</v>
      </c>
      <c r="DJ59" t="s">
        <v>81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1005</v>
      </c>
      <c r="DV59" t="s">
        <v>18</v>
      </c>
      <c r="DW59" t="s">
        <v>18</v>
      </c>
      <c r="DX59">
        <v>100</v>
      </c>
      <c r="EE59">
        <v>16609107</v>
      </c>
      <c r="EF59">
        <v>2</v>
      </c>
      <c r="EG59" t="s">
        <v>14</v>
      </c>
      <c r="EH59">
        <v>0</v>
      </c>
      <c r="EI59" t="s">
        <v>6</v>
      </c>
      <c r="EJ59">
        <v>1</v>
      </c>
      <c r="EK59">
        <v>10001</v>
      </c>
      <c r="EL59" t="s">
        <v>32</v>
      </c>
      <c r="EM59" t="s">
        <v>33</v>
      </c>
      <c r="EO59" t="s">
        <v>83</v>
      </c>
      <c r="EQ59">
        <v>131072</v>
      </c>
      <c r="ER59">
        <v>3493.69</v>
      </c>
      <c r="ES59">
        <v>1703.82</v>
      </c>
      <c r="ET59">
        <v>967.98</v>
      </c>
      <c r="EU59">
        <v>153.9</v>
      </c>
      <c r="EV59">
        <v>821.89</v>
      </c>
      <c r="EW59">
        <v>89.53</v>
      </c>
      <c r="EX59">
        <v>11.68</v>
      </c>
      <c r="EY59">
        <v>0</v>
      </c>
      <c r="FQ59">
        <v>0</v>
      </c>
      <c r="FR59">
        <f t="shared" si="46"/>
        <v>0</v>
      </c>
      <c r="FS59">
        <v>0</v>
      </c>
      <c r="FT59" t="s">
        <v>22</v>
      </c>
      <c r="FU59" t="s">
        <v>23</v>
      </c>
      <c r="FX59">
        <v>106.2</v>
      </c>
      <c r="FY59">
        <v>53.55</v>
      </c>
      <c r="GA59" t="s">
        <v>6</v>
      </c>
      <c r="GD59">
        <v>0</v>
      </c>
      <c r="GF59">
        <v>-2063365966</v>
      </c>
      <c r="GG59">
        <v>1</v>
      </c>
      <c r="GH59">
        <v>1</v>
      </c>
      <c r="GI59">
        <v>4</v>
      </c>
      <c r="GJ59">
        <v>0</v>
      </c>
      <c r="GK59">
        <f>ROUND(R59*(R12)/100,2)</f>
        <v>0</v>
      </c>
      <c r="GL59">
        <f t="shared" si="47"/>
        <v>0</v>
      </c>
      <c r="GM59">
        <f t="shared" si="48"/>
        <v>14115.39</v>
      </c>
      <c r="GN59">
        <f t="shared" si="49"/>
        <v>14115.39</v>
      </c>
      <c r="GO59">
        <f t="shared" si="50"/>
        <v>0</v>
      </c>
      <c r="GP59">
        <f t="shared" si="51"/>
        <v>0</v>
      </c>
      <c r="GR59">
        <v>0</v>
      </c>
      <c r="GS59">
        <v>3</v>
      </c>
      <c r="GT59">
        <v>0</v>
      </c>
      <c r="GU59" t="s">
        <v>6</v>
      </c>
      <c r="GV59">
        <f t="shared" si="52"/>
        <v>0</v>
      </c>
      <c r="GW59">
        <v>1</v>
      </c>
      <c r="GX59">
        <f t="shared" si="53"/>
        <v>0</v>
      </c>
      <c r="HA59">
        <v>0</v>
      </c>
      <c r="HB59">
        <v>0</v>
      </c>
      <c r="HC59">
        <f t="shared" si="54"/>
        <v>0</v>
      </c>
      <c r="IK59">
        <v>0</v>
      </c>
    </row>
    <row r="60" spans="1:245" x14ac:dyDescent="0.2">
      <c r="A60">
        <v>18</v>
      </c>
      <c r="B60">
        <v>1</v>
      </c>
      <c r="C60">
        <v>91</v>
      </c>
      <c r="E60" t="s">
        <v>174</v>
      </c>
      <c r="F60" t="s">
        <v>175</v>
      </c>
      <c r="G60" t="s">
        <v>176</v>
      </c>
      <c r="H60" t="s">
        <v>177</v>
      </c>
      <c r="I60">
        <f>I59*J60</f>
        <v>22</v>
      </c>
      <c r="J60">
        <v>63.109581181870333</v>
      </c>
      <c r="O60">
        <f t="shared" ref="O60:O91" si="65">ROUND(CP60,2)</f>
        <v>14851.5</v>
      </c>
      <c r="P60">
        <f t="shared" ref="P60:P91" si="66">ROUND(CQ60*I60,2)</f>
        <v>14851.5</v>
      </c>
      <c r="Q60">
        <f t="shared" ref="Q60:Q91" si="67">ROUND(CR60*I60,2)</f>
        <v>0</v>
      </c>
      <c r="R60">
        <f t="shared" ref="R60:R91" si="68">ROUND(CS60*I60,2)</f>
        <v>0</v>
      </c>
      <c r="S60">
        <f t="shared" ref="S60:S91" si="69">ROUND(CT60*I60,2)</f>
        <v>0</v>
      </c>
      <c r="T60">
        <f t="shared" ref="T60:T91" si="70">ROUND(CU60*I60,2)</f>
        <v>0</v>
      </c>
      <c r="U60">
        <f t="shared" ref="U60:U91" si="71">CV60*I60</f>
        <v>0</v>
      </c>
      <c r="V60">
        <f t="shared" ref="V60:V91" si="72">CW60*I60</f>
        <v>0</v>
      </c>
      <c r="W60">
        <f t="shared" ref="W60:W91" si="73">ROUND(CX60*I60,2)</f>
        <v>0</v>
      </c>
      <c r="X60">
        <f t="shared" ref="X60:X91" si="74">ROUND(CY60,2)</f>
        <v>0</v>
      </c>
      <c r="Y60">
        <f t="shared" ref="Y60:Y91" si="75">ROUND(CZ60,2)</f>
        <v>0</v>
      </c>
      <c r="AA60">
        <v>16630606</v>
      </c>
      <c r="AB60">
        <f t="shared" ref="AB60:AB91" si="76">ROUND((AC60+AD60+AF60),2)</f>
        <v>94.68</v>
      </c>
      <c r="AC60">
        <f t="shared" si="55"/>
        <v>94.68</v>
      </c>
      <c r="AD60">
        <f>ROUND((((ET60)-(EU60))+AE60),2)</f>
        <v>0</v>
      </c>
      <c r="AE60">
        <f t="shared" ref="AE60:AF62" si="77">ROUND((EU60),2)</f>
        <v>0</v>
      </c>
      <c r="AF60">
        <f t="shared" si="77"/>
        <v>0</v>
      </c>
      <c r="AG60">
        <f t="shared" ref="AG60:AG91" si="78">ROUND((AP60),2)</f>
        <v>0</v>
      </c>
      <c r="AH60">
        <f t="shared" ref="AH60:AI62" si="79">(EW60)</f>
        <v>0</v>
      </c>
      <c r="AI60">
        <f t="shared" si="79"/>
        <v>0</v>
      </c>
      <c r="AJ60">
        <f t="shared" ref="AJ60:AJ91" si="80">(AS60)</f>
        <v>0</v>
      </c>
      <c r="AK60">
        <v>94.68</v>
      </c>
      <c r="AL60">
        <v>94.68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106</v>
      </c>
      <c r="AU60">
        <v>54</v>
      </c>
      <c r="AV60">
        <v>1</v>
      </c>
      <c r="AW60">
        <v>1</v>
      </c>
      <c r="AZ60">
        <v>7.13</v>
      </c>
      <c r="BA60">
        <v>1</v>
      </c>
      <c r="BB60">
        <v>1</v>
      </c>
      <c r="BC60">
        <v>7.13</v>
      </c>
      <c r="BD60" t="s">
        <v>6</v>
      </c>
      <c r="BE60" t="s">
        <v>6</v>
      </c>
      <c r="BF60" t="s">
        <v>6</v>
      </c>
      <c r="BG60" t="s">
        <v>6</v>
      </c>
      <c r="BH60">
        <v>3</v>
      </c>
      <c r="BI60">
        <v>1</v>
      </c>
      <c r="BJ60" t="s">
        <v>178</v>
      </c>
      <c r="BM60">
        <v>10001</v>
      </c>
      <c r="BN60">
        <v>0</v>
      </c>
      <c r="BO60" t="s">
        <v>6</v>
      </c>
      <c r="BP60">
        <v>0</v>
      </c>
      <c r="BQ60">
        <v>2</v>
      </c>
      <c r="BR60">
        <v>0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6</v>
      </c>
      <c r="BZ60">
        <v>118</v>
      </c>
      <c r="CA60">
        <v>63</v>
      </c>
      <c r="CE60">
        <v>0</v>
      </c>
      <c r="CF60">
        <v>0</v>
      </c>
      <c r="CG60">
        <v>0</v>
      </c>
      <c r="CM60">
        <v>0</v>
      </c>
      <c r="CN60" t="s">
        <v>6</v>
      </c>
      <c r="CO60">
        <v>0</v>
      </c>
      <c r="CP60">
        <f t="shared" ref="CP60:CP91" si="81">(P60+Q60+S60)</f>
        <v>14851.5</v>
      </c>
      <c r="CQ60">
        <f t="shared" ref="CQ60:CQ91" si="82">AC60*BC60</f>
        <v>675.0684</v>
      </c>
      <c r="CR60">
        <f t="shared" ref="CR60:CR91" si="83">AD60*BB60</f>
        <v>0</v>
      </c>
      <c r="CS60">
        <f t="shared" ref="CS60:CS91" si="84">AE60*BS60</f>
        <v>0</v>
      </c>
      <c r="CT60">
        <f t="shared" ref="CT60:CT91" si="85">AF60*BA60</f>
        <v>0</v>
      </c>
      <c r="CU60">
        <f t="shared" ref="CU60:CU91" si="86">AG60</f>
        <v>0</v>
      </c>
      <c r="CV60">
        <f t="shared" ref="CV60:CV91" si="87">AH60</f>
        <v>0</v>
      </c>
      <c r="CW60">
        <f t="shared" ref="CW60:CW91" si="88">AI60</f>
        <v>0</v>
      </c>
      <c r="CX60">
        <f t="shared" ref="CX60:CX91" si="89">AJ60</f>
        <v>0</v>
      </c>
      <c r="CY60">
        <f t="shared" ref="CY60:CY91" si="90">(((S60+R60)*AT60)/100)</f>
        <v>0</v>
      </c>
      <c r="CZ60">
        <f t="shared" ref="CZ60:CZ91" si="91">(((S60+R60)*AU60)/100)</f>
        <v>0</v>
      </c>
      <c r="DC60" t="s">
        <v>6</v>
      </c>
      <c r="DD60" t="s">
        <v>6</v>
      </c>
      <c r="DE60" t="s">
        <v>6</v>
      </c>
      <c r="DF60" t="s">
        <v>6</v>
      </c>
      <c r="DG60" t="s">
        <v>6</v>
      </c>
      <c r="DH60" t="s">
        <v>6</v>
      </c>
      <c r="DI60" t="s">
        <v>6</v>
      </c>
      <c r="DJ60" t="s">
        <v>6</v>
      </c>
      <c r="DK60" t="s">
        <v>6</v>
      </c>
      <c r="DL60" t="s">
        <v>6</v>
      </c>
      <c r="DM60" t="s">
        <v>6</v>
      </c>
      <c r="DN60">
        <v>0</v>
      </c>
      <c r="DO60">
        <v>0</v>
      </c>
      <c r="DP60">
        <v>1</v>
      </c>
      <c r="DQ60">
        <v>1</v>
      </c>
      <c r="DU60">
        <v>1013</v>
      </c>
      <c r="DV60" t="s">
        <v>177</v>
      </c>
      <c r="DW60" t="s">
        <v>177</v>
      </c>
      <c r="DX60">
        <v>1</v>
      </c>
      <c r="EE60">
        <v>16609107</v>
      </c>
      <c r="EF60">
        <v>2</v>
      </c>
      <c r="EG60" t="s">
        <v>14</v>
      </c>
      <c r="EH60">
        <v>0</v>
      </c>
      <c r="EI60" t="s">
        <v>6</v>
      </c>
      <c r="EJ60">
        <v>1</v>
      </c>
      <c r="EK60">
        <v>10001</v>
      </c>
      <c r="EL60" t="s">
        <v>32</v>
      </c>
      <c r="EM60" t="s">
        <v>33</v>
      </c>
      <c r="EO60" t="s">
        <v>6</v>
      </c>
      <c r="EQ60">
        <v>0</v>
      </c>
      <c r="ER60">
        <v>94.68</v>
      </c>
      <c r="ES60">
        <v>94.68</v>
      </c>
      <c r="ET60">
        <v>0</v>
      </c>
      <c r="EU60">
        <v>0</v>
      </c>
      <c r="EV60">
        <v>0</v>
      </c>
      <c r="EW60">
        <v>0</v>
      </c>
      <c r="EX60">
        <v>0</v>
      </c>
      <c r="FQ60">
        <v>0</v>
      </c>
      <c r="FR60">
        <f t="shared" ref="FR60:FR91" si="92">ROUND(IF(AND(BH60=3,BI60=3),P60,0),2)</f>
        <v>0</v>
      </c>
      <c r="FS60">
        <v>0</v>
      </c>
      <c r="FT60" t="s">
        <v>22</v>
      </c>
      <c r="FU60" t="s">
        <v>23</v>
      </c>
      <c r="FX60">
        <v>106.2</v>
      </c>
      <c r="FY60">
        <v>53.55</v>
      </c>
      <c r="GA60" t="s">
        <v>6</v>
      </c>
      <c r="GD60">
        <v>0</v>
      </c>
      <c r="GF60">
        <v>-347778458</v>
      </c>
      <c r="GG60">
        <v>1</v>
      </c>
      <c r="GH60">
        <v>1</v>
      </c>
      <c r="GI60">
        <v>4</v>
      </c>
      <c r="GJ60">
        <v>0</v>
      </c>
      <c r="GK60">
        <f>ROUND(R60*(R12)/100,2)</f>
        <v>0</v>
      </c>
      <c r="GL60">
        <f t="shared" ref="GL60:GL91" si="93">ROUND(IF(AND(BH60=3,BI60=3,FS60&lt;&gt;0),P60,0),2)</f>
        <v>0</v>
      </c>
      <c r="GM60">
        <f t="shared" ref="GM60:GM91" si="94">ROUND(O60+X60+Y60+GK60,2)+GX60</f>
        <v>14851.5</v>
      </c>
      <c r="GN60">
        <f t="shared" ref="GN60:GN91" si="95">IF(OR(BI60=0,BI60=1),ROUND(O60+X60+Y60+GK60,2),0)</f>
        <v>14851.5</v>
      </c>
      <c r="GO60">
        <f t="shared" ref="GO60:GO91" si="96">IF(BI60=2,ROUND(O60+X60+Y60+GK60,2),0)</f>
        <v>0</v>
      </c>
      <c r="GP60">
        <f t="shared" ref="GP60:GP91" si="97">IF(BI60=4,ROUND(O60+X60+Y60+GK60,2)+GX60,0)</f>
        <v>0</v>
      </c>
      <c r="GR60">
        <v>0</v>
      </c>
      <c r="GS60">
        <v>3</v>
      </c>
      <c r="GT60">
        <v>0</v>
      </c>
      <c r="GU60" t="s">
        <v>6</v>
      </c>
      <c r="GV60">
        <f t="shared" ref="GV60:GV91" si="98">ROUND((GT60),2)</f>
        <v>0</v>
      </c>
      <c r="GW60">
        <v>1</v>
      </c>
      <c r="GX60">
        <f t="shared" ref="GX60:GX91" si="99">ROUND(HC60*I60,2)</f>
        <v>0</v>
      </c>
      <c r="HA60">
        <v>0</v>
      </c>
      <c r="HB60">
        <v>0</v>
      </c>
      <c r="HC60">
        <f t="shared" ref="HC60:HC91" si="100">GV60*GW60</f>
        <v>0</v>
      </c>
      <c r="IK60">
        <v>0</v>
      </c>
    </row>
    <row r="61" spans="1:245" x14ac:dyDescent="0.2">
      <c r="A61">
        <v>18</v>
      </c>
      <c r="B61">
        <v>1</v>
      </c>
      <c r="C61">
        <v>96</v>
      </c>
      <c r="E61" t="s">
        <v>179</v>
      </c>
      <c r="F61" t="s">
        <v>180</v>
      </c>
      <c r="G61" t="s">
        <v>181</v>
      </c>
      <c r="H61" t="s">
        <v>177</v>
      </c>
      <c r="I61">
        <f>I59*J61</f>
        <v>10</v>
      </c>
      <c r="J61">
        <v>28.686173264486516</v>
      </c>
      <c r="O61">
        <f t="shared" si="65"/>
        <v>54480.33</v>
      </c>
      <c r="P61">
        <f t="shared" si="66"/>
        <v>54480.33</v>
      </c>
      <c r="Q61">
        <f t="shared" si="67"/>
        <v>0</v>
      </c>
      <c r="R61">
        <f t="shared" si="68"/>
        <v>0</v>
      </c>
      <c r="S61">
        <f t="shared" si="69"/>
        <v>0</v>
      </c>
      <c r="T61">
        <f t="shared" si="70"/>
        <v>0</v>
      </c>
      <c r="U61">
        <f t="shared" si="71"/>
        <v>0</v>
      </c>
      <c r="V61">
        <f t="shared" si="72"/>
        <v>0</v>
      </c>
      <c r="W61">
        <f t="shared" si="73"/>
        <v>0</v>
      </c>
      <c r="X61">
        <f t="shared" si="74"/>
        <v>0</v>
      </c>
      <c r="Y61">
        <f t="shared" si="75"/>
        <v>0</v>
      </c>
      <c r="AA61">
        <v>16630606</v>
      </c>
      <c r="AB61">
        <f t="shared" si="76"/>
        <v>764.1</v>
      </c>
      <c r="AC61">
        <f t="shared" si="55"/>
        <v>764.1</v>
      </c>
      <c r="AD61">
        <f>ROUND((((ET61)-(EU61))+AE61),2)</f>
        <v>0</v>
      </c>
      <c r="AE61">
        <f t="shared" si="77"/>
        <v>0</v>
      </c>
      <c r="AF61">
        <f t="shared" si="77"/>
        <v>0</v>
      </c>
      <c r="AG61">
        <f t="shared" si="78"/>
        <v>0</v>
      </c>
      <c r="AH61">
        <f t="shared" si="79"/>
        <v>0</v>
      </c>
      <c r="AI61">
        <f t="shared" si="79"/>
        <v>0</v>
      </c>
      <c r="AJ61">
        <f t="shared" si="80"/>
        <v>0</v>
      </c>
      <c r="AK61">
        <v>764.1</v>
      </c>
      <c r="AL61">
        <v>764.1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106</v>
      </c>
      <c r="AU61">
        <v>54</v>
      </c>
      <c r="AV61">
        <v>1</v>
      </c>
      <c r="AW61">
        <v>1</v>
      </c>
      <c r="AZ61">
        <v>7.13</v>
      </c>
      <c r="BA61">
        <v>1</v>
      </c>
      <c r="BB61">
        <v>1</v>
      </c>
      <c r="BC61">
        <v>7.13</v>
      </c>
      <c r="BD61" t="s">
        <v>6</v>
      </c>
      <c r="BE61" t="s">
        <v>6</v>
      </c>
      <c r="BF61" t="s">
        <v>6</v>
      </c>
      <c r="BG61" t="s">
        <v>6</v>
      </c>
      <c r="BH61">
        <v>3</v>
      </c>
      <c r="BI61">
        <v>1</v>
      </c>
      <c r="BJ61" t="s">
        <v>182</v>
      </c>
      <c r="BM61">
        <v>10001</v>
      </c>
      <c r="BN61">
        <v>0</v>
      </c>
      <c r="BO61" t="s">
        <v>6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118</v>
      </c>
      <c r="CA61">
        <v>63</v>
      </c>
      <c r="CE61">
        <v>0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81"/>
        <v>54480.33</v>
      </c>
      <c r="CQ61">
        <f t="shared" si="82"/>
        <v>5448.0330000000004</v>
      </c>
      <c r="CR61">
        <f t="shared" si="83"/>
        <v>0</v>
      </c>
      <c r="CS61">
        <f t="shared" si="84"/>
        <v>0</v>
      </c>
      <c r="CT61">
        <f t="shared" si="85"/>
        <v>0</v>
      </c>
      <c r="CU61">
        <f t="shared" si="86"/>
        <v>0</v>
      </c>
      <c r="CV61">
        <f t="shared" si="87"/>
        <v>0</v>
      </c>
      <c r="CW61">
        <f t="shared" si="88"/>
        <v>0</v>
      </c>
      <c r="CX61">
        <f t="shared" si="89"/>
        <v>0</v>
      </c>
      <c r="CY61">
        <f t="shared" si="90"/>
        <v>0</v>
      </c>
      <c r="CZ61">
        <f t="shared" si="91"/>
        <v>0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1013</v>
      </c>
      <c r="DV61" t="s">
        <v>177</v>
      </c>
      <c r="DW61" t="s">
        <v>177</v>
      </c>
      <c r="DX61">
        <v>1</v>
      </c>
      <c r="EE61">
        <v>16609107</v>
      </c>
      <c r="EF61">
        <v>2</v>
      </c>
      <c r="EG61" t="s">
        <v>14</v>
      </c>
      <c r="EH61">
        <v>0</v>
      </c>
      <c r="EI61" t="s">
        <v>6</v>
      </c>
      <c r="EJ61">
        <v>1</v>
      </c>
      <c r="EK61">
        <v>10001</v>
      </c>
      <c r="EL61" t="s">
        <v>32</v>
      </c>
      <c r="EM61" t="s">
        <v>33</v>
      </c>
      <c r="EO61" t="s">
        <v>6</v>
      </c>
      <c r="EQ61">
        <v>0</v>
      </c>
      <c r="ER61">
        <v>764.1</v>
      </c>
      <c r="ES61">
        <v>764.1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92"/>
        <v>0</v>
      </c>
      <c r="FS61">
        <v>0</v>
      </c>
      <c r="FT61" t="s">
        <v>22</v>
      </c>
      <c r="FU61" t="s">
        <v>23</v>
      </c>
      <c r="FX61">
        <v>106.2</v>
      </c>
      <c r="FY61">
        <v>53.55</v>
      </c>
      <c r="GA61" t="s">
        <v>6</v>
      </c>
      <c r="GD61">
        <v>0</v>
      </c>
      <c r="GF61">
        <v>1495185128</v>
      </c>
      <c r="GG61">
        <v>1</v>
      </c>
      <c r="GH61">
        <v>1</v>
      </c>
      <c r="GI61">
        <v>4</v>
      </c>
      <c r="GJ61">
        <v>0</v>
      </c>
      <c r="GK61">
        <f>ROUND(R61*(R12)/100,2)</f>
        <v>0</v>
      </c>
      <c r="GL61">
        <f t="shared" si="93"/>
        <v>0</v>
      </c>
      <c r="GM61">
        <f t="shared" si="94"/>
        <v>54480.33</v>
      </c>
      <c r="GN61">
        <f t="shared" si="95"/>
        <v>54480.33</v>
      </c>
      <c r="GO61">
        <f t="shared" si="96"/>
        <v>0</v>
      </c>
      <c r="GP61">
        <f t="shared" si="97"/>
        <v>0</v>
      </c>
      <c r="GR61">
        <v>0</v>
      </c>
      <c r="GS61">
        <v>3</v>
      </c>
      <c r="GT61">
        <v>0</v>
      </c>
      <c r="GU61" t="s">
        <v>6</v>
      </c>
      <c r="GV61">
        <f t="shared" si="98"/>
        <v>0</v>
      </c>
      <c r="GW61">
        <v>1</v>
      </c>
      <c r="GX61">
        <f t="shared" si="99"/>
        <v>0</v>
      </c>
      <c r="HA61">
        <v>0</v>
      </c>
      <c r="HB61">
        <v>0</v>
      </c>
      <c r="HC61">
        <f t="shared" si="100"/>
        <v>0</v>
      </c>
      <c r="IK61">
        <v>0</v>
      </c>
    </row>
    <row r="62" spans="1:245" x14ac:dyDescent="0.2">
      <c r="A62">
        <v>18</v>
      </c>
      <c r="B62">
        <v>1</v>
      </c>
      <c r="C62">
        <v>95</v>
      </c>
      <c r="E62" t="s">
        <v>183</v>
      </c>
      <c r="F62" t="s">
        <v>184</v>
      </c>
      <c r="G62" t="s">
        <v>185</v>
      </c>
      <c r="H62" t="s">
        <v>87</v>
      </c>
      <c r="I62">
        <f>I59*J62</f>
        <v>18.899999999999999</v>
      </c>
      <c r="J62">
        <v>54.21686746987951</v>
      </c>
      <c r="O62">
        <f t="shared" si="65"/>
        <v>28932.33</v>
      </c>
      <c r="P62">
        <f t="shared" si="66"/>
        <v>28932.33</v>
      </c>
      <c r="Q62">
        <f t="shared" si="67"/>
        <v>0</v>
      </c>
      <c r="R62">
        <f t="shared" si="68"/>
        <v>0</v>
      </c>
      <c r="S62">
        <f t="shared" si="69"/>
        <v>0</v>
      </c>
      <c r="T62">
        <f t="shared" si="70"/>
        <v>0</v>
      </c>
      <c r="U62">
        <f t="shared" si="71"/>
        <v>0</v>
      </c>
      <c r="V62">
        <f t="shared" si="72"/>
        <v>0</v>
      </c>
      <c r="W62">
        <f t="shared" si="73"/>
        <v>0</v>
      </c>
      <c r="X62">
        <f t="shared" si="74"/>
        <v>0</v>
      </c>
      <c r="Y62">
        <f t="shared" si="75"/>
        <v>0</v>
      </c>
      <c r="AA62">
        <v>16630606</v>
      </c>
      <c r="AB62">
        <f t="shared" si="76"/>
        <v>214.7</v>
      </c>
      <c r="AC62">
        <f t="shared" si="55"/>
        <v>214.7</v>
      </c>
      <c r="AD62">
        <f>ROUND((((ET62)-(EU62))+AE62),2)</f>
        <v>0</v>
      </c>
      <c r="AE62">
        <f t="shared" si="77"/>
        <v>0</v>
      </c>
      <c r="AF62">
        <f t="shared" si="77"/>
        <v>0</v>
      </c>
      <c r="AG62">
        <f t="shared" si="78"/>
        <v>0</v>
      </c>
      <c r="AH62">
        <f t="shared" si="79"/>
        <v>0</v>
      </c>
      <c r="AI62">
        <f t="shared" si="79"/>
        <v>0</v>
      </c>
      <c r="AJ62">
        <f t="shared" si="80"/>
        <v>0</v>
      </c>
      <c r="AK62">
        <v>214.7</v>
      </c>
      <c r="AL62">
        <v>214.7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106</v>
      </c>
      <c r="AU62">
        <v>54</v>
      </c>
      <c r="AV62">
        <v>1</v>
      </c>
      <c r="AW62">
        <v>1</v>
      </c>
      <c r="AZ62">
        <v>7.13</v>
      </c>
      <c r="BA62">
        <v>1</v>
      </c>
      <c r="BB62">
        <v>1</v>
      </c>
      <c r="BC62">
        <v>7.13</v>
      </c>
      <c r="BD62" t="s">
        <v>6</v>
      </c>
      <c r="BE62" t="s">
        <v>6</v>
      </c>
      <c r="BF62" t="s">
        <v>6</v>
      </c>
      <c r="BG62" t="s">
        <v>6</v>
      </c>
      <c r="BH62">
        <v>3</v>
      </c>
      <c r="BI62">
        <v>1</v>
      </c>
      <c r="BJ62" t="s">
        <v>186</v>
      </c>
      <c r="BM62">
        <v>10001</v>
      </c>
      <c r="BN62">
        <v>0</v>
      </c>
      <c r="BO62" t="s">
        <v>6</v>
      </c>
      <c r="BP62">
        <v>0</v>
      </c>
      <c r="BQ62">
        <v>2</v>
      </c>
      <c r="BR62">
        <v>0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6</v>
      </c>
      <c r="BZ62">
        <v>118</v>
      </c>
      <c r="CA62">
        <v>63</v>
      </c>
      <c r="CE62">
        <v>0</v>
      </c>
      <c r="CF62">
        <v>0</v>
      </c>
      <c r="CG62">
        <v>0</v>
      </c>
      <c r="CM62">
        <v>0</v>
      </c>
      <c r="CN62" t="s">
        <v>6</v>
      </c>
      <c r="CO62">
        <v>0</v>
      </c>
      <c r="CP62">
        <f t="shared" si="81"/>
        <v>28932.33</v>
      </c>
      <c r="CQ62">
        <f t="shared" si="82"/>
        <v>1530.8109999999999</v>
      </c>
      <c r="CR62">
        <f t="shared" si="83"/>
        <v>0</v>
      </c>
      <c r="CS62">
        <f t="shared" si="84"/>
        <v>0</v>
      </c>
      <c r="CT62">
        <f t="shared" si="85"/>
        <v>0</v>
      </c>
      <c r="CU62">
        <f t="shared" si="86"/>
        <v>0</v>
      </c>
      <c r="CV62">
        <f t="shared" si="87"/>
        <v>0</v>
      </c>
      <c r="CW62">
        <f t="shared" si="88"/>
        <v>0</v>
      </c>
      <c r="CX62">
        <f t="shared" si="89"/>
        <v>0</v>
      </c>
      <c r="CY62">
        <f t="shared" si="90"/>
        <v>0</v>
      </c>
      <c r="CZ62">
        <f t="shared" si="91"/>
        <v>0</v>
      </c>
      <c r="DC62" t="s">
        <v>6</v>
      </c>
      <c r="DD62" t="s">
        <v>6</v>
      </c>
      <c r="DE62" t="s">
        <v>6</v>
      </c>
      <c r="DF62" t="s">
        <v>6</v>
      </c>
      <c r="DG62" t="s">
        <v>6</v>
      </c>
      <c r="DH62" t="s">
        <v>6</v>
      </c>
      <c r="DI62" t="s">
        <v>6</v>
      </c>
      <c r="DJ62" t="s">
        <v>6</v>
      </c>
      <c r="DK62" t="s">
        <v>6</v>
      </c>
      <c r="DL62" t="s">
        <v>6</v>
      </c>
      <c r="DM62" t="s">
        <v>6</v>
      </c>
      <c r="DN62">
        <v>0</v>
      </c>
      <c r="DO62">
        <v>0</v>
      </c>
      <c r="DP62">
        <v>1</v>
      </c>
      <c r="DQ62">
        <v>1</v>
      </c>
      <c r="DU62">
        <v>1005</v>
      </c>
      <c r="DV62" t="s">
        <v>87</v>
      </c>
      <c r="DW62" t="s">
        <v>87</v>
      </c>
      <c r="DX62">
        <v>1</v>
      </c>
      <c r="EE62">
        <v>16609107</v>
      </c>
      <c r="EF62">
        <v>2</v>
      </c>
      <c r="EG62" t="s">
        <v>14</v>
      </c>
      <c r="EH62">
        <v>0</v>
      </c>
      <c r="EI62" t="s">
        <v>6</v>
      </c>
      <c r="EJ62">
        <v>1</v>
      </c>
      <c r="EK62">
        <v>10001</v>
      </c>
      <c r="EL62" t="s">
        <v>32</v>
      </c>
      <c r="EM62" t="s">
        <v>33</v>
      </c>
      <c r="EO62" t="s">
        <v>6</v>
      </c>
      <c r="EQ62">
        <v>0</v>
      </c>
      <c r="ER62">
        <v>214.7</v>
      </c>
      <c r="ES62">
        <v>214.7</v>
      </c>
      <c r="ET62">
        <v>0</v>
      </c>
      <c r="EU62">
        <v>0</v>
      </c>
      <c r="EV62">
        <v>0</v>
      </c>
      <c r="EW62">
        <v>0</v>
      </c>
      <c r="EX62">
        <v>0</v>
      </c>
      <c r="FQ62">
        <v>0</v>
      </c>
      <c r="FR62">
        <f t="shared" si="92"/>
        <v>0</v>
      </c>
      <c r="FS62">
        <v>0</v>
      </c>
      <c r="FT62" t="s">
        <v>22</v>
      </c>
      <c r="FU62" t="s">
        <v>23</v>
      </c>
      <c r="FX62">
        <v>106.2</v>
      </c>
      <c r="FY62">
        <v>53.55</v>
      </c>
      <c r="GA62" t="s">
        <v>6</v>
      </c>
      <c r="GD62">
        <v>0</v>
      </c>
      <c r="GF62">
        <v>-312402758</v>
      </c>
      <c r="GG62">
        <v>1</v>
      </c>
      <c r="GH62">
        <v>1</v>
      </c>
      <c r="GI62">
        <v>4</v>
      </c>
      <c r="GJ62">
        <v>0</v>
      </c>
      <c r="GK62">
        <f>ROUND(R62*(R12)/100,2)</f>
        <v>0</v>
      </c>
      <c r="GL62">
        <f t="shared" si="93"/>
        <v>0</v>
      </c>
      <c r="GM62">
        <f t="shared" si="94"/>
        <v>28932.33</v>
      </c>
      <c r="GN62">
        <f t="shared" si="95"/>
        <v>28932.33</v>
      </c>
      <c r="GO62">
        <f t="shared" si="96"/>
        <v>0</v>
      </c>
      <c r="GP62">
        <f t="shared" si="97"/>
        <v>0</v>
      </c>
      <c r="GR62">
        <v>0</v>
      </c>
      <c r="GS62">
        <v>3</v>
      </c>
      <c r="GT62">
        <v>0</v>
      </c>
      <c r="GU62" t="s">
        <v>6</v>
      </c>
      <c r="GV62">
        <f t="shared" si="98"/>
        <v>0</v>
      </c>
      <c r="GW62">
        <v>1</v>
      </c>
      <c r="GX62">
        <f t="shared" si="99"/>
        <v>0</v>
      </c>
      <c r="HA62">
        <v>0</v>
      </c>
      <c r="HB62">
        <v>0</v>
      </c>
      <c r="HC62">
        <f t="shared" si="100"/>
        <v>0</v>
      </c>
      <c r="IK62">
        <v>0</v>
      </c>
    </row>
    <row r="63" spans="1:245" x14ac:dyDescent="0.2">
      <c r="A63">
        <v>17</v>
      </c>
      <c r="B63">
        <v>1</v>
      </c>
      <c r="C63">
        <f>ROW(SmtRes!A105)</f>
        <v>105</v>
      </c>
      <c r="D63">
        <f>ROW(EtalonRes!A112)</f>
        <v>112</v>
      </c>
      <c r="E63" t="s">
        <v>187</v>
      </c>
      <c r="F63" t="s">
        <v>188</v>
      </c>
      <c r="G63" t="s">
        <v>189</v>
      </c>
      <c r="H63" t="s">
        <v>87</v>
      </c>
      <c r="I63">
        <v>3.78</v>
      </c>
      <c r="J63">
        <v>0</v>
      </c>
      <c r="O63">
        <f t="shared" si="65"/>
        <v>1916.51</v>
      </c>
      <c r="P63">
        <f t="shared" si="66"/>
        <v>693.19</v>
      </c>
      <c r="Q63">
        <f t="shared" si="67"/>
        <v>485.39</v>
      </c>
      <c r="R63">
        <f t="shared" si="68"/>
        <v>66.3</v>
      </c>
      <c r="S63">
        <f t="shared" si="69"/>
        <v>737.93</v>
      </c>
      <c r="T63">
        <f t="shared" si="70"/>
        <v>0</v>
      </c>
      <c r="U63">
        <f t="shared" si="71"/>
        <v>10.432799999999999</v>
      </c>
      <c r="V63">
        <f t="shared" si="72"/>
        <v>0.80325000000000002</v>
      </c>
      <c r="W63">
        <f t="shared" si="73"/>
        <v>0</v>
      </c>
      <c r="X63">
        <f t="shared" si="74"/>
        <v>651.42999999999995</v>
      </c>
      <c r="Y63">
        <f t="shared" si="75"/>
        <v>579.04999999999995</v>
      </c>
      <c r="AA63">
        <v>16630606</v>
      </c>
      <c r="AB63">
        <f t="shared" si="76"/>
        <v>71.11</v>
      </c>
      <c r="AC63">
        <f t="shared" si="55"/>
        <v>25.72</v>
      </c>
      <c r="AD63">
        <f>ROUND(((((ET63*1.25))-((EU63*1.25)))+AE63),2)</f>
        <v>18.010000000000002</v>
      </c>
      <c r="AE63">
        <f>ROUND(((EU63*1.25)),2)</f>
        <v>2.46</v>
      </c>
      <c r="AF63">
        <f>ROUND(((EV63*1.15)),2)</f>
        <v>27.38</v>
      </c>
      <c r="AG63">
        <f t="shared" si="78"/>
        <v>0</v>
      </c>
      <c r="AH63">
        <f>((EW63*1.15))</f>
        <v>2.76</v>
      </c>
      <c r="AI63">
        <f>((EX63*1.25))</f>
        <v>0.21250000000000002</v>
      </c>
      <c r="AJ63">
        <f t="shared" si="80"/>
        <v>0</v>
      </c>
      <c r="AK63">
        <v>63.94</v>
      </c>
      <c r="AL63">
        <v>25.72</v>
      </c>
      <c r="AM63">
        <v>14.41</v>
      </c>
      <c r="AN63">
        <v>1.97</v>
      </c>
      <c r="AO63">
        <v>23.81</v>
      </c>
      <c r="AP63">
        <v>0</v>
      </c>
      <c r="AQ63">
        <v>2.4</v>
      </c>
      <c r="AR63">
        <v>0.17</v>
      </c>
      <c r="AS63">
        <v>0</v>
      </c>
      <c r="AT63">
        <v>81</v>
      </c>
      <c r="AU63">
        <v>72</v>
      </c>
      <c r="AV63">
        <v>1</v>
      </c>
      <c r="AW63">
        <v>1</v>
      </c>
      <c r="AZ63">
        <v>7.13</v>
      </c>
      <c r="BA63">
        <v>7.13</v>
      </c>
      <c r="BB63">
        <v>7.13</v>
      </c>
      <c r="BC63">
        <v>7.13</v>
      </c>
      <c r="BD63" t="s">
        <v>6</v>
      </c>
      <c r="BE63" t="s">
        <v>6</v>
      </c>
      <c r="BF63" t="s">
        <v>6</v>
      </c>
      <c r="BG63" t="s">
        <v>6</v>
      </c>
      <c r="BH63">
        <v>0</v>
      </c>
      <c r="BI63">
        <v>1</v>
      </c>
      <c r="BJ63" t="s">
        <v>190</v>
      </c>
      <c r="BM63">
        <v>9001</v>
      </c>
      <c r="BN63">
        <v>0</v>
      </c>
      <c r="BO63" t="s">
        <v>6</v>
      </c>
      <c r="BP63">
        <v>0</v>
      </c>
      <c r="BQ63">
        <v>2</v>
      </c>
      <c r="BR63">
        <v>0</v>
      </c>
      <c r="BS63">
        <v>7.13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90</v>
      </c>
      <c r="CA63">
        <v>85</v>
      </c>
      <c r="CE63">
        <v>0</v>
      </c>
      <c r="CF63">
        <v>0</v>
      </c>
      <c r="CG63">
        <v>0</v>
      </c>
      <c r="CM63">
        <v>0</v>
      </c>
      <c r="CN63" t="s">
        <v>1758</v>
      </c>
      <c r="CO63">
        <v>0</v>
      </c>
      <c r="CP63">
        <f t="shared" si="81"/>
        <v>1916.5099999999998</v>
      </c>
      <c r="CQ63">
        <f t="shared" si="82"/>
        <v>183.3836</v>
      </c>
      <c r="CR63">
        <f t="shared" si="83"/>
        <v>128.41130000000001</v>
      </c>
      <c r="CS63">
        <f t="shared" si="84"/>
        <v>17.5398</v>
      </c>
      <c r="CT63">
        <f t="shared" si="85"/>
        <v>195.21939999999998</v>
      </c>
      <c r="CU63">
        <f t="shared" si="86"/>
        <v>0</v>
      </c>
      <c r="CV63">
        <f t="shared" si="87"/>
        <v>2.76</v>
      </c>
      <c r="CW63">
        <f t="shared" si="88"/>
        <v>0.21250000000000002</v>
      </c>
      <c r="CX63">
        <f t="shared" si="89"/>
        <v>0</v>
      </c>
      <c r="CY63">
        <f t="shared" si="90"/>
        <v>651.42629999999986</v>
      </c>
      <c r="CZ63">
        <f t="shared" si="91"/>
        <v>579.04559999999992</v>
      </c>
      <c r="DC63" t="s">
        <v>6</v>
      </c>
      <c r="DD63" t="s">
        <v>6</v>
      </c>
      <c r="DE63" t="s">
        <v>81</v>
      </c>
      <c r="DF63" t="s">
        <v>81</v>
      </c>
      <c r="DG63" t="s">
        <v>82</v>
      </c>
      <c r="DH63" t="s">
        <v>6</v>
      </c>
      <c r="DI63" t="s">
        <v>82</v>
      </c>
      <c r="DJ63" t="s">
        <v>81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1005</v>
      </c>
      <c r="DV63" t="s">
        <v>87</v>
      </c>
      <c r="DW63" t="s">
        <v>87</v>
      </c>
      <c r="DX63">
        <v>1</v>
      </c>
      <c r="EE63">
        <v>16609106</v>
      </c>
      <c r="EF63">
        <v>2</v>
      </c>
      <c r="EG63" t="s">
        <v>14</v>
      </c>
      <c r="EH63">
        <v>0</v>
      </c>
      <c r="EI63" t="s">
        <v>6</v>
      </c>
      <c r="EJ63">
        <v>1</v>
      </c>
      <c r="EK63">
        <v>9001</v>
      </c>
      <c r="EL63" t="s">
        <v>108</v>
      </c>
      <c r="EM63" t="s">
        <v>109</v>
      </c>
      <c r="EO63" t="s">
        <v>83</v>
      </c>
      <c r="EQ63">
        <v>131072</v>
      </c>
      <c r="ER63">
        <v>63.94</v>
      </c>
      <c r="ES63">
        <v>25.72</v>
      </c>
      <c r="ET63">
        <v>14.41</v>
      </c>
      <c r="EU63">
        <v>1.97</v>
      </c>
      <c r="EV63">
        <v>23.81</v>
      </c>
      <c r="EW63">
        <v>2.4</v>
      </c>
      <c r="EX63">
        <v>0.17</v>
      </c>
      <c r="EY63">
        <v>0</v>
      </c>
      <c r="FQ63">
        <v>0</v>
      </c>
      <c r="FR63">
        <f t="shared" si="92"/>
        <v>0</v>
      </c>
      <c r="FS63">
        <v>0</v>
      </c>
      <c r="FT63" t="s">
        <v>22</v>
      </c>
      <c r="FU63" t="s">
        <v>23</v>
      </c>
      <c r="FX63">
        <v>81</v>
      </c>
      <c r="FY63">
        <v>72.25</v>
      </c>
      <c r="GA63" t="s">
        <v>6</v>
      </c>
      <c r="GD63">
        <v>0</v>
      </c>
      <c r="GF63">
        <v>1555078569</v>
      </c>
      <c r="GG63">
        <v>1</v>
      </c>
      <c r="GH63">
        <v>1</v>
      </c>
      <c r="GI63">
        <v>4</v>
      </c>
      <c r="GJ63">
        <v>0</v>
      </c>
      <c r="GK63">
        <f>ROUND(R63*(R12)/100,2)</f>
        <v>0</v>
      </c>
      <c r="GL63">
        <f t="shared" si="93"/>
        <v>0</v>
      </c>
      <c r="GM63">
        <f t="shared" si="94"/>
        <v>3146.99</v>
      </c>
      <c r="GN63">
        <f t="shared" si="95"/>
        <v>3146.99</v>
      </c>
      <c r="GO63">
        <f t="shared" si="96"/>
        <v>0</v>
      </c>
      <c r="GP63">
        <f t="shared" si="97"/>
        <v>0</v>
      </c>
      <c r="GR63">
        <v>0</v>
      </c>
      <c r="GS63">
        <v>3</v>
      </c>
      <c r="GT63">
        <v>0</v>
      </c>
      <c r="GU63" t="s">
        <v>6</v>
      </c>
      <c r="GV63">
        <f t="shared" si="98"/>
        <v>0</v>
      </c>
      <c r="GW63">
        <v>1</v>
      </c>
      <c r="GX63">
        <f t="shared" si="99"/>
        <v>0</v>
      </c>
      <c r="HA63">
        <v>0</v>
      </c>
      <c r="HB63">
        <v>0</v>
      </c>
      <c r="HC63">
        <f t="shared" si="100"/>
        <v>0</v>
      </c>
      <c r="IK63">
        <v>0</v>
      </c>
    </row>
    <row r="64" spans="1:245" x14ac:dyDescent="0.2">
      <c r="A64">
        <v>18</v>
      </c>
      <c r="B64">
        <v>1</v>
      </c>
      <c r="C64">
        <v>103</v>
      </c>
      <c r="E64" t="s">
        <v>191</v>
      </c>
      <c r="F64" t="s">
        <v>192</v>
      </c>
      <c r="G64" t="s">
        <v>193</v>
      </c>
      <c r="H64" t="s">
        <v>87</v>
      </c>
      <c r="I64">
        <f>I63*J64</f>
        <v>3.78</v>
      </c>
      <c r="J64">
        <v>1</v>
      </c>
      <c r="O64">
        <f t="shared" si="65"/>
        <v>48489.34</v>
      </c>
      <c r="P64">
        <f t="shared" si="66"/>
        <v>48489.34</v>
      </c>
      <c r="Q64">
        <f t="shared" si="67"/>
        <v>0</v>
      </c>
      <c r="R64">
        <f t="shared" si="68"/>
        <v>0</v>
      </c>
      <c r="S64">
        <f t="shared" si="69"/>
        <v>0</v>
      </c>
      <c r="T64">
        <f t="shared" si="70"/>
        <v>0</v>
      </c>
      <c r="U64">
        <f t="shared" si="71"/>
        <v>0</v>
      </c>
      <c r="V64">
        <f t="shared" si="72"/>
        <v>0</v>
      </c>
      <c r="W64">
        <f t="shared" si="73"/>
        <v>0</v>
      </c>
      <c r="X64">
        <f t="shared" si="74"/>
        <v>0</v>
      </c>
      <c r="Y64">
        <f t="shared" si="75"/>
        <v>0</v>
      </c>
      <c r="AA64">
        <v>16630606</v>
      </c>
      <c r="AB64">
        <f t="shared" si="76"/>
        <v>1799.14</v>
      </c>
      <c r="AC64">
        <f t="shared" si="55"/>
        <v>1799.14</v>
      </c>
      <c r="AD64">
        <f>ROUND((((ET64)-(EU64))+AE64),2)</f>
        <v>0</v>
      </c>
      <c r="AE64">
        <f t="shared" ref="AE64:AF66" si="101">ROUND((EU64),2)</f>
        <v>0</v>
      </c>
      <c r="AF64">
        <f t="shared" si="101"/>
        <v>0</v>
      </c>
      <c r="AG64">
        <f t="shared" si="78"/>
        <v>0</v>
      </c>
      <c r="AH64">
        <f t="shared" ref="AH64:AI66" si="102">(EW64)</f>
        <v>0</v>
      </c>
      <c r="AI64">
        <f t="shared" si="102"/>
        <v>0</v>
      </c>
      <c r="AJ64">
        <f t="shared" si="80"/>
        <v>0</v>
      </c>
      <c r="AK64">
        <v>1799.14</v>
      </c>
      <c r="AL64">
        <v>1799.14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81</v>
      </c>
      <c r="AU64">
        <v>72</v>
      </c>
      <c r="AV64">
        <v>1</v>
      </c>
      <c r="AW64">
        <v>1</v>
      </c>
      <c r="AZ64">
        <v>7.13</v>
      </c>
      <c r="BA64">
        <v>1</v>
      </c>
      <c r="BB64">
        <v>1</v>
      </c>
      <c r="BC64">
        <v>7.13</v>
      </c>
      <c r="BD64" t="s">
        <v>6</v>
      </c>
      <c r="BE64" t="s">
        <v>6</v>
      </c>
      <c r="BF64" t="s">
        <v>6</v>
      </c>
      <c r="BG64" t="s">
        <v>6</v>
      </c>
      <c r="BH64">
        <v>3</v>
      </c>
      <c r="BI64">
        <v>1</v>
      </c>
      <c r="BJ64" t="s">
        <v>194</v>
      </c>
      <c r="BM64">
        <v>9001</v>
      </c>
      <c r="BN64">
        <v>0</v>
      </c>
      <c r="BO64" t="s">
        <v>6</v>
      </c>
      <c r="BP64">
        <v>0</v>
      </c>
      <c r="BQ64">
        <v>2</v>
      </c>
      <c r="BR64">
        <v>0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6</v>
      </c>
      <c r="BZ64">
        <v>90</v>
      </c>
      <c r="CA64">
        <v>85</v>
      </c>
      <c r="CE64">
        <v>0</v>
      </c>
      <c r="CF64">
        <v>0</v>
      </c>
      <c r="CG64">
        <v>0</v>
      </c>
      <c r="CM64">
        <v>0</v>
      </c>
      <c r="CN64" t="s">
        <v>6</v>
      </c>
      <c r="CO64">
        <v>0</v>
      </c>
      <c r="CP64">
        <f t="shared" si="81"/>
        <v>48489.34</v>
      </c>
      <c r="CQ64">
        <f t="shared" si="82"/>
        <v>12827.868200000001</v>
      </c>
      <c r="CR64">
        <f t="shared" si="83"/>
        <v>0</v>
      </c>
      <c r="CS64">
        <f t="shared" si="84"/>
        <v>0</v>
      </c>
      <c r="CT64">
        <f t="shared" si="85"/>
        <v>0</v>
      </c>
      <c r="CU64">
        <f t="shared" si="86"/>
        <v>0</v>
      </c>
      <c r="CV64">
        <f t="shared" si="87"/>
        <v>0</v>
      </c>
      <c r="CW64">
        <f t="shared" si="88"/>
        <v>0</v>
      </c>
      <c r="CX64">
        <f t="shared" si="89"/>
        <v>0</v>
      </c>
      <c r="CY64">
        <f t="shared" si="90"/>
        <v>0</v>
      </c>
      <c r="CZ64">
        <f t="shared" si="91"/>
        <v>0</v>
      </c>
      <c r="DC64" t="s">
        <v>6</v>
      </c>
      <c r="DD64" t="s">
        <v>6</v>
      </c>
      <c r="DE64" t="s">
        <v>6</v>
      </c>
      <c r="DF64" t="s">
        <v>6</v>
      </c>
      <c r="DG64" t="s">
        <v>6</v>
      </c>
      <c r="DH64" t="s">
        <v>6</v>
      </c>
      <c r="DI64" t="s">
        <v>6</v>
      </c>
      <c r="DJ64" t="s">
        <v>6</v>
      </c>
      <c r="DK64" t="s">
        <v>6</v>
      </c>
      <c r="DL64" t="s">
        <v>6</v>
      </c>
      <c r="DM64" t="s">
        <v>6</v>
      </c>
      <c r="DN64">
        <v>0</v>
      </c>
      <c r="DO64">
        <v>0</v>
      </c>
      <c r="DP64">
        <v>1</v>
      </c>
      <c r="DQ64">
        <v>1</v>
      </c>
      <c r="DU64">
        <v>1005</v>
      </c>
      <c r="DV64" t="s">
        <v>87</v>
      </c>
      <c r="DW64" t="s">
        <v>87</v>
      </c>
      <c r="DX64">
        <v>1</v>
      </c>
      <c r="EE64">
        <v>16609106</v>
      </c>
      <c r="EF64">
        <v>2</v>
      </c>
      <c r="EG64" t="s">
        <v>14</v>
      </c>
      <c r="EH64">
        <v>0</v>
      </c>
      <c r="EI64" t="s">
        <v>6</v>
      </c>
      <c r="EJ64">
        <v>1</v>
      </c>
      <c r="EK64">
        <v>9001</v>
      </c>
      <c r="EL64" t="s">
        <v>108</v>
      </c>
      <c r="EM64" t="s">
        <v>109</v>
      </c>
      <c r="EO64" t="s">
        <v>6</v>
      </c>
      <c r="EQ64">
        <v>0</v>
      </c>
      <c r="ER64">
        <v>1799.14</v>
      </c>
      <c r="ES64">
        <v>1799.14</v>
      </c>
      <c r="ET64">
        <v>0</v>
      </c>
      <c r="EU64">
        <v>0</v>
      </c>
      <c r="EV64">
        <v>0</v>
      </c>
      <c r="EW64">
        <v>0</v>
      </c>
      <c r="EX64">
        <v>0</v>
      </c>
      <c r="FQ64">
        <v>0</v>
      </c>
      <c r="FR64">
        <f t="shared" si="92"/>
        <v>0</v>
      </c>
      <c r="FS64">
        <v>0</v>
      </c>
      <c r="FT64" t="s">
        <v>22</v>
      </c>
      <c r="FU64" t="s">
        <v>23</v>
      </c>
      <c r="FX64">
        <v>81</v>
      </c>
      <c r="FY64">
        <v>72.25</v>
      </c>
      <c r="GA64" t="s">
        <v>6</v>
      </c>
      <c r="GD64">
        <v>0</v>
      </c>
      <c r="GF64">
        <v>883638919</v>
      </c>
      <c r="GG64">
        <v>1</v>
      </c>
      <c r="GH64">
        <v>1</v>
      </c>
      <c r="GI64">
        <v>4</v>
      </c>
      <c r="GJ64">
        <v>0</v>
      </c>
      <c r="GK64">
        <f>ROUND(R64*(R12)/100,2)</f>
        <v>0</v>
      </c>
      <c r="GL64">
        <f t="shared" si="93"/>
        <v>0</v>
      </c>
      <c r="GM64">
        <f t="shared" si="94"/>
        <v>48489.34</v>
      </c>
      <c r="GN64">
        <f t="shared" si="95"/>
        <v>48489.34</v>
      </c>
      <c r="GO64">
        <f t="shared" si="96"/>
        <v>0</v>
      </c>
      <c r="GP64">
        <f t="shared" si="97"/>
        <v>0</v>
      </c>
      <c r="GR64">
        <v>0</v>
      </c>
      <c r="GS64">
        <v>3</v>
      </c>
      <c r="GT64">
        <v>0</v>
      </c>
      <c r="GU64" t="s">
        <v>6</v>
      </c>
      <c r="GV64">
        <f t="shared" si="98"/>
        <v>0</v>
      </c>
      <c r="GW64">
        <v>1</v>
      </c>
      <c r="GX64">
        <f t="shared" si="99"/>
        <v>0</v>
      </c>
      <c r="HA64">
        <v>0</v>
      </c>
      <c r="HB64">
        <v>0</v>
      </c>
      <c r="HC64">
        <f t="shared" si="100"/>
        <v>0</v>
      </c>
      <c r="IK64">
        <v>0</v>
      </c>
    </row>
    <row r="65" spans="1:245" x14ac:dyDescent="0.2">
      <c r="A65">
        <v>17</v>
      </c>
      <c r="B65">
        <v>1</v>
      </c>
      <c r="C65">
        <f>ROW(SmtRes!A110)</f>
        <v>110</v>
      </c>
      <c r="D65">
        <f>ROW(EtalonRes!A119)</f>
        <v>119</v>
      </c>
      <c r="E65" t="s">
        <v>195</v>
      </c>
      <c r="F65" t="s">
        <v>196</v>
      </c>
      <c r="G65" t="s">
        <v>197</v>
      </c>
      <c r="H65" t="s">
        <v>198</v>
      </c>
      <c r="I65">
        <f>ROUND(6/100,9)</f>
        <v>0.06</v>
      </c>
      <c r="J65">
        <v>0</v>
      </c>
      <c r="O65">
        <f t="shared" si="65"/>
        <v>473.52</v>
      </c>
      <c r="P65">
        <f t="shared" si="66"/>
        <v>0.1</v>
      </c>
      <c r="Q65">
        <f t="shared" si="67"/>
        <v>20.09</v>
      </c>
      <c r="R65">
        <f t="shared" si="68"/>
        <v>0</v>
      </c>
      <c r="S65">
        <f t="shared" si="69"/>
        <v>453.33</v>
      </c>
      <c r="T65">
        <f t="shared" si="70"/>
        <v>0</v>
      </c>
      <c r="U65">
        <f t="shared" si="71"/>
        <v>7.4538000000000002</v>
      </c>
      <c r="V65">
        <f t="shared" si="72"/>
        <v>0</v>
      </c>
      <c r="W65">
        <f t="shared" si="73"/>
        <v>0</v>
      </c>
      <c r="X65">
        <f t="shared" si="74"/>
        <v>362.66</v>
      </c>
      <c r="Y65">
        <f t="shared" si="75"/>
        <v>308.26</v>
      </c>
      <c r="AA65">
        <v>16630606</v>
      </c>
      <c r="AB65">
        <f t="shared" si="76"/>
        <v>1106.8800000000001</v>
      </c>
      <c r="AC65">
        <f t="shared" si="55"/>
        <v>0.24</v>
      </c>
      <c r="AD65">
        <f>ROUND((((ET65)-(EU65))+AE65),2)</f>
        <v>46.96</v>
      </c>
      <c r="AE65">
        <f t="shared" si="101"/>
        <v>0</v>
      </c>
      <c r="AF65">
        <f t="shared" si="101"/>
        <v>1059.68</v>
      </c>
      <c r="AG65">
        <f t="shared" si="78"/>
        <v>0</v>
      </c>
      <c r="AH65">
        <f t="shared" si="102"/>
        <v>124.23</v>
      </c>
      <c r="AI65">
        <f t="shared" si="102"/>
        <v>0</v>
      </c>
      <c r="AJ65">
        <f t="shared" si="80"/>
        <v>0</v>
      </c>
      <c r="AK65">
        <v>1106.8800000000001</v>
      </c>
      <c r="AL65">
        <v>0.24</v>
      </c>
      <c r="AM65">
        <v>46.96</v>
      </c>
      <c r="AN65">
        <v>0</v>
      </c>
      <c r="AO65">
        <v>1059.68</v>
      </c>
      <c r="AP65">
        <v>0</v>
      </c>
      <c r="AQ65">
        <v>124.23</v>
      </c>
      <c r="AR65">
        <v>0</v>
      </c>
      <c r="AS65">
        <v>0</v>
      </c>
      <c r="AT65">
        <v>80</v>
      </c>
      <c r="AU65">
        <v>68</v>
      </c>
      <c r="AV65">
        <v>1</v>
      </c>
      <c r="AW65">
        <v>1</v>
      </c>
      <c r="AZ65">
        <v>7.13</v>
      </c>
      <c r="BA65">
        <v>7.13</v>
      </c>
      <c r="BB65">
        <v>7.13</v>
      </c>
      <c r="BC65">
        <v>7.13</v>
      </c>
      <c r="BD65" t="s">
        <v>6</v>
      </c>
      <c r="BE65" t="s">
        <v>6</v>
      </c>
      <c r="BF65" t="s">
        <v>6</v>
      </c>
      <c r="BG65" t="s">
        <v>6</v>
      </c>
      <c r="BH65">
        <v>0</v>
      </c>
      <c r="BI65">
        <v>1</v>
      </c>
      <c r="BJ65" t="s">
        <v>199</v>
      </c>
      <c r="BM65">
        <v>57001</v>
      </c>
      <c r="BN65">
        <v>0</v>
      </c>
      <c r="BO65" t="s">
        <v>6</v>
      </c>
      <c r="BP65">
        <v>0</v>
      </c>
      <c r="BQ65">
        <v>6</v>
      </c>
      <c r="BR65">
        <v>0</v>
      </c>
      <c r="BS65">
        <v>7.13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80</v>
      </c>
      <c r="CA65">
        <v>68</v>
      </c>
      <c r="CE65">
        <v>0</v>
      </c>
      <c r="CF65">
        <v>0</v>
      </c>
      <c r="CG65">
        <v>0</v>
      </c>
      <c r="CM65">
        <v>0</v>
      </c>
      <c r="CN65" t="s">
        <v>6</v>
      </c>
      <c r="CO65">
        <v>0</v>
      </c>
      <c r="CP65">
        <f t="shared" si="81"/>
        <v>473.52</v>
      </c>
      <c r="CQ65">
        <f t="shared" si="82"/>
        <v>1.7111999999999998</v>
      </c>
      <c r="CR65">
        <f t="shared" si="83"/>
        <v>334.82479999999998</v>
      </c>
      <c r="CS65">
        <f t="shared" si="84"/>
        <v>0</v>
      </c>
      <c r="CT65">
        <f t="shared" si="85"/>
        <v>7555.5183999999999</v>
      </c>
      <c r="CU65">
        <f t="shared" si="86"/>
        <v>0</v>
      </c>
      <c r="CV65">
        <f t="shared" si="87"/>
        <v>124.23</v>
      </c>
      <c r="CW65">
        <f t="shared" si="88"/>
        <v>0</v>
      </c>
      <c r="CX65">
        <f t="shared" si="89"/>
        <v>0</v>
      </c>
      <c r="CY65">
        <f t="shared" si="90"/>
        <v>362.66399999999999</v>
      </c>
      <c r="CZ65">
        <f t="shared" si="91"/>
        <v>308.26439999999997</v>
      </c>
      <c r="DC65" t="s">
        <v>6</v>
      </c>
      <c r="DD65" t="s">
        <v>6</v>
      </c>
      <c r="DE65" t="s">
        <v>6</v>
      </c>
      <c r="DF65" t="s">
        <v>6</v>
      </c>
      <c r="DG65" t="s">
        <v>6</v>
      </c>
      <c r="DH65" t="s">
        <v>6</v>
      </c>
      <c r="DI65" t="s">
        <v>6</v>
      </c>
      <c r="DJ65" t="s">
        <v>6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1013</v>
      </c>
      <c r="DV65" t="s">
        <v>198</v>
      </c>
      <c r="DW65" t="s">
        <v>198</v>
      </c>
      <c r="DX65">
        <v>1</v>
      </c>
      <c r="EE65">
        <v>16609182</v>
      </c>
      <c r="EF65">
        <v>6</v>
      </c>
      <c r="EG65" t="s">
        <v>39</v>
      </c>
      <c r="EH65">
        <v>0</v>
      </c>
      <c r="EI65" t="s">
        <v>6</v>
      </c>
      <c r="EJ65">
        <v>1</v>
      </c>
      <c r="EK65">
        <v>57001</v>
      </c>
      <c r="EL65" t="s">
        <v>40</v>
      </c>
      <c r="EM65" t="s">
        <v>41</v>
      </c>
      <c r="EO65" t="s">
        <v>6</v>
      </c>
      <c r="EQ65">
        <v>131072</v>
      </c>
      <c r="ER65">
        <v>1106.8800000000001</v>
      </c>
      <c r="ES65">
        <v>0.24</v>
      </c>
      <c r="ET65">
        <v>46.96</v>
      </c>
      <c r="EU65">
        <v>0</v>
      </c>
      <c r="EV65">
        <v>1059.68</v>
      </c>
      <c r="EW65">
        <v>124.23</v>
      </c>
      <c r="EX65">
        <v>0</v>
      </c>
      <c r="EY65">
        <v>0</v>
      </c>
      <c r="FQ65">
        <v>0</v>
      </c>
      <c r="FR65">
        <f t="shared" si="92"/>
        <v>0</v>
      </c>
      <c r="FS65">
        <v>0</v>
      </c>
      <c r="FX65">
        <v>80</v>
      </c>
      <c r="FY65">
        <v>68</v>
      </c>
      <c r="GA65" t="s">
        <v>6</v>
      </c>
      <c r="GD65">
        <v>0</v>
      </c>
      <c r="GF65">
        <v>424324215</v>
      </c>
      <c r="GG65">
        <v>1</v>
      </c>
      <c r="GH65">
        <v>1</v>
      </c>
      <c r="GI65">
        <v>4</v>
      </c>
      <c r="GJ65">
        <v>0</v>
      </c>
      <c r="GK65">
        <f>ROUND(R65*(R12)/100,2)</f>
        <v>0</v>
      </c>
      <c r="GL65">
        <f t="shared" si="93"/>
        <v>0</v>
      </c>
      <c r="GM65">
        <f t="shared" si="94"/>
        <v>1144.44</v>
      </c>
      <c r="GN65">
        <f t="shared" si="95"/>
        <v>1144.44</v>
      </c>
      <c r="GO65">
        <f t="shared" si="96"/>
        <v>0</v>
      </c>
      <c r="GP65">
        <f t="shared" si="97"/>
        <v>0</v>
      </c>
      <c r="GR65">
        <v>0</v>
      </c>
      <c r="GS65">
        <v>3</v>
      </c>
      <c r="GT65">
        <v>0</v>
      </c>
      <c r="GU65" t="s">
        <v>6</v>
      </c>
      <c r="GV65">
        <f t="shared" si="98"/>
        <v>0</v>
      </c>
      <c r="GW65">
        <v>1</v>
      </c>
      <c r="GX65">
        <f t="shared" si="99"/>
        <v>0</v>
      </c>
      <c r="HA65">
        <v>0</v>
      </c>
      <c r="HB65">
        <v>0</v>
      </c>
      <c r="HC65">
        <f t="shared" si="100"/>
        <v>0</v>
      </c>
      <c r="IK65">
        <v>0</v>
      </c>
    </row>
    <row r="66" spans="1:245" x14ac:dyDescent="0.2">
      <c r="A66">
        <v>18</v>
      </c>
      <c r="B66">
        <v>1</v>
      </c>
      <c r="C66">
        <v>110</v>
      </c>
      <c r="E66" t="s">
        <v>200</v>
      </c>
      <c r="F66" t="s">
        <v>201</v>
      </c>
      <c r="G66" t="s">
        <v>202</v>
      </c>
      <c r="H66" t="s">
        <v>203</v>
      </c>
      <c r="I66">
        <f>I65*J66</f>
        <v>0.12839999999999999</v>
      </c>
      <c r="J66">
        <v>2.1399999999999997</v>
      </c>
      <c r="O66">
        <f t="shared" si="65"/>
        <v>388.97</v>
      </c>
      <c r="P66">
        <f t="shared" si="66"/>
        <v>388.97</v>
      </c>
      <c r="Q66">
        <f t="shared" si="67"/>
        <v>0</v>
      </c>
      <c r="R66">
        <f t="shared" si="68"/>
        <v>0</v>
      </c>
      <c r="S66">
        <f t="shared" si="69"/>
        <v>0</v>
      </c>
      <c r="T66">
        <f t="shared" si="70"/>
        <v>0</v>
      </c>
      <c r="U66">
        <f t="shared" si="71"/>
        <v>0</v>
      </c>
      <c r="V66">
        <f t="shared" si="72"/>
        <v>0</v>
      </c>
      <c r="W66">
        <f t="shared" si="73"/>
        <v>0</v>
      </c>
      <c r="X66">
        <f t="shared" si="74"/>
        <v>0</v>
      </c>
      <c r="Y66">
        <f t="shared" si="75"/>
        <v>0</v>
      </c>
      <c r="AA66">
        <v>16630606</v>
      </c>
      <c r="AB66">
        <f t="shared" si="76"/>
        <v>424.88</v>
      </c>
      <c r="AC66">
        <f t="shared" si="55"/>
        <v>424.88</v>
      </c>
      <c r="AD66">
        <f>ROUND((((ET66)-(EU66))+AE66),2)</f>
        <v>0</v>
      </c>
      <c r="AE66">
        <f t="shared" si="101"/>
        <v>0</v>
      </c>
      <c r="AF66">
        <f t="shared" si="101"/>
        <v>0</v>
      </c>
      <c r="AG66">
        <f t="shared" si="78"/>
        <v>0</v>
      </c>
      <c r="AH66">
        <f t="shared" si="102"/>
        <v>0</v>
      </c>
      <c r="AI66">
        <f t="shared" si="102"/>
        <v>0</v>
      </c>
      <c r="AJ66">
        <f t="shared" si="80"/>
        <v>0</v>
      </c>
      <c r="AK66">
        <v>424.88</v>
      </c>
      <c r="AL66">
        <v>424.88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80</v>
      </c>
      <c r="AU66">
        <v>68</v>
      </c>
      <c r="AV66">
        <v>1</v>
      </c>
      <c r="AW66">
        <v>1</v>
      </c>
      <c r="AZ66">
        <v>7.13</v>
      </c>
      <c r="BA66">
        <v>1</v>
      </c>
      <c r="BB66">
        <v>1</v>
      </c>
      <c r="BC66">
        <v>7.13</v>
      </c>
      <c r="BD66" t="s">
        <v>6</v>
      </c>
      <c r="BE66" t="s">
        <v>6</v>
      </c>
      <c r="BF66" t="s">
        <v>6</v>
      </c>
      <c r="BG66" t="s">
        <v>6</v>
      </c>
      <c r="BH66">
        <v>3</v>
      </c>
      <c r="BI66">
        <v>1</v>
      </c>
      <c r="BJ66" t="s">
        <v>204</v>
      </c>
      <c r="BM66">
        <v>57001</v>
      </c>
      <c r="BN66">
        <v>0</v>
      </c>
      <c r="BO66" t="s">
        <v>6</v>
      </c>
      <c r="BP66">
        <v>0</v>
      </c>
      <c r="BQ66">
        <v>6</v>
      </c>
      <c r="BR66">
        <v>0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6</v>
      </c>
      <c r="BZ66">
        <v>80</v>
      </c>
      <c r="CA66">
        <v>68</v>
      </c>
      <c r="CE66">
        <v>0</v>
      </c>
      <c r="CF66">
        <v>0</v>
      </c>
      <c r="CG66">
        <v>0</v>
      </c>
      <c r="CM66">
        <v>0</v>
      </c>
      <c r="CN66" t="s">
        <v>6</v>
      </c>
      <c r="CO66">
        <v>0</v>
      </c>
      <c r="CP66">
        <f t="shared" si="81"/>
        <v>388.97</v>
      </c>
      <c r="CQ66">
        <f t="shared" si="82"/>
        <v>3029.3944000000001</v>
      </c>
      <c r="CR66">
        <f t="shared" si="83"/>
        <v>0</v>
      </c>
      <c r="CS66">
        <f t="shared" si="84"/>
        <v>0</v>
      </c>
      <c r="CT66">
        <f t="shared" si="85"/>
        <v>0</v>
      </c>
      <c r="CU66">
        <f t="shared" si="86"/>
        <v>0</v>
      </c>
      <c r="CV66">
        <f t="shared" si="87"/>
        <v>0</v>
      </c>
      <c r="CW66">
        <f t="shared" si="88"/>
        <v>0</v>
      </c>
      <c r="CX66">
        <f t="shared" si="89"/>
        <v>0</v>
      </c>
      <c r="CY66">
        <f t="shared" si="90"/>
        <v>0</v>
      </c>
      <c r="CZ66">
        <f t="shared" si="91"/>
        <v>0</v>
      </c>
      <c r="DC66" t="s">
        <v>6</v>
      </c>
      <c r="DD66" t="s">
        <v>6</v>
      </c>
      <c r="DE66" t="s">
        <v>6</v>
      </c>
      <c r="DF66" t="s">
        <v>6</v>
      </c>
      <c r="DG66" t="s">
        <v>6</v>
      </c>
      <c r="DH66" t="s">
        <v>6</v>
      </c>
      <c r="DI66" t="s">
        <v>6</v>
      </c>
      <c r="DJ66" t="s">
        <v>6</v>
      </c>
      <c r="DK66" t="s">
        <v>6</v>
      </c>
      <c r="DL66" t="s">
        <v>6</v>
      </c>
      <c r="DM66" t="s">
        <v>6</v>
      </c>
      <c r="DN66">
        <v>0</v>
      </c>
      <c r="DO66">
        <v>0</v>
      </c>
      <c r="DP66">
        <v>1</v>
      </c>
      <c r="DQ66">
        <v>1</v>
      </c>
      <c r="DU66">
        <v>1007</v>
      </c>
      <c r="DV66" t="s">
        <v>203</v>
      </c>
      <c r="DW66" t="s">
        <v>203</v>
      </c>
      <c r="DX66">
        <v>1</v>
      </c>
      <c r="EE66">
        <v>16609182</v>
      </c>
      <c r="EF66">
        <v>6</v>
      </c>
      <c r="EG66" t="s">
        <v>39</v>
      </c>
      <c r="EH66">
        <v>0</v>
      </c>
      <c r="EI66" t="s">
        <v>6</v>
      </c>
      <c r="EJ66">
        <v>1</v>
      </c>
      <c r="EK66">
        <v>57001</v>
      </c>
      <c r="EL66" t="s">
        <v>40</v>
      </c>
      <c r="EM66" t="s">
        <v>41</v>
      </c>
      <c r="EO66" t="s">
        <v>6</v>
      </c>
      <c r="EQ66">
        <v>0</v>
      </c>
      <c r="ER66">
        <v>424.88</v>
      </c>
      <c r="ES66">
        <v>424.88</v>
      </c>
      <c r="ET66">
        <v>0</v>
      </c>
      <c r="EU66">
        <v>0</v>
      </c>
      <c r="EV66">
        <v>0</v>
      </c>
      <c r="EW66">
        <v>0</v>
      </c>
      <c r="EX66">
        <v>0</v>
      </c>
      <c r="FQ66">
        <v>0</v>
      </c>
      <c r="FR66">
        <f t="shared" si="92"/>
        <v>0</v>
      </c>
      <c r="FS66">
        <v>0</v>
      </c>
      <c r="FX66">
        <v>80</v>
      </c>
      <c r="FY66">
        <v>68</v>
      </c>
      <c r="GA66" t="s">
        <v>6</v>
      </c>
      <c r="GD66">
        <v>0</v>
      </c>
      <c r="GF66">
        <v>-1048055182</v>
      </c>
      <c r="GG66">
        <v>1</v>
      </c>
      <c r="GH66">
        <v>1</v>
      </c>
      <c r="GI66">
        <v>4</v>
      </c>
      <c r="GJ66">
        <v>0</v>
      </c>
      <c r="GK66">
        <f>ROUND(R66*(R12)/100,2)</f>
        <v>0</v>
      </c>
      <c r="GL66">
        <f t="shared" si="93"/>
        <v>0</v>
      </c>
      <c r="GM66">
        <f t="shared" si="94"/>
        <v>388.97</v>
      </c>
      <c r="GN66">
        <f t="shared" si="95"/>
        <v>388.97</v>
      </c>
      <c r="GO66">
        <f t="shared" si="96"/>
        <v>0</v>
      </c>
      <c r="GP66">
        <f t="shared" si="97"/>
        <v>0</v>
      </c>
      <c r="GR66">
        <v>0</v>
      </c>
      <c r="GS66">
        <v>3</v>
      </c>
      <c r="GT66">
        <v>0</v>
      </c>
      <c r="GU66" t="s">
        <v>6</v>
      </c>
      <c r="GV66">
        <f t="shared" si="98"/>
        <v>0</v>
      </c>
      <c r="GW66">
        <v>1</v>
      </c>
      <c r="GX66">
        <f t="shared" si="99"/>
        <v>0</v>
      </c>
      <c r="HA66">
        <v>0</v>
      </c>
      <c r="HB66">
        <v>0</v>
      </c>
      <c r="HC66">
        <f t="shared" si="100"/>
        <v>0</v>
      </c>
      <c r="IK66">
        <v>0</v>
      </c>
    </row>
    <row r="67" spans="1:245" x14ac:dyDescent="0.2">
      <c r="A67">
        <v>17</v>
      </c>
      <c r="B67">
        <v>1</v>
      </c>
      <c r="C67">
        <f>ROW(SmtRes!A118)</f>
        <v>118</v>
      </c>
      <c r="D67">
        <f>ROW(EtalonRes!A127)</f>
        <v>127</v>
      </c>
      <c r="E67" t="s">
        <v>205</v>
      </c>
      <c r="F67" t="s">
        <v>206</v>
      </c>
      <c r="G67" t="s">
        <v>207</v>
      </c>
      <c r="H67" t="s">
        <v>18</v>
      </c>
      <c r="I67">
        <f>ROUND(33.8/100,9)</f>
        <v>0.33800000000000002</v>
      </c>
      <c r="J67">
        <v>0</v>
      </c>
      <c r="O67">
        <f t="shared" si="65"/>
        <v>672.19</v>
      </c>
      <c r="P67">
        <f t="shared" si="66"/>
        <v>511.61</v>
      </c>
      <c r="Q67">
        <f t="shared" si="67"/>
        <v>66.709999999999994</v>
      </c>
      <c r="R67">
        <f t="shared" si="68"/>
        <v>1.76</v>
      </c>
      <c r="S67">
        <f t="shared" si="69"/>
        <v>93.87</v>
      </c>
      <c r="T67">
        <f t="shared" si="70"/>
        <v>0</v>
      </c>
      <c r="U67">
        <f t="shared" si="71"/>
        <v>1.4343030000000001</v>
      </c>
      <c r="V67">
        <f t="shared" si="72"/>
        <v>2.1125000000000001E-2</v>
      </c>
      <c r="W67">
        <f t="shared" si="73"/>
        <v>0</v>
      </c>
      <c r="X67">
        <f t="shared" si="74"/>
        <v>90.85</v>
      </c>
      <c r="Y67">
        <f t="shared" si="75"/>
        <v>44.95</v>
      </c>
      <c r="AA67">
        <v>16630606</v>
      </c>
      <c r="AB67">
        <f t="shared" si="76"/>
        <v>278.92</v>
      </c>
      <c r="AC67">
        <f t="shared" si="55"/>
        <v>212.29</v>
      </c>
      <c r="AD67">
        <f>ROUND(((((ET67*1.25))-((EU67*1.25)))+AE67),2)</f>
        <v>27.68</v>
      </c>
      <c r="AE67">
        <f>ROUND(((EU67*1.25)),2)</f>
        <v>0.73</v>
      </c>
      <c r="AF67">
        <f>ROUND(((EV67*1.15)),2)</f>
        <v>38.950000000000003</v>
      </c>
      <c r="AG67">
        <f t="shared" si="78"/>
        <v>0</v>
      </c>
      <c r="AH67">
        <f>((EW67*1.15))</f>
        <v>4.2435</v>
      </c>
      <c r="AI67">
        <f>((EX67*1.25))</f>
        <v>6.25E-2</v>
      </c>
      <c r="AJ67">
        <f t="shared" si="80"/>
        <v>0</v>
      </c>
      <c r="AK67">
        <v>268.3</v>
      </c>
      <c r="AL67">
        <v>212.29</v>
      </c>
      <c r="AM67">
        <v>22.14</v>
      </c>
      <c r="AN67">
        <v>0.57999999999999996</v>
      </c>
      <c r="AO67">
        <v>33.869999999999997</v>
      </c>
      <c r="AP67">
        <v>0</v>
      </c>
      <c r="AQ67">
        <v>3.69</v>
      </c>
      <c r="AR67">
        <v>0.05</v>
      </c>
      <c r="AS67">
        <v>0</v>
      </c>
      <c r="AT67">
        <v>95</v>
      </c>
      <c r="AU67">
        <v>47</v>
      </c>
      <c r="AV67">
        <v>1</v>
      </c>
      <c r="AW67">
        <v>1</v>
      </c>
      <c r="AZ67">
        <v>7.13</v>
      </c>
      <c r="BA67">
        <v>7.13</v>
      </c>
      <c r="BB67">
        <v>7.13</v>
      </c>
      <c r="BC67">
        <v>7.13</v>
      </c>
      <c r="BD67" t="s">
        <v>6</v>
      </c>
      <c r="BE67" t="s">
        <v>6</v>
      </c>
      <c r="BF67" t="s">
        <v>6</v>
      </c>
      <c r="BG67" t="s">
        <v>6</v>
      </c>
      <c r="BH67">
        <v>0</v>
      </c>
      <c r="BI67">
        <v>1</v>
      </c>
      <c r="BJ67" t="s">
        <v>208</v>
      </c>
      <c r="BM67">
        <v>15001</v>
      </c>
      <c r="BN67">
        <v>0</v>
      </c>
      <c r="BO67" t="s">
        <v>6</v>
      </c>
      <c r="BP67">
        <v>0</v>
      </c>
      <c r="BQ67">
        <v>2</v>
      </c>
      <c r="BR67">
        <v>0</v>
      </c>
      <c r="BS67">
        <v>7.13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105</v>
      </c>
      <c r="CA67">
        <v>55</v>
      </c>
      <c r="CE67">
        <v>0</v>
      </c>
      <c r="CF67">
        <v>0</v>
      </c>
      <c r="CG67">
        <v>0</v>
      </c>
      <c r="CM67">
        <v>0</v>
      </c>
      <c r="CN67" t="s">
        <v>1758</v>
      </c>
      <c r="CO67">
        <v>0</v>
      </c>
      <c r="CP67">
        <f t="shared" si="81"/>
        <v>672.19</v>
      </c>
      <c r="CQ67">
        <f t="shared" si="82"/>
        <v>1513.6277</v>
      </c>
      <c r="CR67">
        <f t="shared" si="83"/>
        <v>197.35839999999999</v>
      </c>
      <c r="CS67">
        <f t="shared" si="84"/>
        <v>5.2048999999999994</v>
      </c>
      <c r="CT67">
        <f t="shared" si="85"/>
        <v>277.71350000000001</v>
      </c>
      <c r="CU67">
        <f t="shared" si="86"/>
        <v>0</v>
      </c>
      <c r="CV67">
        <f t="shared" si="87"/>
        <v>4.2435</v>
      </c>
      <c r="CW67">
        <f t="shared" si="88"/>
        <v>6.25E-2</v>
      </c>
      <c r="CX67">
        <f t="shared" si="89"/>
        <v>0</v>
      </c>
      <c r="CY67">
        <f t="shared" si="90"/>
        <v>90.848500000000001</v>
      </c>
      <c r="CZ67">
        <f t="shared" si="91"/>
        <v>44.946100000000008</v>
      </c>
      <c r="DC67" t="s">
        <v>6</v>
      </c>
      <c r="DD67" t="s">
        <v>6</v>
      </c>
      <c r="DE67" t="s">
        <v>81</v>
      </c>
      <c r="DF67" t="s">
        <v>81</v>
      </c>
      <c r="DG67" t="s">
        <v>82</v>
      </c>
      <c r="DH67" t="s">
        <v>6</v>
      </c>
      <c r="DI67" t="s">
        <v>82</v>
      </c>
      <c r="DJ67" t="s">
        <v>81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18</v>
      </c>
      <c r="DW67" t="s">
        <v>18</v>
      </c>
      <c r="DX67">
        <v>100</v>
      </c>
      <c r="EE67">
        <v>16609130</v>
      </c>
      <c r="EF67">
        <v>2</v>
      </c>
      <c r="EG67" t="s">
        <v>14</v>
      </c>
      <c r="EH67">
        <v>0</v>
      </c>
      <c r="EI67" t="s">
        <v>6</v>
      </c>
      <c r="EJ67">
        <v>1</v>
      </c>
      <c r="EK67">
        <v>15001</v>
      </c>
      <c r="EL67" t="s">
        <v>118</v>
      </c>
      <c r="EM67" t="s">
        <v>119</v>
      </c>
      <c r="EO67" t="s">
        <v>83</v>
      </c>
      <c r="EQ67">
        <v>131072</v>
      </c>
      <c r="ER67">
        <v>268.3</v>
      </c>
      <c r="ES67">
        <v>212.29</v>
      </c>
      <c r="ET67">
        <v>22.14</v>
      </c>
      <c r="EU67">
        <v>0.57999999999999996</v>
      </c>
      <c r="EV67">
        <v>33.869999999999997</v>
      </c>
      <c r="EW67">
        <v>3.69</v>
      </c>
      <c r="EX67">
        <v>0.05</v>
      </c>
      <c r="EY67">
        <v>0</v>
      </c>
      <c r="FQ67">
        <v>0</v>
      </c>
      <c r="FR67">
        <f t="shared" si="92"/>
        <v>0</v>
      </c>
      <c r="FS67">
        <v>0</v>
      </c>
      <c r="FT67" t="s">
        <v>22</v>
      </c>
      <c r="FU67" t="s">
        <v>23</v>
      </c>
      <c r="FX67">
        <v>94.5</v>
      </c>
      <c r="FY67">
        <v>46.75</v>
      </c>
      <c r="GA67" t="s">
        <v>6</v>
      </c>
      <c r="GD67">
        <v>0</v>
      </c>
      <c r="GF67">
        <v>1491721436</v>
      </c>
      <c r="GG67">
        <v>1</v>
      </c>
      <c r="GH67">
        <v>1</v>
      </c>
      <c r="GI67">
        <v>4</v>
      </c>
      <c r="GJ67">
        <v>0</v>
      </c>
      <c r="GK67">
        <f>ROUND(R67*(R12)/100,2)</f>
        <v>0</v>
      </c>
      <c r="GL67">
        <f t="shared" si="93"/>
        <v>0</v>
      </c>
      <c r="GM67">
        <f t="shared" si="94"/>
        <v>807.99</v>
      </c>
      <c r="GN67">
        <f t="shared" si="95"/>
        <v>807.99</v>
      </c>
      <c r="GO67">
        <f t="shared" si="96"/>
        <v>0</v>
      </c>
      <c r="GP67">
        <f t="shared" si="97"/>
        <v>0</v>
      </c>
      <c r="GR67">
        <v>0</v>
      </c>
      <c r="GS67">
        <v>3</v>
      </c>
      <c r="GT67">
        <v>0</v>
      </c>
      <c r="GU67" t="s">
        <v>6</v>
      </c>
      <c r="GV67">
        <f t="shared" si="98"/>
        <v>0</v>
      </c>
      <c r="GW67">
        <v>1</v>
      </c>
      <c r="GX67">
        <f t="shared" si="99"/>
        <v>0</v>
      </c>
      <c r="HA67">
        <v>0</v>
      </c>
      <c r="HB67">
        <v>0</v>
      </c>
      <c r="HC67">
        <f t="shared" si="100"/>
        <v>0</v>
      </c>
      <c r="IK67">
        <v>0</v>
      </c>
    </row>
    <row r="68" spans="1:245" x14ac:dyDescent="0.2">
      <c r="A68">
        <v>17</v>
      </c>
      <c r="B68">
        <v>1</v>
      </c>
      <c r="C68">
        <f>ROW(SmtRes!A124)</f>
        <v>124</v>
      </c>
      <c r="D68">
        <f>ROW(EtalonRes!A133)</f>
        <v>133</v>
      </c>
      <c r="E68" t="s">
        <v>209</v>
      </c>
      <c r="F68" t="s">
        <v>210</v>
      </c>
      <c r="G68" t="s">
        <v>211</v>
      </c>
      <c r="H68" t="s">
        <v>18</v>
      </c>
      <c r="I68">
        <f>ROUND(33.8/100,9)</f>
        <v>0.33800000000000002</v>
      </c>
      <c r="J68">
        <v>0</v>
      </c>
      <c r="O68">
        <f t="shared" si="65"/>
        <v>1023.28</v>
      </c>
      <c r="P68">
        <f t="shared" si="66"/>
        <v>20.58</v>
      </c>
      <c r="Q68">
        <f t="shared" si="67"/>
        <v>133.27000000000001</v>
      </c>
      <c r="R68">
        <f t="shared" si="68"/>
        <v>51.67</v>
      </c>
      <c r="S68">
        <f t="shared" si="69"/>
        <v>869.43</v>
      </c>
      <c r="T68">
        <f t="shared" si="70"/>
        <v>0</v>
      </c>
      <c r="U68">
        <f t="shared" si="71"/>
        <v>15.357536999999999</v>
      </c>
      <c r="V68">
        <f t="shared" si="72"/>
        <v>0.53657500000000002</v>
      </c>
      <c r="W68">
        <f t="shared" si="73"/>
        <v>0</v>
      </c>
      <c r="X68">
        <f t="shared" si="74"/>
        <v>1022.42</v>
      </c>
      <c r="Y68">
        <f t="shared" si="75"/>
        <v>589.5</v>
      </c>
      <c r="AA68">
        <v>16630606</v>
      </c>
      <c r="AB68">
        <f t="shared" si="76"/>
        <v>424.61</v>
      </c>
      <c r="AC68">
        <f t="shared" si="55"/>
        <v>8.5399999999999991</v>
      </c>
      <c r="AD68">
        <f>ROUND(((((ET68*1.25))-((EU68*1.25)))+AE68),2)</f>
        <v>55.3</v>
      </c>
      <c r="AE68">
        <f>ROUND(((EU68*1.25)),2)</f>
        <v>21.44</v>
      </c>
      <c r="AF68">
        <f>ROUND(((EV68*1.15)),2)</f>
        <v>360.77</v>
      </c>
      <c r="AG68">
        <f t="shared" si="78"/>
        <v>0</v>
      </c>
      <c r="AH68">
        <f>((EW68*1.15))</f>
        <v>45.436499999999995</v>
      </c>
      <c r="AI68">
        <f>((EX68*1.25))</f>
        <v>1.5874999999999999</v>
      </c>
      <c r="AJ68">
        <f t="shared" si="80"/>
        <v>0</v>
      </c>
      <c r="AK68">
        <v>366.49</v>
      </c>
      <c r="AL68">
        <v>8.5399999999999991</v>
      </c>
      <c r="AM68">
        <v>44.24</v>
      </c>
      <c r="AN68">
        <v>17.149999999999999</v>
      </c>
      <c r="AO68">
        <v>313.70999999999998</v>
      </c>
      <c r="AP68">
        <v>0</v>
      </c>
      <c r="AQ68">
        <v>39.51</v>
      </c>
      <c r="AR68">
        <v>1.27</v>
      </c>
      <c r="AS68">
        <v>0</v>
      </c>
      <c r="AT68">
        <v>111</v>
      </c>
      <c r="AU68">
        <v>64</v>
      </c>
      <c r="AV68">
        <v>1</v>
      </c>
      <c r="AW68">
        <v>1</v>
      </c>
      <c r="AZ68">
        <v>7.13</v>
      </c>
      <c r="BA68">
        <v>7.13</v>
      </c>
      <c r="BB68">
        <v>7.13</v>
      </c>
      <c r="BC68">
        <v>7.13</v>
      </c>
      <c r="BD68" t="s">
        <v>6</v>
      </c>
      <c r="BE68" t="s">
        <v>6</v>
      </c>
      <c r="BF68" t="s">
        <v>6</v>
      </c>
      <c r="BG68" t="s">
        <v>6</v>
      </c>
      <c r="BH68">
        <v>0</v>
      </c>
      <c r="BI68">
        <v>1</v>
      </c>
      <c r="BJ68" t="s">
        <v>212</v>
      </c>
      <c r="BM68">
        <v>11001</v>
      </c>
      <c r="BN68">
        <v>0</v>
      </c>
      <c r="BO68" t="s">
        <v>6</v>
      </c>
      <c r="BP68">
        <v>0</v>
      </c>
      <c r="BQ68">
        <v>2</v>
      </c>
      <c r="BR68">
        <v>0</v>
      </c>
      <c r="BS68">
        <v>7.13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6</v>
      </c>
      <c r="BZ68">
        <v>123</v>
      </c>
      <c r="CA68">
        <v>75</v>
      </c>
      <c r="CE68">
        <v>0</v>
      </c>
      <c r="CF68">
        <v>0</v>
      </c>
      <c r="CG68">
        <v>0</v>
      </c>
      <c r="CM68">
        <v>0</v>
      </c>
      <c r="CN68" t="s">
        <v>1758</v>
      </c>
      <c r="CO68">
        <v>0</v>
      </c>
      <c r="CP68">
        <f t="shared" si="81"/>
        <v>1023.28</v>
      </c>
      <c r="CQ68">
        <f t="shared" si="82"/>
        <v>60.890199999999993</v>
      </c>
      <c r="CR68">
        <f t="shared" si="83"/>
        <v>394.28899999999999</v>
      </c>
      <c r="CS68">
        <f t="shared" si="84"/>
        <v>152.8672</v>
      </c>
      <c r="CT68">
        <f t="shared" si="85"/>
        <v>2572.2900999999997</v>
      </c>
      <c r="CU68">
        <f t="shared" si="86"/>
        <v>0</v>
      </c>
      <c r="CV68">
        <f t="shared" si="87"/>
        <v>45.436499999999995</v>
      </c>
      <c r="CW68">
        <f t="shared" si="88"/>
        <v>1.5874999999999999</v>
      </c>
      <c r="CX68">
        <f t="shared" si="89"/>
        <v>0</v>
      </c>
      <c r="CY68">
        <f t="shared" si="90"/>
        <v>1022.4209999999999</v>
      </c>
      <c r="CZ68">
        <f t="shared" si="91"/>
        <v>589.50399999999991</v>
      </c>
      <c r="DC68" t="s">
        <v>6</v>
      </c>
      <c r="DD68" t="s">
        <v>6</v>
      </c>
      <c r="DE68" t="s">
        <v>81</v>
      </c>
      <c r="DF68" t="s">
        <v>81</v>
      </c>
      <c r="DG68" t="s">
        <v>82</v>
      </c>
      <c r="DH68" t="s">
        <v>6</v>
      </c>
      <c r="DI68" t="s">
        <v>82</v>
      </c>
      <c r="DJ68" t="s">
        <v>81</v>
      </c>
      <c r="DK68" t="s">
        <v>6</v>
      </c>
      <c r="DL68" t="s">
        <v>6</v>
      </c>
      <c r="DM68" t="s">
        <v>6</v>
      </c>
      <c r="DN68">
        <v>0</v>
      </c>
      <c r="DO68">
        <v>0</v>
      </c>
      <c r="DP68">
        <v>1</v>
      </c>
      <c r="DQ68">
        <v>1</v>
      </c>
      <c r="DU68">
        <v>1005</v>
      </c>
      <c r="DV68" t="s">
        <v>18</v>
      </c>
      <c r="DW68" t="s">
        <v>18</v>
      </c>
      <c r="DX68">
        <v>100</v>
      </c>
      <c r="EE68">
        <v>16609108</v>
      </c>
      <c r="EF68">
        <v>2</v>
      </c>
      <c r="EG68" t="s">
        <v>14</v>
      </c>
      <c r="EH68">
        <v>0</v>
      </c>
      <c r="EI68" t="s">
        <v>6</v>
      </c>
      <c r="EJ68">
        <v>1</v>
      </c>
      <c r="EK68">
        <v>11001</v>
      </c>
      <c r="EL68" t="s">
        <v>40</v>
      </c>
      <c r="EM68" t="s">
        <v>146</v>
      </c>
      <c r="EO68" t="s">
        <v>83</v>
      </c>
      <c r="EQ68">
        <v>131072</v>
      </c>
      <c r="ER68">
        <v>366.49</v>
      </c>
      <c r="ES68">
        <v>8.5399999999999991</v>
      </c>
      <c r="ET68">
        <v>44.24</v>
      </c>
      <c r="EU68">
        <v>17.149999999999999</v>
      </c>
      <c r="EV68">
        <v>313.70999999999998</v>
      </c>
      <c r="EW68">
        <v>39.51</v>
      </c>
      <c r="EX68">
        <v>1.27</v>
      </c>
      <c r="EY68">
        <v>0</v>
      </c>
      <c r="FQ68">
        <v>0</v>
      </c>
      <c r="FR68">
        <f t="shared" si="92"/>
        <v>0</v>
      </c>
      <c r="FS68">
        <v>0</v>
      </c>
      <c r="FT68" t="s">
        <v>22</v>
      </c>
      <c r="FU68" t="s">
        <v>23</v>
      </c>
      <c r="FX68">
        <v>110.7</v>
      </c>
      <c r="FY68">
        <v>63.75</v>
      </c>
      <c r="GA68" t="s">
        <v>6</v>
      </c>
      <c r="GD68">
        <v>0</v>
      </c>
      <c r="GF68">
        <v>192743499</v>
      </c>
      <c r="GG68">
        <v>1</v>
      </c>
      <c r="GH68">
        <v>1</v>
      </c>
      <c r="GI68">
        <v>4</v>
      </c>
      <c r="GJ68">
        <v>0</v>
      </c>
      <c r="GK68">
        <f>ROUND(R68*(R12)/100,2)</f>
        <v>0</v>
      </c>
      <c r="GL68">
        <f t="shared" si="93"/>
        <v>0</v>
      </c>
      <c r="GM68">
        <f t="shared" si="94"/>
        <v>2635.2</v>
      </c>
      <c r="GN68">
        <f t="shared" si="95"/>
        <v>2635.2</v>
      </c>
      <c r="GO68">
        <f t="shared" si="96"/>
        <v>0</v>
      </c>
      <c r="GP68">
        <f t="shared" si="97"/>
        <v>0</v>
      </c>
      <c r="GR68">
        <v>0</v>
      </c>
      <c r="GS68">
        <v>3</v>
      </c>
      <c r="GT68">
        <v>0</v>
      </c>
      <c r="GU68" t="s">
        <v>6</v>
      </c>
      <c r="GV68">
        <f t="shared" si="98"/>
        <v>0</v>
      </c>
      <c r="GW68">
        <v>1</v>
      </c>
      <c r="GX68">
        <f t="shared" si="99"/>
        <v>0</v>
      </c>
      <c r="HA68">
        <v>0</v>
      </c>
      <c r="HB68">
        <v>0</v>
      </c>
      <c r="HC68">
        <f t="shared" si="100"/>
        <v>0</v>
      </c>
      <c r="IK68">
        <v>0</v>
      </c>
    </row>
    <row r="69" spans="1:245" x14ac:dyDescent="0.2">
      <c r="A69">
        <v>18</v>
      </c>
      <c r="B69">
        <v>1</v>
      </c>
      <c r="C69">
        <v>124</v>
      </c>
      <c r="E69" t="s">
        <v>213</v>
      </c>
      <c r="F69" t="s">
        <v>214</v>
      </c>
      <c r="G69" t="s">
        <v>215</v>
      </c>
      <c r="H69" t="s">
        <v>203</v>
      </c>
      <c r="I69">
        <f>I68*J69</f>
        <v>0.68952000000000002</v>
      </c>
      <c r="J69">
        <v>2.04</v>
      </c>
      <c r="O69">
        <f t="shared" si="65"/>
        <v>2555.48</v>
      </c>
      <c r="P69">
        <f t="shared" si="66"/>
        <v>2555.48</v>
      </c>
      <c r="Q69">
        <f t="shared" si="67"/>
        <v>0</v>
      </c>
      <c r="R69">
        <f t="shared" si="68"/>
        <v>0</v>
      </c>
      <c r="S69">
        <f t="shared" si="69"/>
        <v>0</v>
      </c>
      <c r="T69">
        <f t="shared" si="70"/>
        <v>0</v>
      </c>
      <c r="U69">
        <f t="shared" si="71"/>
        <v>0</v>
      </c>
      <c r="V69">
        <f t="shared" si="72"/>
        <v>0</v>
      </c>
      <c r="W69">
        <f t="shared" si="73"/>
        <v>0</v>
      </c>
      <c r="X69">
        <f t="shared" si="74"/>
        <v>0</v>
      </c>
      <c r="Y69">
        <f t="shared" si="75"/>
        <v>0</v>
      </c>
      <c r="AA69">
        <v>16630606</v>
      </c>
      <c r="AB69">
        <f t="shared" si="76"/>
        <v>519.79999999999995</v>
      </c>
      <c r="AC69">
        <f t="shared" si="55"/>
        <v>519.79999999999995</v>
      </c>
      <c r="AD69">
        <f>ROUND((((ET69)-(EU69))+AE69),2)</f>
        <v>0</v>
      </c>
      <c r="AE69">
        <f>ROUND((EU69),2)</f>
        <v>0</v>
      </c>
      <c r="AF69">
        <f>ROUND((EV69),2)</f>
        <v>0</v>
      </c>
      <c r="AG69">
        <f t="shared" si="78"/>
        <v>0</v>
      </c>
      <c r="AH69">
        <f>(EW69)</f>
        <v>0</v>
      </c>
      <c r="AI69">
        <f>(EX69)</f>
        <v>0</v>
      </c>
      <c r="AJ69">
        <f t="shared" si="80"/>
        <v>0</v>
      </c>
      <c r="AK69">
        <v>519.79999999999995</v>
      </c>
      <c r="AL69">
        <v>519.79999999999995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111</v>
      </c>
      <c r="AU69">
        <v>64</v>
      </c>
      <c r="AV69">
        <v>1</v>
      </c>
      <c r="AW69">
        <v>1</v>
      </c>
      <c r="AZ69">
        <v>7.13</v>
      </c>
      <c r="BA69">
        <v>1</v>
      </c>
      <c r="BB69">
        <v>1</v>
      </c>
      <c r="BC69">
        <v>7.13</v>
      </c>
      <c r="BD69" t="s">
        <v>6</v>
      </c>
      <c r="BE69" t="s">
        <v>6</v>
      </c>
      <c r="BF69" t="s">
        <v>6</v>
      </c>
      <c r="BG69" t="s">
        <v>6</v>
      </c>
      <c r="BH69">
        <v>3</v>
      </c>
      <c r="BI69">
        <v>1</v>
      </c>
      <c r="BJ69" t="s">
        <v>216</v>
      </c>
      <c r="BM69">
        <v>11001</v>
      </c>
      <c r="BN69">
        <v>0</v>
      </c>
      <c r="BO69" t="s">
        <v>6</v>
      </c>
      <c r="BP69">
        <v>0</v>
      </c>
      <c r="BQ69">
        <v>2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123</v>
      </c>
      <c r="CA69">
        <v>75</v>
      </c>
      <c r="CE69">
        <v>0</v>
      </c>
      <c r="CF69">
        <v>0</v>
      </c>
      <c r="CG69">
        <v>0</v>
      </c>
      <c r="CM69">
        <v>0</v>
      </c>
      <c r="CN69" t="s">
        <v>6</v>
      </c>
      <c r="CO69">
        <v>0</v>
      </c>
      <c r="CP69">
        <f t="shared" si="81"/>
        <v>2555.48</v>
      </c>
      <c r="CQ69">
        <f t="shared" si="82"/>
        <v>3706.1739999999995</v>
      </c>
      <c r="CR69">
        <f t="shared" si="83"/>
        <v>0</v>
      </c>
      <c r="CS69">
        <f t="shared" si="84"/>
        <v>0</v>
      </c>
      <c r="CT69">
        <f t="shared" si="85"/>
        <v>0</v>
      </c>
      <c r="CU69">
        <f t="shared" si="86"/>
        <v>0</v>
      </c>
      <c r="CV69">
        <f t="shared" si="87"/>
        <v>0</v>
      </c>
      <c r="CW69">
        <f t="shared" si="88"/>
        <v>0</v>
      </c>
      <c r="CX69">
        <f t="shared" si="89"/>
        <v>0</v>
      </c>
      <c r="CY69">
        <f t="shared" si="90"/>
        <v>0</v>
      </c>
      <c r="CZ69">
        <f t="shared" si="91"/>
        <v>0</v>
      </c>
      <c r="DC69" t="s">
        <v>6</v>
      </c>
      <c r="DD69" t="s">
        <v>6</v>
      </c>
      <c r="DE69" t="s">
        <v>6</v>
      </c>
      <c r="DF69" t="s">
        <v>6</v>
      </c>
      <c r="DG69" t="s">
        <v>6</v>
      </c>
      <c r="DH69" t="s">
        <v>6</v>
      </c>
      <c r="DI69" t="s">
        <v>6</v>
      </c>
      <c r="DJ69" t="s">
        <v>6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1007</v>
      </c>
      <c r="DV69" t="s">
        <v>203</v>
      </c>
      <c r="DW69" t="s">
        <v>203</v>
      </c>
      <c r="DX69">
        <v>1</v>
      </c>
      <c r="EE69">
        <v>16609108</v>
      </c>
      <c r="EF69">
        <v>2</v>
      </c>
      <c r="EG69" t="s">
        <v>14</v>
      </c>
      <c r="EH69">
        <v>0</v>
      </c>
      <c r="EI69" t="s">
        <v>6</v>
      </c>
      <c r="EJ69">
        <v>1</v>
      </c>
      <c r="EK69">
        <v>11001</v>
      </c>
      <c r="EL69" t="s">
        <v>40</v>
      </c>
      <c r="EM69" t="s">
        <v>146</v>
      </c>
      <c r="EO69" t="s">
        <v>6</v>
      </c>
      <c r="EQ69">
        <v>0</v>
      </c>
      <c r="ER69">
        <v>519.79999999999995</v>
      </c>
      <c r="ES69">
        <v>519.79999999999995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92"/>
        <v>0</v>
      </c>
      <c r="FS69">
        <v>0</v>
      </c>
      <c r="FT69" t="s">
        <v>22</v>
      </c>
      <c r="FU69" t="s">
        <v>23</v>
      </c>
      <c r="FX69">
        <v>110.7</v>
      </c>
      <c r="FY69">
        <v>63.75</v>
      </c>
      <c r="GA69" t="s">
        <v>6</v>
      </c>
      <c r="GD69">
        <v>0</v>
      </c>
      <c r="GF69">
        <v>519185539</v>
      </c>
      <c r="GG69">
        <v>1</v>
      </c>
      <c r="GH69">
        <v>1</v>
      </c>
      <c r="GI69">
        <v>4</v>
      </c>
      <c r="GJ69">
        <v>0</v>
      </c>
      <c r="GK69">
        <f>ROUND(R69*(R12)/100,2)</f>
        <v>0</v>
      </c>
      <c r="GL69">
        <f t="shared" si="93"/>
        <v>0</v>
      </c>
      <c r="GM69">
        <f t="shared" si="94"/>
        <v>2555.48</v>
      </c>
      <c r="GN69">
        <f t="shared" si="95"/>
        <v>2555.48</v>
      </c>
      <c r="GO69">
        <f t="shared" si="96"/>
        <v>0</v>
      </c>
      <c r="GP69">
        <f t="shared" si="97"/>
        <v>0</v>
      </c>
      <c r="GR69">
        <v>0</v>
      </c>
      <c r="GS69">
        <v>3</v>
      </c>
      <c r="GT69">
        <v>0</v>
      </c>
      <c r="GU69" t="s">
        <v>6</v>
      </c>
      <c r="GV69">
        <f t="shared" si="98"/>
        <v>0</v>
      </c>
      <c r="GW69">
        <v>1</v>
      </c>
      <c r="GX69">
        <f t="shared" si="99"/>
        <v>0</v>
      </c>
      <c r="HA69">
        <v>0</v>
      </c>
      <c r="HB69">
        <v>0</v>
      </c>
      <c r="HC69">
        <f t="shared" si="100"/>
        <v>0</v>
      </c>
      <c r="IK69">
        <v>0</v>
      </c>
    </row>
    <row r="70" spans="1:245" x14ac:dyDescent="0.2">
      <c r="A70">
        <v>17</v>
      </c>
      <c r="B70">
        <v>1</v>
      </c>
      <c r="C70">
        <f>ROW(SmtRes!A129)</f>
        <v>129</v>
      </c>
      <c r="D70">
        <f>ROW(EtalonRes!A138)</f>
        <v>138</v>
      </c>
      <c r="E70" t="s">
        <v>217</v>
      </c>
      <c r="F70" t="s">
        <v>218</v>
      </c>
      <c r="G70" t="s">
        <v>219</v>
      </c>
      <c r="H70" t="s">
        <v>18</v>
      </c>
      <c r="I70">
        <f>ROUND(33.8/100,9)</f>
        <v>0.33800000000000002</v>
      </c>
      <c r="J70">
        <v>0</v>
      </c>
      <c r="O70">
        <f t="shared" si="65"/>
        <v>102.79</v>
      </c>
      <c r="P70">
        <f t="shared" si="66"/>
        <v>0</v>
      </c>
      <c r="Q70">
        <f t="shared" si="67"/>
        <v>69.77</v>
      </c>
      <c r="R70">
        <f t="shared" si="68"/>
        <v>25.67</v>
      </c>
      <c r="S70">
        <f t="shared" si="69"/>
        <v>33.020000000000003</v>
      </c>
      <c r="T70">
        <f t="shared" si="70"/>
        <v>0</v>
      </c>
      <c r="U70">
        <f t="shared" si="71"/>
        <v>0.58304999999999996</v>
      </c>
      <c r="V70">
        <f t="shared" si="72"/>
        <v>0.26617499999999999</v>
      </c>
      <c r="W70">
        <f t="shared" si="73"/>
        <v>0</v>
      </c>
      <c r="X70">
        <f t="shared" si="74"/>
        <v>65.150000000000006</v>
      </c>
      <c r="Y70">
        <f t="shared" si="75"/>
        <v>37.56</v>
      </c>
      <c r="AA70">
        <v>16630606</v>
      </c>
      <c r="AB70">
        <f t="shared" si="76"/>
        <v>42.65</v>
      </c>
      <c r="AC70">
        <f>ROUND(((ES70*3)),2)</f>
        <v>0</v>
      </c>
      <c r="AD70">
        <f>ROUND((((((ET70*3)*1.25))-(((EU70*3)*1.25)))+AE70),2)</f>
        <v>28.95</v>
      </c>
      <c r="AE70">
        <f>ROUND((((EU70*3)*1.25)),2)</f>
        <v>10.65</v>
      </c>
      <c r="AF70">
        <f>ROUND((((EV70*3)*1.15)),2)</f>
        <v>13.7</v>
      </c>
      <c r="AG70">
        <f t="shared" si="78"/>
        <v>0</v>
      </c>
      <c r="AH70">
        <f>(((EW70*3)*1.15))</f>
        <v>1.7249999999999999</v>
      </c>
      <c r="AI70">
        <f>(((EX70*3)*1.25))</f>
        <v>0.78749999999999998</v>
      </c>
      <c r="AJ70">
        <f t="shared" si="80"/>
        <v>0</v>
      </c>
      <c r="AK70">
        <v>11.69</v>
      </c>
      <c r="AL70">
        <v>0</v>
      </c>
      <c r="AM70">
        <v>7.72</v>
      </c>
      <c r="AN70">
        <v>2.84</v>
      </c>
      <c r="AO70">
        <v>3.97</v>
      </c>
      <c r="AP70">
        <v>0</v>
      </c>
      <c r="AQ70">
        <v>0.5</v>
      </c>
      <c r="AR70">
        <v>0.21</v>
      </c>
      <c r="AS70">
        <v>0</v>
      </c>
      <c r="AT70">
        <v>111</v>
      </c>
      <c r="AU70">
        <v>64</v>
      </c>
      <c r="AV70">
        <v>1</v>
      </c>
      <c r="AW70">
        <v>1</v>
      </c>
      <c r="AZ70">
        <v>7.13</v>
      </c>
      <c r="BA70">
        <v>7.13</v>
      </c>
      <c r="BB70">
        <v>7.13</v>
      </c>
      <c r="BC70">
        <v>7.13</v>
      </c>
      <c r="BD70" t="s">
        <v>6</v>
      </c>
      <c r="BE70" t="s">
        <v>6</v>
      </c>
      <c r="BF70" t="s">
        <v>6</v>
      </c>
      <c r="BG70" t="s">
        <v>6</v>
      </c>
      <c r="BH70">
        <v>0</v>
      </c>
      <c r="BI70">
        <v>1</v>
      </c>
      <c r="BJ70" t="s">
        <v>220</v>
      </c>
      <c r="BM70">
        <v>11001</v>
      </c>
      <c r="BN70">
        <v>0</v>
      </c>
      <c r="BO70" t="s">
        <v>6</v>
      </c>
      <c r="BP70">
        <v>0</v>
      </c>
      <c r="BQ70">
        <v>2</v>
      </c>
      <c r="BR70">
        <v>0</v>
      </c>
      <c r="BS70">
        <v>7.13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6</v>
      </c>
      <c r="BZ70">
        <v>123</v>
      </c>
      <c r="CA70">
        <v>75</v>
      </c>
      <c r="CE70">
        <v>0</v>
      </c>
      <c r="CF70">
        <v>0</v>
      </c>
      <c r="CG70">
        <v>0</v>
      </c>
      <c r="CM70">
        <v>0</v>
      </c>
      <c r="CN70" t="s">
        <v>1758</v>
      </c>
      <c r="CO70">
        <v>0</v>
      </c>
      <c r="CP70">
        <f t="shared" si="81"/>
        <v>102.78999999999999</v>
      </c>
      <c r="CQ70">
        <f t="shared" si="82"/>
        <v>0</v>
      </c>
      <c r="CR70">
        <f t="shared" si="83"/>
        <v>206.4135</v>
      </c>
      <c r="CS70">
        <f t="shared" si="84"/>
        <v>75.9345</v>
      </c>
      <c r="CT70">
        <f t="shared" si="85"/>
        <v>97.680999999999997</v>
      </c>
      <c r="CU70">
        <f t="shared" si="86"/>
        <v>0</v>
      </c>
      <c r="CV70">
        <f t="shared" si="87"/>
        <v>1.7249999999999999</v>
      </c>
      <c r="CW70">
        <f t="shared" si="88"/>
        <v>0.78749999999999998</v>
      </c>
      <c r="CX70">
        <f t="shared" si="89"/>
        <v>0</v>
      </c>
      <c r="CY70">
        <f t="shared" si="90"/>
        <v>65.145899999999997</v>
      </c>
      <c r="CZ70">
        <f t="shared" si="91"/>
        <v>37.561600000000006</v>
      </c>
      <c r="DC70" t="s">
        <v>6</v>
      </c>
      <c r="DD70" t="s">
        <v>221</v>
      </c>
      <c r="DE70" t="s">
        <v>222</v>
      </c>
      <c r="DF70" t="s">
        <v>222</v>
      </c>
      <c r="DG70" t="s">
        <v>223</v>
      </c>
      <c r="DH70" t="s">
        <v>6</v>
      </c>
      <c r="DI70" t="s">
        <v>223</v>
      </c>
      <c r="DJ70" t="s">
        <v>222</v>
      </c>
      <c r="DK70" t="s">
        <v>6</v>
      </c>
      <c r="DL70" t="s">
        <v>6</v>
      </c>
      <c r="DM70" t="s">
        <v>6</v>
      </c>
      <c r="DN70">
        <v>0</v>
      </c>
      <c r="DO70">
        <v>0</v>
      </c>
      <c r="DP70">
        <v>1</v>
      </c>
      <c r="DQ70">
        <v>1</v>
      </c>
      <c r="DU70">
        <v>1005</v>
      </c>
      <c r="DV70" t="s">
        <v>18</v>
      </c>
      <c r="DW70" t="s">
        <v>18</v>
      </c>
      <c r="DX70">
        <v>100</v>
      </c>
      <c r="EE70">
        <v>16609108</v>
      </c>
      <c r="EF70">
        <v>2</v>
      </c>
      <c r="EG70" t="s">
        <v>14</v>
      </c>
      <c r="EH70">
        <v>0</v>
      </c>
      <c r="EI70" t="s">
        <v>6</v>
      </c>
      <c r="EJ70">
        <v>1</v>
      </c>
      <c r="EK70">
        <v>11001</v>
      </c>
      <c r="EL70" t="s">
        <v>40</v>
      </c>
      <c r="EM70" t="s">
        <v>146</v>
      </c>
      <c r="EO70" t="s">
        <v>83</v>
      </c>
      <c r="EQ70">
        <v>131072</v>
      </c>
      <c r="ER70">
        <v>11.69</v>
      </c>
      <c r="ES70">
        <v>0</v>
      </c>
      <c r="ET70">
        <v>7.72</v>
      </c>
      <c r="EU70">
        <v>2.84</v>
      </c>
      <c r="EV70">
        <v>3.97</v>
      </c>
      <c r="EW70">
        <v>0.5</v>
      </c>
      <c r="EX70">
        <v>0.21</v>
      </c>
      <c r="EY70">
        <v>0</v>
      </c>
      <c r="FQ70">
        <v>0</v>
      </c>
      <c r="FR70">
        <f t="shared" si="92"/>
        <v>0</v>
      </c>
      <c r="FS70">
        <v>0</v>
      </c>
      <c r="FT70" t="s">
        <v>22</v>
      </c>
      <c r="FU70" t="s">
        <v>23</v>
      </c>
      <c r="FX70">
        <v>110.7</v>
      </c>
      <c r="FY70">
        <v>63.75</v>
      </c>
      <c r="GA70" t="s">
        <v>6</v>
      </c>
      <c r="GD70">
        <v>0</v>
      </c>
      <c r="GF70">
        <v>-869721543</v>
      </c>
      <c r="GG70">
        <v>1</v>
      </c>
      <c r="GH70">
        <v>1</v>
      </c>
      <c r="GI70">
        <v>4</v>
      </c>
      <c r="GJ70">
        <v>0</v>
      </c>
      <c r="GK70">
        <f>ROUND(R70*(R12)/100,2)</f>
        <v>0</v>
      </c>
      <c r="GL70">
        <f t="shared" si="93"/>
        <v>0</v>
      </c>
      <c r="GM70">
        <f t="shared" si="94"/>
        <v>205.5</v>
      </c>
      <c r="GN70">
        <f t="shared" si="95"/>
        <v>205.5</v>
      </c>
      <c r="GO70">
        <f t="shared" si="96"/>
        <v>0</v>
      </c>
      <c r="GP70">
        <f t="shared" si="97"/>
        <v>0</v>
      </c>
      <c r="GR70">
        <v>0</v>
      </c>
      <c r="GS70">
        <v>3</v>
      </c>
      <c r="GT70">
        <v>0</v>
      </c>
      <c r="GU70" t="s">
        <v>6</v>
      </c>
      <c r="GV70">
        <f t="shared" si="98"/>
        <v>0</v>
      </c>
      <c r="GW70">
        <v>1</v>
      </c>
      <c r="GX70">
        <f t="shared" si="99"/>
        <v>0</v>
      </c>
      <c r="HA70">
        <v>0</v>
      </c>
      <c r="HB70">
        <v>0</v>
      </c>
      <c r="HC70">
        <f t="shared" si="100"/>
        <v>0</v>
      </c>
      <c r="IK70">
        <v>0</v>
      </c>
    </row>
    <row r="71" spans="1:245" x14ac:dyDescent="0.2">
      <c r="A71">
        <v>18</v>
      </c>
      <c r="B71">
        <v>1</v>
      </c>
      <c r="C71">
        <v>129</v>
      </c>
      <c r="E71" t="s">
        <v>224</v>
      </c>
      <c r="F71" t="s">
        <v>201</v>
      </c>
      <c r="G71" t="s">
        <v>202</v>
      </c>
      <c r="H71" t="s">
        <v>203</v>
      </c>
      <c r="I71">
        <f>I70*J71</f>
        <v>0.51714000000000004</v>
      </c>
      <c r="J71">
        <v>1.53</v>
      </c>
      <c r="O71">
        <f t="shared" si="65"/>
        <v>1566.62</v>
      </c>
      <c r="P71">
        <f t="shared" si="66"/>
        <v>1566.62</v>
      </c>
      <c r="Q71">
        <f t="shared" si="67"/>
        <v>0</v>
      </c>
      <c r="R71">
        <f t="shared" si="68"/>
        <v>0</v>
      </c>
      <c r="S71">
        <f t="shared" si="69"/>
        <v>0</v>
      </c>
      <c r="T71">
        <f t="shared" si="70"/>
        <v>0</v>
      </c>
      <c r="U71">
        <f t="shared" si="71"/>
        <v>0</v>
      </c>
      <c r="V71">
        <f t="shared" si="72"/>
        <v>0</v>
      </c>
      <c r="W71">
        <f t="shared" si="73"/>
        <v>0</v>
      </c>
      <c r="X71">
        <f t="shared" si="74"/>
        <v>0</v>
      </c>
      <c r="Y71">
        <f t="shared" si="75"/>
        <v>0</v>
      </c>
      <c r="AA71">
        <v>16630606</v>
      </c>
      <c r="AB71">
        <f t="shared" si="76"/>
        <v>424.88</v>
      </c>
      <c r="AC71">
        <f t="shared" ref="AC71:AC102" si="103">ROUND((ES71),2)</f>
        <v>424.88</v>
      </c>
      <c r="AD71">
        <f>ROUND((((ET71)-(EU71))+AE71),2)</f>
        <v>0</v>
      </c>
      <c r="AE71">
        <f>ROUND((EU71),2)</f>
        <v>0</v>
      </c>
      <c r="AF71">
        <f>ROUND((EV71),2)</f>
        <v>0</v>
      </c>
      <c r="AG71">
        <f t="shared" si="78"/>
        <v>0</v>
      </c>
      <c r="AH71">
        <f>(EW71)</f>
        <v>0</v>
      </c>
      <c r="AI71">
        <f>(EX71)</f>
        <v>0</v>
      </c>
      <c r="AJ71">
        <f t="shared" si="80"/>
        <v>0</v>
      </c>
      <c r="AK71">
        <v>424.88</v>
      </c>
      <c r="AL71">
        <v>424.88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80</v>
      </c>
      <c r="AU71">
        <v>68</v>
      </c>
      <c r="AV71">
        <v>1</v>
      </c>
      <c r="AW71">
        <v>1</v>
      </c>
      <c r="AZ71">
        <v>7.13</v>
      </c>
      <c r="BA71">
        <v>1</v>
      </c>
      <c r="BB71">
        <v>1</v>
      </c>
      <c r="BC71">
        <v>7.13</v>
      </c>
      <c r="BD71" t="s">
        <v>6</v>
      </c>
      <c r="BE71" t="s">
        <v>6</v>
      </c>
      <c r="BF71" t="s">
        <v>6</v>
      </c>
      <c r="BG71" t="s">
        <v>6</v>
      </c>
      <c r="BH71">
        <v>3</v>
      </c>
      <c r="BI71">
        <v>1</v>
      </c>
      <c r="BJ71" t="s">
        <v>204</v>
      </c>
      <c r="BM71">
        <v>57001</v>
      </c>
      <c r="BN71">
        <v>0</v>
      </c>
      <c r="BO71" t="s">
        <v>6</v>
      </c>
      <c r="BP71">
        <v>0</v>
      </c>
      <c r="BQ71">
        <v>6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80</v>
      </c>
      <c r="CA71">
        <v>68</v>
      </c>
      <c r="CE71">
        <v>0</v>
      </c>
      <c r="CF71">
        <v>0</v>
      </c>
      <c r="CG71">
        <v>0</v>
      </c>
      <c r="CM71">
        <v>0</v>
      </c>
      <c r="CN71" t="s">
        <v>6</v>
      </c>
      <c r="CO71">
        <v>0</v>
      </c>
      <c r="CP71">
        <f t="shared" si="81"/>
        <v>1566.62</v>
      </c>
      <c r="CQ71">
        <f t="shared" si="82"/>
        <v>3029.3944000000001</v>
      </c>
      <c r="CR71">
        <f t="shared" si="83"/>
        <v>0</v>
      </c>
      <c r="CS71">
        <f t="shared" si="84"/>
        <v>0</v>
      </c>
      <c r="CT71">
        <f t="shared" si="85"/>
        <v>0</v>
      </c>
      <c r="CU71">
        <f t="shared" si="86"/>
        <v>0</v>
      </c>
      <c r="CV71">
        <f t="shared" si="87"/>
        <v>0</v>
      </c>
      <c r="CW71">
        <f t="shared" si="88"/>
        <v>0</v>
      </c>
      <c r="CX71">
        <f t="shared" si="89"/>
        <v>0</v>
      </c>
      <c r="CY71">
        <f t="shared" si="90"/>
        <v>0</v>
      </c>
      <c r="CZ71">
        <f t="shared" si="91"/>
        <v>0</v>
      </c>
      <c r="DC71" t="s">
        <v>6</v>
      </c>
      <c r="DD71" t="s">
        <v>6</v>
      </c>
      <c r="DE71" t="s">
        <v>6</v>
      </c>
      <c r="DF71" t="s">
        <v>6</v>
      </c>
      <c r="DG71" t="s">
        <v>6</v>
      </c>
      <c r="DH71" t="s">
        <v>6</v>
      </c>
      <c r="DI71" t="s">
        <v>6</v>
      </c>
      <c r="DJ71" t="s">
        <v>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1007</v>
      </c>
      <c r="DV71" t="s">
        <v>203</v>
      </c>
      <c r="DW71" t="s">
        <v>203</v>
      </c>
      <c r="DX71">
        <v>1</v>
      </c>
      <c r="EE71">
        <v>16609182</v>
      </c>
      <c r="EF71">
        <v>6</v>
      </c>
      <c r="EG71" t="s">
        <v>39</v>
      </c>
      <c r="EH71">
        <v>0</v>
      </c>
      <c r="EI71" t="s">
        <v>6</v>
      </c>
      <c r="EJ71">
        <v>1</v>
      </c>
      <c r="EK71">
        <v>57001</v>
      </c>
      <c r="EL71" t="s">
        <v>40</v>
      </c>
      <c r="EM71" t="s">
        <v>41</v>
      </c>
      <c r="EO71" t="s">
        <v>6</v>
      </c>
      <c r="EQ71">
        <v>0</v>
      </c>
      <c r="ER71">
        <v>424.88</v>
      </c>
      <c r="ES71">
        <v>424.88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92"/>
        <v>0</v>
      </c>
      <c r="FS71">
        <v>0</v>
      </c>
      <c r="FX71">
        <v>80</v>
      </c>
      <c r="FY71">
        <v>68</v>
      </c>
      <c r="GA71" t="s">
        <v>6</v>
      </c>
      <c r="GD71">
        <v>0</v>
      </c>
      <c r="GF71">
        <v>-1048055182</v>
      </c>
      <c r="GG71">
        <v>1</v>
      </c>
      <c r="GH71">
        <v>1</v>
      </c>
      <c r="GI71">
        <v>4</v>
      </c>
      <c r="GJ71">
        <v>0</v>
      </c>
      <c r="GK71">
        <f>ROUND(R71*(R12)/100,2)</f>
        <v>0</v>
      </c>
      <c r="GL71">
        <f t="shared" si="93"/>
        <v>0</v>
      </c>
      <c r="GM71">
        <f t="shared" si="94"/>
        <v>1566.62</v>
      </c>
      <c r="GN71">
        <f t="shared" si="95"/>
        <v>1566.62</v>
      </c>
      <c r="GO71">
        <f t="shared" si="96"/>
        <v>0</v>
      </c>
      <c r="GP71">
        <f t="shared" si="97"/>
        <v>0</v>
      </c>
      <c r="GR71">
        <v>0</v>
      </c>
      <c r="GS71">
        <v>3</v>
      </c>
      <c r="GT71">
        <v>0</v>
      </c>
      <c r="GU71" t="s">
        <v>6</v>
      </c>
      <c r="GV71">
        <f t="shared" si="98"/>
        <v>0</v>
      </c>
      <c r="GW71">
        <v>1</v>
      </c>
      <c r="GX71">
        <f t="shared" si="99"/>
        <v>0</v>
      </c>
      <c r="HA71">
        <v>0</v>
      </c>
      <c r="HB71">
        <v>0</v>
      </c>
      <c r="HC71">
        <f t="shared" si="100"/>
        <v>0</v>
      </c>
      <c r="IK71">
        <v>0</v>
      </c>
    </row>
    <row r="72" spans="1:245" x14ac:dyDescent="0.2">
      <c r="A72">
        <v>17</v>
      </c>
      <c r="B72">
        <v>1</v>
      </c>
      <c r="C72">
        <f>ROW(SmtRes!A136)</f>
        <v>136</v>
      </c>
      <c r="D72">
        <f>ROW(EtalonRes!A145)</f>
        <v>145</v>
      </c>
      <c r="E72" t="s">
        <v>225</v>
      </c>
      <c r="F72" t="s">
        <v>226</v>
      </c>
      <c r="G72" t="s">
        <v>227</v>
      </c>
      <c r="H72" t="s">
        <v>18</v>
      </c>
      <c r="I72">
        <f>ROUND(229.8/100,9)</f>
        <v>2.298</v>
      </c>
      <c r="J72">
        <v>0</v>
      </c>
      <c r="O72">
        <f t="shared" si="65"/>
        <v>181520.8</v>
      </c>
      <c r="P72">
        <f t="shared" si="66"/>
        <v>175338.51</v>
      </c>
      <c r="Q72">
        <f t="shared" si="67"/>
        <v>127.64</v>
      </c>
      <c r="R72">
        <f t="shared" si="68"/>
        <v>40.31</v>
      </c>
      <c r="S72">
        <f t="shared" si="69"/>
        <v>6054.65</v>
      </c>
      <c r="T72">
        <f t="shared" si="70"/>
        <v>0</v>
      </c>
      <c r="U72">
        <f t="shared" si="71"/>
        <v>99.550508999999991</v>
      </c>
      <c r="V72">
        <f t="shared" si="72"/>
        <v>0.48832500000000006</v>
      </c>
      <c r="W72">
        <f t="shared" si="73"/>
        <v>0</v>
      </c>
      <c r="X72">
        <f t="shared" si="74"/>
        <v>6765.41</v>
      </c>
      <c r="Y72">
        <f t="shared" si="75"/>
        <v>3900.77</v>
      </c>
      <c r="AA72">
        <v>16630606</v>
      </c>
      <c r="AB72">
        <f t="shared" si="76"/>
        <v>11078.65</v>
      </c>
      <c r="AC72">
        <f t="shared" si="103"/>
        <v>10701.33</v>
      </c>
      <c r="AD72">
        <f>ROUND(((((ET72*1.25))-((EU72*1.25)))+AE72),2)</f>
        <v>7.79</v>
      </c>
      <c r="AE72">
        <f>ROUND(((EU72*1.25)),2)</f>
        <v>2.46</v>
      </c>
      <c r="AF72">
        <f>ROUND(((EV72*1.15)),2)</f>
        <v>369.53</v>
      </c>
      <c r="AG72">
        <f t="shared" si="78"/>
        <v>0</v>
      </c>
      <c r="AH72">
        <f>((EW72*1.15))</f>
        <v>43.320499999999996</v>
      </c>
      <c r="AI72">
        <f>((EX72*1.25))</f>
        <v>0.21250000000000002</v>
      </c>
      <c r="AJ72">
        <f t="shared" si="80"/>
        <v>0</v>
      </c>
      <c r="AK72">
        <v>11028.89</v>
      </c>
      <c r="AL72">
        <v>10701.33</v>
      </c>
      <c r="AM72">
        <v>6.23</v>
      </c>
      <c r="AN72">
        <v>1.97</v>
      </c>
      <c r="AO72">
        <v>321.33</v>
      </c>
      <c r="AP72">
        <v>0</v>
      </c>
      <c r="AQ72">
        <v>37.67</v>
      </c>
      <c r="AR72">
        <v>0.17</v>
      </c>
      <c r="AS72">
        <v>0</v>
      </c>
      <c r="AT72">
        <v>111</v>
      </c>
      <c r="AU72">
        <v>64</v>
      </c>
      <c r="AV72">
        <v>1</v>
      </c>
      <c r="AW72">
        <v>1</v>
      </c>
      <c r="AZ72">
        <v>7.13</v>
      </c>
      <c r="BA72">
        <v>7.13</v>
      </c>
      <c r="BB72">
        <v>7.13</v>
      </c>
      <c r="BC72">
        <v>7.13</v>
      </c>
      <c r="BD72" t="s">
        <v>6</v>
      </c>
      <c r="BE72" t="s">
        <v>6</v>
      </c>
      <c r="BF72" t="s">
        <v>6</v>
      </c>
      <c r="BG72" t="s">
        <v>6</v>
      </c>
      <c r="BH72">
        <v>0</v>
      </c>
      <c r="BI72">
        <v>1</v>
      </c>
      <c r="BJ72" t="s">
        <v>228</v>
      </c>
      <c r="BM72">
        <v>11001</v>
      </c>
      <c r="BN72">
        <v>0</v>
      </c>
      <c r="BO72" t="s">
        <v>6</v>
      </c>
      <c r="BP72">
        <v>0</v>
      </c>
      <c r="BQ72">
        <v>2</v>
      </c>
      <c r="BR72">
        <v>0</v>
      </c>
      <c r="BS72">
        <v>7.13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6</v>
      </c>
      <c r="BZ72">
        <v>123</v>
      </c>
      <c r="CA72">
        <v>75</v>
      </c>
      <c r="CE72">
        <v>0</v>
      </c>
      <c r="CF72">
        <v>0</v>
      </c>
      <c r="CG72">
        <v>0</v>
      </c>
      <c r="CM72">
        <v>0</v>
      </c>
      <c r="CN72" t="s">
        <v>1758</v>
      </c>
      <c r="CO72">
        <v>0</v>
      </c>
      <c r="CP72">
        <f t="shared" si="81"/>
        <v>181520.80000000002</v>
      </c>
      <c r="CQ72">
        <f t="shared" si="82"/>
        <v>76300.482900000003</v>
      </c>
      <c r="CR72">
        <f t="shared" si="83"/>
        <v>55.542699999999996</v>
      </c>
      <c r="CS72">
        <f t="shared" si="84"/>
        <v>17.5398</v>
      </c>
      <c r="CT72">
        <f t="shared" si="85"/>
        <v>2634.7488999999996</v>
      </c>
      <c r="CU72">
        <f t="shared" si="86"/>
        <v>0</v>
      </c>
      <c r="CV72">
        <f t="shared" si="87"/>
        <v>43.320499999999996</v>
      </c>
      <c r="CW72">
        <f t="shared" si="88"/>
        <v>0.21250000000000002</v>
      </c>
      <c r="CX72">
        <f t="shared" si="89"/>
        <v>0</v>
      </c>
      <c r="CY72">
        <f t="shared" si="90"/>
        <v>6765.405600000001</v>
      </c>
      <c r="CZ72">
        <f t="shared" si="91"/>
        <v>3900.7744000000002</v>
      </c>
      <c r="DC72" t="s">
        <v>6</v>
      </c>
      <c r="DD72" t="s">
        <v>6</v>
      </c>
      <c r="DE72" t="s">
        <v>81</v>
      </c>
      <c r="DF72" t="s">
        <v>81</v>
      </c>
      <c r="DG72" t="s">
        <v>82</v>
      </c>
      <c r="DH72" t="s">
        <v>6</v>
      </c>
      <c r="DI72" t="s">
        <v>82</v>
      </c>
      <c r="DJ72" t="s">
        <v>81</v>
      </c>
      <c r="DK72" t="s">
        <v>6</v>
      </c>
      <c r="DL72" t="s">
        <v>6</v>
      </c>
      <c r="DM72" t="s">
        <v>6</v>
      </c>
      <c r="DN72">
        <v>0</v>
      </c>
      <c r="DO72">
        <v>0</v>
      </c>
      <c r="DP72">
        <v>1</v>
      </c>
      <c r="DQ72">
        <v>1</v>
      </c>
      <c r="DU72">
        <v>1005</v>
      </c>
      <c r="DV72" t="s">
        <v>18</v>
      </c>
      <c r="DW72" t="s">
        <v>18</v>
      </c>
      <c r="DX72">
        <v>100</v>
      </c>
      <c r="EE72">
        <v>16609108</v>
      </c>
      <c r="EF72">
        <v>2</v>
      </c>
      <c r="EG72" t="s">
        <v>14</v>
      </c>
      <c r="EH72">
        <v>0</v>
      </c>
      <c r="EI72" t="s">
        <v>6</v>
      </c>
      <c r="EJ72">
        <v>1</v>
      </c>
      <c r="EK72">
        <v>11001</v>
      </c>
      <c r="EL72" t="s">
        <v>40</v>
      </c>
      <c r="EM72" t="s">
        <v>146</v>
      </c>
      <c r="EO72" t="s">
        <v>83</v>
      </c>
      <c r="EQ72">
        <v>131072</v>
      </c>
      <c r="ER72">
        <v>11028.89</v>
      </c>
      <c r="ES72">
        <v>10701.33</v>
      </c>
      <c r="ET72">
        <v>6.23</v>
      </c>
      <c r="EU72">
        <v>1.97</v>
      </c>
      <c r="EV72">
        <v>321.33</v>
      </c>
      <c r="EW72">
        <v>37.67</v>
      </c>
      <c r="EX72">
        <v>0.17</v>
      </c>
      <c r="EY72">
        <v>0</v>
      </c>
      <c r="FQ72">
        <v>0</v>
      </c>
      <c r="FR72">
        <f t="shared" si="92"/>
        <v>0</v>
      </c>
      <c r="FS72">
        <v>0</v>
      </c>
      <c r="FT72" t="s">
        <v>22</v>
      </c>
      <c r="FU72" t="s">
        <v>23</v>
      </c>
      <c r="FX72">
        <v>110.7</v>
      </c>
      <c r="FY72">
        <v>63.75</v>
      </c>
      <c r="GA72" t="s">
        <v>6</v>
      </c>
      <c r="GD72">
        <v>0</v>
      </c>
      <c r="GF72">
        <v>-152094581</v>
      </c>
      <c r="GG72">
        <v>1</v>
      </c>
      <c r="GH72">
        <v>1</v>
      </c>
      <c r="GI72">
        <v>4</v>
      </c>
      <c r="GJ72">
        <v>0</v>
      </c>
      <c r="GK72">
        <f>ROUND(R72*(R12)/100,2)</f>
        <v>0</v>
      </c>
      <c r="GL72">
        <f t="shared" si="93"/>
        <v>0</v>
      </c>
      <c r="GM72">
        <f t="shared" si="94"/>
        <v>192186.98</v>
      </c>
      <c r="GN72">
        <f t="shared" si="95"/>
        <v>192186.98</v>
      </c>
      <c r="GO72">
        <f t="shared" si="96"/>
        <v>0</v>
      </c>
      <c r="GP72">
        <f t="shared" si="97"/>
        <v>0</v>
      </c>
      <c r="GR72">
        <v>0</v>
      </c>
      <c r="GS72">
        <v>3</v>
      </c>
      <c r="GT72">
        <v>0</v>
      </c>
      <c r="GU72" t="s">
        <v>6</v>
      </c>
      <c r="GV72">
        <f t="shared" si="98"/>
        <v>0</v>
      </c>
      <c r="GW72">
        <v>1</v>
      </c>
      <c r="GX72">
        <f t="shared" si="99"/>
        <v>0</v>
      </c>
      <c r="HA72">
        <v>0</v>
      </c>
      <c r="HB72">
        <v>0</v>
      </c>
      <c r="HC72">
        <f t="shared" si="100"/>
        <v>0</v>
      </c>
      <c r="IK72">
        <v>0</v>
      </c>
    </row>
    <row r="73" spans="1:245" x14ac:dyDescent="0.2">
      <c r="A73">
        <v>17</v>
      </c>
      <c r="B73">
        <v>1</v>
      </c>
      <c r="C73">
        <f>ROW(SmtRes!A149)</f>
        <v>149</v>
      </c>
      <c r="D73">
        <f>ROW(EtalonRes!A157)</f>
        <v>157</v>
      </c>
      <c r="E73" t="s">
        <v>229</v>
      </c>
      <c r="F73" t="s">
        <v>230</v>
      </c>
      <c r="G73" t="s">
        <v>231</v>
      </c>
      <c r="H73" t="s">
        <v>57</v>
      </c>
      <c r="I73">
        <f>ROUND(202.92/100,9)</f>
        <v>2.0291999999999999</v>
      </c>
      <c r="J73">
        <v>0</v>
      </c>
      <c r="O73">
        <f t="shared" si="65"/>
        <v>2124.37</v>
      </c>
      <c r="P73">
        <f t="shared" si="66"/>
        <v>1065.44</v>
      </c>
      <c r="Q73">
        <f t="shared" si="67"/>
        <v>38.630000000000003</v>
      </c>
      <c r="R73">
        <f t="shared" si="68"/>
        <v>7.67</v>
      </c>
      <c r="S73">
        <f t="shared" si="69"/>
        <v>1020.3</v>
      </c>
      <c r="T73">
        <f t="shared" si="70"/>
        <v>0</v>
      </c>
      <c r="U73">
        <f t="shared" si="71"/>
        <v>15.588314399999998</v>
      </c>
      <c r="V73">
        <f t="shared" si="72"/>
        <v>0.10145999999999999</v>
      </c>
      <c r="W73">
        <f t="shared" si="73"/>
        <v>0</v>
      </c>
      <c r="X73">
        <f t="shared" si="74"/>
        <v>1141.05</v>
      </c>
      <c r="Y73">
        <f t="shared" si="75"/>
        <v>657.9</v>
      </c>
      <c r="AA73">
        <v>16630606</v>
      </c>
      <c r="AB73">
        <f t="shared" si="76"/>
        <v>146.83000000000001</v>
      </c>
      <c r="AC73">
        <f t="shared" si="103"/>
        <v>73.64</v>
      </c>
      <c r="AD73">
        <f>ROUND(((((ET73*1.25))-((EU73*1.25)))+AE73),2)</f>
        <v>2.67</v>
      </c>
      <c r="AE73">
        <f>ROUND(((EU73*1.25)),2)</f>
        <v>0.53</v>
      </c>
      <c r="AF73">
        <f>ROUND(((EV73*1.15)),2)</f>
        <v>70.52</v>
      </c>
      <c r="AG73">
        <f t="shared" si="78"/>
        <v>0</v>
      </c>
      <c r="AH73">
        <f>((EW73*1.15))</f>
        <v>7.6819999999999995</v>
      </c>
      <c r="AI73">
        <f>((EX73*1.25))</f>
        <v>0.05</v>
      </c>
      <c r="AJ73">
        <f t="shared" si="80"/>
        <v>0</v>
      </c>
      <c r="AK73">
        <v>137.09</v>
      </c>
      <c r="AL73">
        <v>73.64</v>
      </c>
      <c r="AM73">
        <v>2.13</v>
      </c>
      <c r="AN73">
        <v>0.42</v>
      </c>
      <c r="AO73">
        <v>61.32</v>
      </c>
      <c r="AP73">
        <v>0</v>
      </c>
      <c r="AQ73">
        <v>6.68</v>
      </c>
      <c r="AR73">
        <v>0.04</v>
      </c>
      <c r="AS73">
        <v>0</v>
      </c>
      <c r="AT73">
        <v>111</v>
      </c>
      <c r="AU73">
        <v>64</v>
      </c>
      <c r="AV73">
        <v>1</v>
      </c>
      <c r="AW73">
        <v>1</v>
      </c>
      <c r="AZ73">
        <v>7.13</v>
      </c>
      <c r="BA73">
        <v>7.13</v>
      </c>
      <c r="BB73">
        <v>7.13</v>
      </c>
      <c r="BC73">
        <v>7.13</v>
      </c>
      <c r="BD73" t="s">
        <v>6</v>
      </c>
      <c r="BE73" t="s">
        <v>6</v>
      </c>
      <c r="BF73" t="s">
        <v>6</v>
      </c>
      <c r="BG73" t="s">
        <v>6</v>
      </c>
      <c r="BH73">
        <v>0</v>
      </c>
      <c r="BI73">
        <v>1</v>
      </c>
      <c r="BJ73" t="s">
        <v>232</v>
      </c>
      <c r="BM73">
        <v>11001</v>
      </c>
      <c r="BN73">
        <v>0</v>
      </c>
      <c r="BO73" t="s">
        <v>6</v>
      </c>
      <c r="BP73">
        <v>0</v>
      </c>
      <c r="BQ73">
        <v>2</v>
      </c>
      <c r="BR73">
        <v>0</v>
      </c>
      <c r="BS73">
        <v>7.13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123</v>
      </c>
      <c r="CA73">
        <v>75</v>
      </c>
      <c r="CE73">
        <v>0</v>
      </c>
      <c r="CF73">
        <v>0</v>
      </c>
      <c r="CG73">
        <v>0</v>
      </c>
      <c r="CM73">
        <v>0</v>
      </c>
      <c r="CN73" t="s">
        <v>1758</v>
      </c>
      <c r="CO73">
        <v>0</v>
      </c>
      <c r="CP73">
        <f t="shared" si="81"/>
        <v>2124.37</v>
      </c>
      <c r="CQ73">
        <f t="shared" si="82"/>
        <v>525.05319999999995</v>
      </c>
      <c r="CR73">
        <f t="shared" si="83"/>
        <v>19.037099999999999</v>
      </c>
      <c r="CS73">
        <f t="shared" si="84"/>
        <v>3.7789000000000001</v>
      </c>
      <c r="CT73">
        <f t="shared" si="85"/>
        <v>502.80759999999998</v>
      </c>
      <c r="CU73">
        <f t="shared" si="86"/>
        <v>0</v>
      </c>
      <c r="CV73">
        <f t="shared" si="87"/>
        <v>7.6819999999999995</v>
      </c>
      <c r="CW73">
        <f t="shared" si="88"/>
        <v>0.05</v>
      </c>
      <c r="CX73">
        <f t="shared" si="89"/>
        <v>0</v>
      </c>
      <c r="CY73">
        <f t="shared" si="90"/>
        <v>1141.0466999999999</v>
      </c>
      <c r="CZ73">
        <f t="shared" si="91"/>
        <v>657.9008</v>
      </c>
      <c r="DC73" t="s">
        <v>6</v>
      </c>
      <c r="DD73" t="s">
        <v>6</v>
      </c>
      <c r="DE73" t="s">
        <v>81</v>
      </c>
      <c r="DF73" t="s">
        <v>81</v>
      </c>
      <c r="DG73" t="s">
        <v>82</v>
      </c>
      <c r="DH73" t="s">
        <v>6</v>
      </c>
      <c r="DI73" t="s">
        <v>82</v>
      </c>
      <c r="DJ73" t="s">
        <v>81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1003</v>
      </c>
      <c r="DV73" t="s">
        <v>57</v>
      </c>
      <c r="DW73" t="s">
        <v>57</v>
      </c>
      <c r="DX73">
        <v>100</v>
      </c>
      <c r="EE73">
        <v>16609108</v>
      </c>
      <c r="EF73">
        <v>2</v>
      </c>
      <c r="EG73" t="s">
        <v>14</v>
      </c>
      <c r="EH73">
        <v>0</v>
      </c>
      <c r="EI73" t="s">
        <v>6</v>
      </c>
      <c r="EJ73">
        <v>1</v>
      </c>
      <c r="EK73">
        <v>11001</v>
      </c>
      <c r="EL73" t="s">
        <v>40</v>
      </c>
      <c r="EM73" t="s">
        <v>146</v>
      </c>
      <c r="EO73" t="s">
        <v>83</v>
      </c>
      <c r="EQ73">
        <v>131072</v>
      </c>
      <c r="ER73">
        <v>137.09</v>
      </c>
      <c r="ES73">
        <v>73.64</v>
      </c>
      <c r="ET73">
        <v>2.13</v>
      </c>
      <c r="EU73">
        <v>0.42</v>
      </c>
      <c r="EV73">
        <v>61.32</v>
      </c>
      <c r="EW73">
        <v>6.68</v>
      </c>
      <c r="EX73">
        <v>0.04</v>
      </c>
      <c r="EY73">
        <v>0</v>
      </c>
      <c r="FQ73">
        <v>0</v>
      </c>
      <c r="FR73">
        <f t="shared" si="92"/>
        <v>0</v>
      </c>
      <c r="FS73">
        <v>0</v>
      </c>
      <c r="FT73" t="s">
        <v>22</v>
      </c>
      <c r="FU73" t="s">
        <v>23</v>
      </c>
      <c r="FX73">
        <v>110.7</v>
      </c>
      <c r="FY73">
        <v>63.75</v>
      </c>
      <c r="GA73" t="s">
        <v>6</v>
      </c>
      <c r="GD73">
        <v>0</v>
      </c>
      <c r="GF73">
        <v>-1404287246</v>
      </c>
      <c r="GG73">
        <v>1</v>
      </c>
      <c r="GH73">
        <v>1</v>
      </c>
      <c r="GI73">
        <v>4</v>
      </c>
      <c r="GJ73">
        <v>0</v>
      </c>
      <c r="GK73">
        <f>ROUND(R73*(R12)/100,2)</f>
        <v>0</v>
      </c>
      <c r="GL73">
        <f t="shared" si="93"/>
        <v>0</v>
      </c>
      <c r="GM73">
        <f t="shared" si="94"/>
        <v>3923.32</v>
      </c>
      <c r="GN73">
        <f t="shared" si="95"/>
        <v>3923.32</v>
      </c>
      <c r="GO73">
        <f t="shared" si="96"/>
        <v>0</v>
      </c>
      <c r="GP73">
        <f t="shared" si="97"/>
        <v>0</v>
      </c>
      <c r="GR73">
        <v>0</v>
      </c>
      <c r="GS73">
        <v>3</v>
      </c>
      <c r="GT73">
        <v>0</v>
      </c>
      <c r="GU73" t="s">
        <v>6</v>
      </c>
      <c r="GV73">
        <f t="shared" si="98"/>
        <v>0</v>
      </c>
      <c r="GW73">
        <v>1</v>
      </c>
      <c r="GX73">
        <f t="shared" si="99"/>
        <v>0</v>
      </c>
      <c r="HA73">
        <v>0</v>
      </c>
      <c r="HB73">
        <v>0</v>
      </c>
      <c r="HC73">
        <f t="shared" si="100"/>
        <v>0</v>
      </c>
      <c r="IK73">
        <v>0</v>
      </c>
    </row>
    <row r="74" spans="1:245" x14ac:dyDescent="0.2">
      <c r="A74">
        <v>18</v>
      </c>
      <c r="B74">
        <v>1</v>
      </c>
      <c r="C74">
        <v>143</v>
      </c>
      <c r="E74" t="s">
        <v>233</v>
      </c>
      <c r="F74" t="s">
        <v>234</v>
      </c>
      <c r="G74" t="s">
        <v>235</v>
      </c>
      <c r="H74" t="s">
        <v>150</v>
      </c>
      <c r="I74">
        <f>I73*J74</f>
        <v>204.94919999999999</v>
      </c>
      <c r="J74">
        <v>101</v>
      </c>
      <c r="O74">
        <f t="shared" si="65"/>
        <v>0</v>
      </c>
      <c r="P74">
        <f t="shared" si="66"/>
        <v>0</v>
      </c>
      <c r="Q74">
        <f t="shared" si="67"/>
        <v>0</v>
      </c>
      <c r="R74">
        <f t="shared" si="68"/>
        <v>0</v>
      </c>
      <c r="S74">
        <f t="shared" si="69"/>
        <v>0</v>
      </c>
      <c r="T74">
        <f t="shared" si="70"/>
        <v>0</v>
      </c>
      <c r="U74">
        <f t="shared" si="71"/>
        <v>0</v>
      </c>
      <c r="V74">
        <f t="shared" si="72"/>
        <v>0</v>
      </c>
      <c r="W74">
        <f t="shared" si="73"/>
        <v>0</v>
      </c>
      <c r="X74">
        <f t="shared" si="74"/>
        <v>0</v>
      </c>
      <c r="Y74">
        <f t="shared" si="75"/>
        <v>0</v>
      </c>
      <c r="AA74">
        <v>16630606</v>
      </c>
      <c r="AB74">
        <f t="shared" si="76"/>
        <v>0</v>
      </c>
      <c r="AC74">
        <f t="shared" si="103"/>
        <v>0</v>
      </c>
      <c r="AD74">
        <f t="shared" ref="AD74:AD80" si="104">ROUND((((ET74)-(EU74))+AE74),2)</f>
        <v>0</v>
      </c>
      <c r="AE74">
        <f t="shared" ref="AE74:AF80" si="105">ROUND((EU74),2)</f>
        <v>0</v>
      </c>
      <c r="AF74">
        <f t="shared" si="105"/>
        <v>0</v>
      </c>
      <c r="AG74">
        <f t="shared" si="78"/>
        <v>0</v>
      </c>
      <c r="AH74">
        <f t="shared" ref="AH74:AI80" si="106">(EW74)</f>
        <v>0</v>
      </c>
      <c r="AI74">
        <f t="shared" si="106"/>
        <v>0</v>
      </c>
      <c r="AJ74">
        <f t="shared" si="80"/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111</v>
      </c>
      <c r="AU74">
        <v>64</v>
      </c>
      <c r="AV74">
        <v>1</v>
      </c>
      <c r="AW74">
        <v>1</v>
      </c>
      <c r="AZ74">
        <v>7.13</v>
      </c>
      <c r="BA74">
        <v>1</v>
      </c>
      <c r="BB74">
        <v>1</v>
      </c>
      <c r="BC74">
        <v>7.13</v>
      </c>
      <c r="BD74" t="s">
        <v>6</v>
      </c>
      <c r="BE74" t="s">
        <v>6</v>
      </c>
      <c r="BF74" t="s">
        <v>6</v>
      </c>
      <c r="BG74" t="s">
        <v>6</v>
      </c>
      <c r="BH74">
        <v>3</v>
      </c>
      <c r="BI74">
        <v>1</v>
      </c>
      <c r="BJ74" t="s">
        <v>6</v>
      </c>
      <c r="BM74">
        <v>11001</v>
      </c>
      <c r="BN74">
        <v>0</v>
      </c>
      <c r="BO74" t="s">
        <v>6</v>
      </c>
      <c r="BP74">
        <v>0</v>
      </c>
      <c r="BQ74">
        <v>2</v>
      </c>
      <c r="BR74">
        <v>0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6</v>
      </c>
      <c r="BZ74">
        <v>123</v>
      </c>
      <c r="CA74">
        <v>75</v>
      </c>
      <c r="CE74">
        <v>0</v>
      </c>
      <c r="CF74">
        <v>0</v>
      </c>
      <c r="CG74">
        <v>0</v>
      </c>
      <c r="CM74">
        <v>0</v>
      </c>
      <c r="CN74" t="s">
        <v>6</v>
      </c>
      <c r="CO74">
        <v>0</v>
      </c>
      <c r="CP74">
        <f t="shared" si="81"/>
        <v>0</v>
      </c>
      <c r="CQ74">
        <f t="shared" si="82"/>
        <v>0</v>
      </c>
      <c r="CR74">
        <f t="shared" si="83"/>
        <v>0</v>
      </c>
      <c r="CS74">
        <f t="shared" si="84"/>
        <v>0</v>
      </c>
      <c r="CT74">
        <f t="shared" si="85"/>
        <v>0</v>
      </c>
      <c r="CU74">
        <f t="shared" si="86"/>
        <v>0</v>
      </c>
      <c r="CV74">
        <f t="shared" si="87"/>
        <v>0</v>
      </c>
      <c r="CW74">
        <f t="shared" si="88"/>
        <v>0</v>
      </c>
      <c r="CX74">
        <f t="shared" si="89"/>
        <v>0</v>
      </c>
      <c r="CY74">
        <f t="shared" si="90"/>
        <v>0</v>
      </c>
      <c r="CZ74">
        <f t="shared" si="91"/>
        <v>0</v>
      </c>
      <c r="DC74" t="s">
        <v>6</v>
      </c>
      <c r="DD74" t="s">
        <v>6</v>
      </c>
      <c r="DE74" t="s">
        <v>6</v>
      </c>
      <c r="DF74" t="s">
        <v>6</v>
      </c>
      <c r="DG74" t="s">
        <v>6</v>
      </c>
      <c r="DH74" t="s">
        <v>6</v>
      </c>
      <c r="DI74" t="s">
        <v>6</v>
      </c>
      <c r="DJ74" t="s">
        <v>6</v>
      </c>
      <c r="DK74" t="s">
        <v>6</v>
      </c>
      <c r="DL74" t="s">
        <v>6</v>
      </c>
      <c r="DM74" t="s">
        <v>6</v>
      </c>
      <c r="DN74">
        <v>0</v>
      </c>
      <c r="DO74">
        <v>0</v>
      </c>
      <c r="DP74">
        <v>1</v>
      </c>
      <c r="DQ74">
        <v>1</v>
      </c>
      <c r="DU74">
        <v>1003</v>
      </c>
      <c r="DV74" t="s">
        <v>150</v>
      </c>
      <c r="DW74" t="s">
        <v>150</v>
      </c>
      <c r="DX74">
        <v>1</v>
      </c>
      <c r="EE74">
        <v>16609108</v>
      </c>
      <c r="EF74">
        <v>2</v>
      </c>
      <c r="EG74" t="s">
        <v>14</v>
      </c>
      <c r="EH74">
        <v>0</v>
      </c>
      <c r="EI74" t="s">
        <v>6</v>
      </c>
      <c r="EJ74">
        <v>1</v>
      </c>
      <c r="EK74">
        <v>11001</v>
      </c>
      <c r="EL74" t="s">
        <v>40</v>
      </c>
      <c r="EM74" t="s">
        <v>146</v>
      </c>
      <c r="EO74" t="s">
        <v>6</v>
      </c>
      <c r="EQ74">
        <v>0</v>
      </c>
      <c r="ER74">
        <v>0</v>
      </c>
      <c r="ES74">
        <v>0</v>
      </c>
      <c r="ET74">
        <v>0</v>
      </c>
      <c r="EU74">
        <v>0</v>
      </c>
      <c r="EV74">
        <v>0</v>
      </c>
      <c r="EW74">
        <v>0</v>
      </c>
      <c r="EX74">
        <v>0</v>
      </c>
      <c r="FQ74">
        <v>0</v>
      </c>
      <c r="FR74">
        <f t="shared" si="92"/>
        <v>0</v>
      </c>
      <c r="FS74">
        <v>0</v>
      </c>
      <c r="FT74" t="s">
        <v>22</v>
      </c>
      <c r="FU74" t="s">
        <v>23</v>
      </c>
      <c r="FX74">
        <v>110.7</v>
      </c>
      <c r="FY74">
        <v>63.75</v>
      </c>
      <c r="GA74" t="s">
        <v>6</v>
      </c>
      <c r="GD74">
        <v>0</v>
      </c>
      <c r="GF74">
        <v>-2049262376</v>
      </c>
      <c r="GG74">
        <v>1</v>
      </c>
      <c r="GH74">
        <v>1</v>
      </c>
      <c r="GI74">
        <v>4</v>
      </c>
      <c r="GJ74">
        <v>0</v>
      </c>
      <c r="GK74">
        <f>ROUND(R74*(R12)/100,2)</f>
        <v>0</v>
      </c>
      <c r="GL74">
        <f t="shared" si="93"/>
        <v>0</v>
      </c>
      <c r="GM74">
        <f t="shared" si="94"/>
        <v>0</v>
      </c>
      <c r="GN74">
        <f t="shared" si="95"/>
        <v>0</v>
      </c>
      <c r="GO74">
        <f t="shared" si="96"/>
        <v>0</v>
      </c>
      <c r="GP74">
        <f t="shared" si="97"/>
        <v>0</v>
      </c>
      <c r="GR74">
        <v>0</v>
      </c>
      <c r="GS74">
        <v>3</v>
      </c>
      <c r="GT74">
        <v>0</v>
      </c>
      <c r="GU74" t="s">
        <v>6</v>
      </c>
      <c r="GV74">
        <f t="shared" si="98"/>
        <v>0</v>
      </c>
      <c r="GW74">
        <v>1</v>
      </c>
      <c r="GX74">
        <f t="shared" si="99"/>
        <v>0</v>
      </c>
      <c r="HA74">
        <v>0</v>
      </c>
      <c r="HB74">
        <v>0</v>
      </c>
      <c r="HC74">
        <f t="shared" si="100"/>
        <v>0</v>
      </c>
      <c r="IK74">
        <v>0</v>
      </c>
    </row>
    <row r="75" spans="1:245" x14ac:dyDescent="0.2">
      <c r="A75">
        <v>18</v>
      </c>
      <c r="B75">
        <v>1</v>
      </c>
      <c r="C75">
        <v>144</v>
      </c>
      <c r="E75" t="s">
        <v>236</v>
      </c>
      <c r="F75" t="s">
        <v>237</v>
      </c>
      <c r="G75" t="s">
        <v>238</v>
      </c>
      <c r="H75" t="s">
        <v>150</v>
      </c>
      <c r="I75">
        <f>I73*J75</f>
        <v>204.94919999999999</v>
      </c>
      <c r="J75">
        <v>101</v>
      </c>
      <c r="O75">
        <f t="shared" si="65"/>
        <v>17973.84</v>
      </c>
      <c r="P75">
        <f t="shared" si="66"/>
        <v>17973.84</v>
      </c>
      <c r="Q75">
        <f t="shared" si="67"/>
        <v>0</v>
      </c>
      <c r="R75">
        <f t="shared" si="68"/>
        <v>0</v>
      </c>
      <c r="S75">
        <f t="shared" si="69"/>
        <v>0</v>
      </c>
      <c r="T75">
        <f t="shared" si="70"/>
        <v>0</v>
      </c>
      <c r="U75">
        <f t="shared" si="71"/>
        <v>0</v>
      </c>
      <c r="V75">
        <f t="shared" si="72"/>
        <v>0</v>
      </c>
      <c r="W75">
        <f t="shared" si="73"/>
        <v>0</v>
      </c>
      <c r="X75">
        <f t="shared" si="74"/>
        <v>0</v>
      </c>
      <c r="Y75">
        <f t="shared" si="75"/>
        <v>0</v>
      </c>
      <c r="AA75">
        <v>16630606</v>
      </c>
      <c r="AB75">
        <f t="shared" si="76"/>
        <v>12.3</v>
      </c>
      <c r="AC75">
        <f t="shared" si="103"/>
        <v>12.3</v>
      </c>
      <c r="AD75">
        <f t="shared" si="104"/>
        <v>0</v>
      </c>
      <c r="AE75">
        <f t="shared" si="105"/>
        <v>0</v>
      </c>
      <c r="AF75">
        <f t="shared" si="105"/>
        <v>0</v>
      </c>
      <c r="AG75">
        <f t="shared" si="78"/>
        <v>0</v>
      </c>
      <c r="AH75">
        <f t="shared" si="106"/>
        <v>0</v>
      </c>
      <c r="AI75">
        <f t="shared" si="106"/>
        <v>0</v>
      </c>
      <c r="AJ75">
        <f t="shared" si="80"/>
        <v>0</v>
      </c>
      <c r="AK75">
        <v>12.3</v>
      </c>
      <c r="AL75">
        <v>12.3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111</v>
      </c>
      <c r="AU75">
        <v>64</v>
      </c>
      <c r="AV75">
        <v>1</v>
      </c>
      <c r="AW75">
        <v>1</v>
      </c>
      <c r="AZ75">
        <v>7.13</v>
      </c>
      <c r="BA75">
        <v>1</v>
      </c>
      <c r="BB75">
        <v>1</v>
      </c>
      <c r="BC75">
        <v>7.13</v>
      </c>
      <c r="BD75" t="s">
        <v>6</v>
      </c>
      <c r="BE75" t="s">
        <v>6</v>
      </c>
      <c r="BF75" t="s">
        <v>6</v>
      </c>
      <c r="BG75" t="s">
        <v>6</v>
      </c>
      <c r="BH75">
        <v>3</v>
      </c>
      <c r="BI75">
        <v>1</v>
      </c>
      <c r="BJ75" t="s">
        <v>239</v>
      </c>
      <c r="BM75">
        <v>11001</v>
      </c>
      <c r="BN75">
        <v>0</v>
      </c>
      <c r="BO75" t="s">
        <v>6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123</v>
      </c>
      <c r="CA75">
        <v>75</v>
      </c>
      <c r="CE75">
        <v>0</v>
      </c>
      <c r="CF75">
        <v>0</v>
      </c>
      <c r="CG75">
        <v>0</v>
      </c>
      <c r="CM75">
        <v>0</v>
      </c>
      <c r="CN75" t="s">
        <v>6</v>
      </c>
      <c r="CO75">
        <v>0</v>
      </c>
      <c r="CP75">
        <f t="shared" si="81"/>
        <v>17973.84</v>
      </c>
      <c r="CQ75">
        <f t="shared" si="82"/>
        <v>87.698999999999998</v>
      </c>
      <c r="CR75">
        <f t="shared" si="83"/>
        <v>0</v>
      </c>
      <c r="CS75">
        <f t="shared" si="84"/>
        <v>0</v>
      </c>
      <c r="CT75">
        <f t="shared" si="85"/>
        <v>0</v>
      </c>
      <c r="CU75">
        <f t="shared" si="86"/>
        <v>0</v>
      </c>
      <c r="CV75">
        <f t="shared" si="87"/>
        <v>0</v>
      </c>
      <c r="CW75">
        <f t="shared" si="88"/>
        <v>0</v>
      </c>
      <c r="CX75">
        <f t="shared" si="89"/>
        <v>0</v>
      </c>
      <c r="CY75">
        <f t="shared" si="90"/>
        <v>0</v>
      </c>
      <c r="CZ75">
        <f t="shared" si="91"/>
        <v>0</v>
      </c>
      <c r="DC75" t="s">
        <v>6</v>
      </c>
      <c r="DD75" t="s">
        <v>6</v>
      </c>
      <c r="DE75" t="s">
        <v>6</v>
      </c>
      <c r="DF75" t="s">
        <v>6</v>
      </c>
      <c r="DG75" t="s">
        <v>6</v>
      </c>
      <c r="DH75" t="s">
        <v>6</v>
      </c>
      <c r="DI75" t="s">
        <v>6</v>
      </c>
      <c r="DJ75" t="s">
        <v>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1003</v>
      </c>
      <c r="DV75" t="s">
        <v>150</v>
      </c>
      <c r="DW75" t="s">
        <v>150</v>
      </c>
      <c r="DX75">
        <v>1</v>
      </c>
      <c r="EE75">
        <v>16609108</v>
      </c>
      <c r="EF75">
        <v>2</v>
      </c>
      <c r="EG75" t="s">
        <v>14</v>
      </c>
      <c r="EH75">
        <v>0</v>
      </c>
      <c r="EI75" t="s">
        <v>6</v>
      </c>
      <c r="EJ75">
        <v>1</v>
      </c>
      <c r="EK75">
        <v>11001</v>
      </c>
      <c r="EL75" t="s">
        <v>40</v>
      </c>
      <c r="EM75" t="s">
        <v>146</v>
      </c>
      <c r="EO75" t="s">
        <v>6</v>
      </c>
      <c r="EQ75">
        <v>0</v>
      </c>
      <c r="ER75">
        <v>12.3</v>
      </c>
      <c r="ES75">
        <v>12.3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92"/>
        <v>0</v>
      </c>
      <c r="FS75">
        <v>0</v>
      </c>
      <c r="FT75" t="s">
        <v>22</v>
      </c>
      <c r="FU75" t="s">
        <v>23</v>
      </c>
      <c r="FX75">
        <v>110.7</v>
      </c>
      <c r="FY75">
        <v>63.75</v>
      </c>
      <c r="GA75" t="s">
        <v>6</v>
      </c>
      <c r="GD75">
        <v>0</v>
      </c>
      <c r="GF75">
        <v>26470480</v>
      </c>
      <c r="GG75">
        <v>1</v>
      </c>
      <c r="GH75">
        <v>1</v>
      </c>
      <c r="GI75">
        <v>4</v>
      </c>
      <c r="GJ75">
        <v>0</v>
      </c>
      <c r="GK75">
        <f>ROUND(R75*(R12)/100,2)</f>
        <v>0</v>
      </c>
      <c r="GL75">
        <f t="shared" si="93"/>
        <v>0</v>
      </c>
      <c r="GM75">
        <f t="shared" si="94"/>
        <v>17973.84</v>
      </c>
      <c r="GN75">
        <f t="shared" si="95"/>
        <v>17973.84</v>
      </c>
      <c r="GO75">
        <f t="shared" si="96"/>
        <v>0</v>
      </c>
      <c r="GP75">
        <f t="shared" si="97"/>
        <v>0</v>
      </c>
      <c r="GR75">
        <v>0</v>
      </c>
      <c r="GS75">
        <v>3</v>
      </c>
      <c r="GT75">
        <v>0</v>
      </c>
      <c r="GU75" t="s">
        <v>6</v>
      </c>
      <c r="GV75">
        <f t="shared" si="98"/>
        <v>0</v>
      </c>
      <c r="GW75">
        <v>1</v>
      </c>
      <c r="GX75">
        <f t="shared" si="99"/>
        <v>0</v>
      </c>
      <c r="HA75">
        <v>0</v>
      </c>
      <c r="HB75">
        <v>0</v>
      </c>
      <c r="HC75">
        <f t="shared" si="100"/>
        <v>0</v>
      </c>
      <c r="IK75">
        <v>0</v>
      </c>
    </row>
    <row r="76" spans="1:245" x14ac:dyDescent="0.2">
      <c r="A76">
        <v>18</v>
      </c>
      <c r="B76">
        <v>1</v>
      </c>
      <c r="C76">
        <v>145</v>
      </c>
      <c r="E76" t="s">
        <v>240</v>
      </c>
      <c r="F76" t="s">
        <v>241</v>
      </c>
      <c r="G76" t="s">
        <v>242</v>
      </c>
      <c r="H76" t="s">
        <v>243</v>
      </c>
      <c r="I76">
        <f>I73*J76</f>
        <v>0.16</v>
      </c>
      <c r="J76">
        <v>7.8848807411787902E-2</v>
      </c>
      <c r="O76">
        <f t="shared" si="65"/>
        <v>115.22</v>
      </c>
      <c r="P76">
        <f t="shared" si="66"/>
        <v>115.22</v>
      </c>
      <c r="Q76">
        <f t="shared" si="67"/>
        <v>0</v>
      </c>
      <c r="R76">
        <f t="shared" si="68"/>
        <v>0</v>
      </c>
      <c r="S76">
        <f t="shared" si="69"/>
        <v>0</v>
      </c>
      <c r="T76">
        <f t="shared" si="70"/>
        <v>0</v>
      </c>
      <c r="U76">
        <f t="shared" si="71"/>
        <v>0</v>
      </c>
      <c r="V76">
        <f t="shared" si="72"/>
        <v>0</v>
      </c>
      <c r="W76">
        <f t="shared" si="73"/>
        <v>0</v>
      </c>
      <c r="X76">
        <f t="shared" si="74"/>
        <v>0</v>
      </c>
      <c r="Y76">
        <f t="shared" si="75"/>
        <v>0</v>
      </c>
      <c r="AA76">
        <v>16630606</v>
      </c>
      <c r="AB76">
        <f t="shared" si="76"/>
        <v>101</v>
      </c>
      <c r="AC76">
        <f t="shared" si="103"/>
        <v>101</v>
      </c>
      <c r="AD76">
        <f t="shared" si="104"/>
        <v>0</v>
      </c>
      <c r="AE76">
        <f t="shared" si="105"/>
        <v>0</v>
      </c>
      <c r="AF76">
        <f t="shared" si="105"/>
        <v>0</v>
      </c>
      <c r="AG76">
        <f t="shared" si="78"/>
        <v>0</v>
      </c>
      <c r="AH76">
        <f t="shared" si="106"/>
        <v>0</v>
      </c>
      <c r="AI76">
        <f t="shared" si="106"/>
        <v>0</v>
      </c>
      <c r="AJ76">
        <f t="shared" si="80"/>
        <v>0</v>
      </c>
      <c r="AK76">
        <v>101</v>
      </c>
      <c r="AL76">
        <v>101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111</v>
      </c>
      <c r="AU76">
        <v>64</v>
      </c>
      <c r="AV76">
        <v>1</v>
      </c>
      <c r="AW76">
        <v>1</v>
      </c>
      <c r="AZ76">
        <v>7.13</v>
      </c>
      <c r="BA76">
        <v>1</v>
      </c>
      <c r="BB76">
        <v>1</v>
      </c>
      <c r="BC76">
        <v>7.13</v>
      </c>
      <c r="BD76" t="s">
        <v>6</v>
      </c>
      <c r="BE76" t="s">
        <v>6</v>
      </c>
      <c r="BF76" t="s">
        <v>6</v>
      </c>
      <c r="BG76" t="s">
        <v>6</v>
      </c>
      <c r="BH76">
        <v>3</v>
      </c>
      <c r="BI76">
        <v>1</v>
      </c>
      <c r="BJ76" t="s">
        <v>244</v>
      </c>
      <c r="BM76">
        <v>11001</v>
      </c>
      <c r="BN76">
        <v>0</v>
      </c>
      <c r="BO76" t="s">
        <v>6</v>
      </c>
      <c r="BP76">
        <v>0</v>
      </c>
      <c r="BQ76">
        <v>2</v>
      </c>
      <c r="BR76">
        <v>0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6</v>
      </c>
      <c r="BZ76">
        <v>123</v>
      </c>
      <c r="CA76">
        <v>75</v>
      </c>
      <c r="CE76">
        <v>0</v>
      </c>
      <c r="CF76">
        <v>0</v>
      </c>
      <c r="CG76">
        <v>0</v>
      </c>
      <c r="CM76">
        <v>0</v>
      </c>
      <c r="CN76" t="s">
        <v>6</v>
      </c>
      <c r="CO76">
        <v>0</v>
      </c>
      <c r="CP76">
        <f t="shared" si="81"/>
        <v>115.22</v>
      </c>
      <c r="CQ76">
        <f t="shared" si="82"/>
        <v>720.13</v>
      </c>
      <c r="CR76">
        <f t="shared" si="83"/>
        <v>0</v>
      </c>
      <c r="CS76">
        <f t="shared" si="84"/>
        <v>0</v>
      </c>
      <c r="CT76">
        <f t="shared" si="85"/>
        <v>0</v>
      </c>
      <c r="CU76">
        <f t="shared" si="86"/>
        <v>0</v>
      </c>
      <c r="CV76">
        <f t="shared" si="87"/>
        <v>0</v>
      </c>
      <c r="CW76">
        <f t="shared" si="88"/>
        <v>0</v>
      </c>
      <c r="CX76">
        <f t="shared" si="89"/>
        <v>0</v>
      </c>
      <c r="CY76">
        <f t="shared" si="90"/>
        <v>0</v>
      </c>
      <c r="CZ76">
        <f t="shared" si="91"/>
        <v>0</v>
      </c>
      <c r="DC76" t="s">
        <v>6</v>
      </c>
      <c r="DD76" t="s">
        <v>6</v>
      </c>
      <c r="DE76" t="s">
        <v>6</v>
      </c>
      <c r="DF76" t="s">
        <v>6</v>
      </c>
      <c r="DG76" t="s">
        <v>6</v>
      </c>
      <c r="DH76" t="s">
        <v>6</v>
      </c>
      <c r="DI76" t="s">
        <v>6</v>
      </c>
      <c r="DJ76" t="s">
        <v>6</v>
      </c>
      <c r="DK76" t="s">
        <v>6</v>
      </c>
      <c r="DL76" t="s">
        <v>6</v>
      </c>
      <c r="DM76" t="s">
        <v>6</v>
      </c>
      <c r="DN76">
        <v>0</v>
      </c>
      <c r="DO76">
        <v>0</v>
      </c>
      <c r="DP76">
        <v>1</v>
      </c>
      <c r="DQ76">
        <v>1</v>
      </c>
      <c r="DU76">
        <v>1010</v>
      </c>
      <c r="DV76" t="s">
        <v>243</v>
      </c>
      <c r="DW76" t="s">
        <v>243</v>
      </c>
      <c r="DX76">
        <v>100</v>
      </c>
      <c r="EE76">
        <v>16609108</v>
      </c>
      <c r="EF76">
        <v>2</v>
      </c>
      <c r="EG76" t="s">
        <v>14</v>
      </c>
      <c r="EH76">
        <v>0</v>
      </c>
      <c r="EI76" t="s">
        <v>6</v>
      </c>
      <c r="EJ76">
        <v>1</v>
      </c>
      <c r="EK76">
        <v>11001</v>
      </c>
      <c r="EL76" t="s">
        <v>40</v>
      </c>
      <c r="EM76" t="s">
        <v>146</v>
      </c>
      <c r="EO76" t="s">
        <v>6</v>
      </c>
      <c r="EQ76">
        <v>0</v>
      </c>
      <c r="ER76">
        <v>101</v>
      </c>
      <c r="ES76">
        <v>101</v>
      </c>
      <c r="ET76">
        <v>0</v>
      </c>
      <c r="EU76">
        <v>0</v>
      </c>
      <c r="EV76">
        <v>0</v>
      </c>
      <c r="EW76">
        <v>0</v>
      </c>
      <c r="EX76">
        <v>0</v>
      </c>
      <c r="FQ76">
        <v>0</v>
      </c>
      <c r="FR76">
        <f t="shared" si="92"/>
        <v>0</v>
      </c>
      <c r="FS76">
        <v>0</v>
      </c>
      <c r="FT76" t="s">
        <v>22</v>
      </c>
      <c r="FU76" t="s">
        <v>23</v>
      </c>
      <c r="FX76">
        <v>110.7</v>
      </c>
      <c r="FY76">
        <v>63.75</v>
      </c>
      <c r="GA76" t="s">
        <v>6</v>
      </c>
      <c r="GD76">
        <v>0</v>
      </c>
      <c r="GF76">
        <v>766681708</v>
      </c>
      <c r="GG76">
        <v>1</v>
      </c>
      <c r="GH76">
        <v>1</v>
      </c>
      <c r="GI76">
        <v>4</v>
      </c>
      <c r="GJ76">
        <v>0</v>
      </c>
      <c r="GK76">
        <f>ROUND(R76*(R12)/100,2)</f>
        <v>0</v>
      </c>
      <c r="GL76">
        <f t="shared" si="93"/>
        <v>0</v>
      </c>
      <c r="GM76">
        <f t="shared" si="94"/>
        <v>115.22</v>
      </c>
      <c r="GN76">
        <f t="shared" si="95"/>
        <v>115.22</v>
      </c>
      <c r="GO76">
        <f t="shared" si="96"/>
        <v>0</v>
      </c>
      <c r="GP76">
        <f t="shared" si="97"/>
        <v>0</v>
      </c>
      <c r="GR76">
        <v>0</v>
      </c>
      <c r="GS76">
        <v>3</v>
      </c>
      <c r="GT76">
        <v>0</v>
      </c>
      <c r="GU76" t="s">
        <v>6</v>
      </c>
      <c r="GV76">
        <f t="shared" si="98"/>
        <v>0</v>
      </c>
      <c r="GW76">
        <v>1</v>
      </c>
      <c r="GX76">
        <f t="shared" si="99"/>
        <v>0</v>
      </c>
      <c r="HA76">
        <v>0</v>
      </c>
      <c r="HB76">
        <v>0</v>
      </c>
      <c r="HC76">
        <f t="shared" si="100"/>
        <v>0</v>
      </c>
      <c r="IK76">
        <v>0</v>
      </c>
    </row>
    <row r="77" spans="1:245" x14ac:dyDescent="0.2">
      <c r="A77">
        <v>18</v>
      </c>
      <c r="B77">
        <v>1</v>
      </c>
      <c r="C77">
        <v>146</v>
      </c>
      <c r="E77" t="s">
        <v>245</v>
      </c>
      <c r="F77" t="s">
        <v>246</v>
      </c>
      <c r="G77" t="s">
        <v>247</v>
      </c>
      <c r="H77" t="s">
        <v>243</v>
      </c>
      <c r="I77">
        <f>I73*J77</f>
        <v>0.16</v>
      </c>
      <c r="J77">
        <v>7.8848807411787902E-2</v>
      </c>
      <c r="O77">
        <f t="shared" si="65"/>
        <v>115.22</v>
      </c>
      <c r="P77">
        <f t="shared" si="66"/>
        <v>115.22</v>
      </c>
      <c r="Q77">
        <f t="shared" si="67"/>
        <v>0</v>
      </c>
      <c r="R77">
        <f t="shared" si="68"/>
        <v>0</v>
      </c>
      <c r="S77">
        <f t="shared" si="69"/>
        <v>0</v>
      </c>
      <c r="T77">
        <f t="shared" si="70"/>
        <v>0</v>
      </c>
      <c r="U77">
        <f t="shared" si="71"/>
        <v>0</v>
      </c>
      <c r="V77">
        <f t="shared" si="72"/>
        <v>0</v>
      </c>
      <c r="W77">
        <f t="shared" si="73"/>
        <v>0</v>
      </c>
      <c r="X77">
        <f t="shared" si="74"/>
        <v>0</v>
      </c>
      <c r="Y77">
        <f t="shared" si="75"/>
        <v>0</v>
      </c>
      <c r="AA77">
        <v>16630606</v>
      </c>
      <c r="AB77">
        <f t="shared" si="76"/>
        <v>101</v>
      </c>
      <c r="AC77">
        <f t="shared" si="103"/>
        <v>101</v>
      </c>
      <c r="AD77">
        <f t="shared" si="104"/>
        <v>0</v>
      </c>
      <c r="AE77">
        <f t="shared" si="105"/>
        <v>0</v>
      </c>
      <c r="AF77">
        <f t="shared" si="105"/>
        <v>0</v>
      </c>
      <c r="AG77">
        <f t="shared" si="78"/>
        <v>0</v>
      </c>
      <c r="AH77">
        <f t="shared" si="106"/>
        <v>0</v>
      </c>
      <c r="AI77">
        <f t="shared" si="106"/>
        <v>0</v>
      </c>
      <c r="AJ77">
        <f t="shared" si="80"/>
        <v>0</v>
      </c>
      <c r="AK77">
        <v>101</v>
      </c>
      <c r="AL77">
        <v>101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111</v>
      </c>
      <c r="AU77">
        <v>64</v>
      </c>
      <c r="AV77">
        <v>1</v>
      </c>
      <c r="AW77">
        <v>1</v>
      </c>
      <c r="AZ77">
        <v>7.13</v>
      </c>
      <c r="BA77">
        <v>1</v>
      </c>
      <c r="BB77">
        <v>1</v>
      </c>
      <c r="BC77">
        <v>7.13</v>
      </c>
      <c r="BD77" t="s">
        <v>6</v>
      </c>
      <c r="BE77" t="s">
        <v>6</v>
      </c>
      <c r="BF77" t="s">
        <v>6</v>
      </c>
      <c r="BG77" t="s">
        <v>6</v>
      </c>
      <c r="BH77">
        <v>3</v>
      </c>
      <c r="BI77">
        <v>1</v>
      </c>
      <c r="BJ77" t="s">
        <v>248</v>
      </c>
      <c r="BM77">
        <v>11001</v>
      </c>
      <c r="BN77">
        <v>0</v>
      </c>
      <c r="BO77" t="s">
        <v>6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123</v>
      </c>
      <c r="CA77">
        <v>75</v>
      </c>
      <c r="CE77">
        <v>0</v>
      </c>
      <c r="CF77">
        <v>0</v>
      </c>
      <c r="CG77">
        <v>0</v>
      </c>
      <c r="CM77">
        <v>0</v>
      </c>
      <c r="CN77" t="s">
        <v>6</v>
      </c>
      <c r="CO77">
        <v>0</v>
      </c>
      <c r="CP77">
        <f t="shared" si="81"/>
        <v>115.22</v>
      </c>
      <c r="CQ77">
        <f t="shared" si="82"/>
        <v>720.13</v>
      </c>
      <c r="CR77">
        <f t="shared" si="83"/>
        <v>0</v>
      </c>
      <c r="CS77">
        <f t="shared" si="84"/>
        <v>0</v>
      </c>
      <c r="CT77">
        <f t="shared" si="85"/>
        <v>0</v>
      </c>
      <c r="CU77">
        <f t="shared" si="86"/>
        <v>0</v>
      </c>
      <c r="CV77">
        <f t="shared" si="87"/>
        <v>0</v>
      </c>
      <c r="CW77">
        <f t="shared" si="88"/>
        <v>0</v>
      </c>
      <c r="CX77">
        <f t="shared" si="89"/>
        <v>0</v>
      </c>
      <c r="CY77">
        <f t="shared" si="90"/>
        <v>0</v>
      </c>
      <c r="CZ77">
        <f t="shared" si="91"/>
        <v>0</v>
      </c>
      <c r="DC77" t="s">
        <v>6</v>
      </c>
      <c r="DD77" t="s">
        <v>6</v>
      </c>
      <c r="DE77" t="s">
        <v>6</v>
      </c>
      <c r="DF77" t="s">
        <v>6</v>
      </c>
      <c r="DG77" t="s">
        <v>6</v>
      </c>
      <c r="DH77" t="s">
        <v>6</v>
      </c>
      <c r="DI77" t="s">
        <v>6</v>
      </c>
      <c r="DJ77" t="s">
        <v>6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1010</v>
      </c>
      <c r="DV77" t="s">
        <v>243</v>
      </c>
      <c r="DW77" t="s">
        <v>243</v>
      </c>
      <c r="DX77">
        <v>100</v>
      </c>
      <c r="EE77">
        <v>16609108</v>
      </c>
      <c r="EF77">
        <v>2</v>
      </c>
      <c r="EG77" t="s">
        <v>14</v>
      </c>
      <c r="EH77">
        <v>0</v>
      </c>
      <c r="EI77" t="s">
        <v>6</v>
      </c>
      <c r="EJ77">
        <v>1</v>
      </c>
      <c r="EK77">
        <v>11001</v>
      </c>
      <c r="EL77" t="s">
        <v>40</v>
      </c>
      <c r="EM77" t="s">
        <v>146</v>
      </c>
      <c r="EO77" t="s">
        <v>6</v>
      </c>
      <c r="EQ77">
        <v>0</v>
      </c>
      <c r="ER77">
        <v>101</v>
      </c>
      <c r="ES77">
        <v>101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92"/>
        <v>0</v>
      </c>
      <c r="FS77">
        <v>0</v>
      </c>
      <c r="FT77" t="s">
        <v>22</v>
      </c>
      <c r="FU77" t="s">
        <v>23</v>
      </c>
      <c r="FX77">
        <v>110.7</v>
      </c>
      <c r="FY77">
        <v>63.75</v>
      </c>
      <c r="GA77" t="s">
        <v>6</v>
      </c>
      <c r="GD77">
        <v>0</v>
      </c>
      <c r="GF77">
        <v>191136453</v>
      </c>
      <c r="GG77">
        <v>1</v>
      </c>
      <c r="GH77">
        <v>1</v>
      </c>
      <c r="GI77">
        <v>4</v>
      </c>
      <c r="GJ77">
        <v>0</v>
      </c>
      <c r="GK77">
        <f>ROUND(R77*(R12)/100,2)</f>
        <v>0</v>
      </c>
      <c r="GL77">
        <f t="shared" si="93"/>
        <v>0</v>
      </c>
      <c r="GM77">
        <f t="shared" si="94"/>
        <v>115.22</v>
      </c>
      <c r="GN77">
        <f t="shared" si="95"/>
        <v>115.22</v>
      </c>
      <c r="GO77">
        <f t="shared" si="96"/>
        <v>0</v>
      </c>
      <c r="GP77">
        <f t="shared" si="97"/>
        <v>0</v>
      </c>
      <c r="GR77">
        <v>0</v>
      </c>
      <c r="GS77">
        <v>3</v>
      </c>
      <c r="GT77">
        <v>0</v>
      </c>
      <c r="GU77" t="s">
        <v>6</v>
      </c>
      <c r="GV77">
        <f t="shared" si="98"/>
        <v>0</v>
      </c>
      <c r="GW77">
        <v>1</v>
      </c>
      <c r="GX77">
        <f t="shared" si="99"/>
        <v>0</v>
      </c>
      <c r="HA77">
        <v>0</v>
      </c>
      <c r="HB77">
        <v>0</v>
      </c>
      <c r="HC77">
        <f t="shared" si="100"/>
        <v>0</v>
      </c>
      <c r="IK77">
        <v>0</v>
      </c>
    </row>
    <row r="78" spans="1:245" x14ac:dyDescent="0.2">
      <c r="A78">
        <v>18</v>
      </c>
      <c r="B78">
        <v>1</v>
      </c>
      <c r="C78">
        <v>147</v>
      </c>
      <c r="E78" t="s">
        <v>249</v>
      </c>
      <c r="F78" t="s">
        <v>250</v>
      </c>
      <c r="G78" t="s">
        <v>251</v>
      </c>
      <c r="H78" t="s">
        <v>243</v>
      </c>
      <c r="I78">
        <f>I73*J78</f>
        <v>0.81</v>
      </c>
      <c r="J78">
        <v>0.39917208752217626</v>
      </c>
      <c r="O78">
        <f t="shared" si="65"/>
        <v>739.24</v>
      </c>
      <c r="P78">
        <f t="shared" si="66"/>
        <v>739.24</v>
      </c>
      <c r="Q78">
        <f t="shared" si="67"/>
        <v>0</v>
      </c>
      <c r="R78">
        <f t="shared" si="68"/>
        <v>0</v>
      </c>
      <c r="S78">
        <f t="shared" si="69"/>
        <v>0</v>
      </c>
      <c r="T78">
        <f t="shared" si="70"/>
        <v>0</v>
      </c>
      <c r="U78">
        <f t="shared" si="71"/>
        <v>0</v>
      </c>
      <c r="V78">
        <f t="shared" si="72"/>
        <v>0</v>
      </c>
      <c r="W78">
        <f t="shared" si="73"/>
        <v>0</v>
      </c>
      <c r="X78">
        <f t="shared" si="74"/>
        <v>0</v>
      </c>
      <c r="Y78">
        <f t="shared" si="75"/>
        <v>0</v>
      </c>
      <c r="AA78">
        <v>16630606</v>
      </c>
      <c r="AB78">
        <f t="shared" si="76"/>
        <v>128</v>
      </c>
      <c r="AC78">
        <f t="shared" si="103"/>
        <v>128</v>
      </c>
      <c r="AD78">
        <f t="shared" si="104"/>
        <v>0</v>
      </c>
      <c r="AE78">
        <f t="shared" si="105"/>
        <v>0</v>
      </c>
      <c r="AF78">
        <f t="shared" si="105"/>
        <v>0</v>
      </c>
      <c r="AG78">
        <f t="shared" si="78"/>
        <v>0</v>
      </c>
      <c r="AH78">
        <f t="shared" si="106"/>
        <v>0</v>
      </c>
      <c r="AI78">
        <f t="shared" si="106"/>
        <v>0</v>
      </c>
      <c r="AJ78">
        <f t="shared" si="80"/>
        <v>0</v>
      </c>
      <c r="AK78">
        <v>128</v>
      </c>
      <c r="AL78">
        <v>128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111</v>
      </c>
      <c r="AU78">
        <v>64</v>
      </c>
      <c r="AV78">
        <v>1</v>
      </c>
      <c r="AW78">
        <v>1</v>
      </c>
      <c r="AZ78">
        <v>7.13</v>
      </c>
      <c r="BA78">
        <v>1</v>
      </c>
      <c r="BB78">
        <v>1</v>
      </c>
      <c r="BC78">
        <v>7.13</v>
      </c>
      <c r="BD78" t="s">
        <v>6</v>
      </c>
      <c r="BE78" t="s">
        <v>6</v>
      </c>
      <c r="BF78" t="s">
        <v>6</v>
      </c>
      <c r="BG78" t="s">
        <v>6</v>
      </c>
      <c r="BH78">
        <v>3</v>
      </c>
      <c r="BI78">
        <v>1</v>
      </c>
      <c r="BJ78" t="s">
        <v>252</v>
      </c>
      <c r="BM78">
        <v>11001</v>
      </c>
      <c r="BN78">
        <v>0</v>
      </c>
      <c r="BO78" t="s">
        <v>6</v>
      </c>
      <c r="BP78">
        <v>0</v>
      </c>
      <c r="BQ78">
        <v>2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6</v>
      </c>
      <c r="BZ78">
        <v>123</v>
      </c>
      <c r="CA78">
        <v>75</v>
      </c>
      <c r="CE78">
        <v>0</v>
      </c>
      <c r="CF78">
        <v>0</v>
      </c>
      <c r="CG78">
        <v>0</v>
      </c>
      <c r="CM78">
        <v>0</v>
      </c>
      <c r="CN78" t="s">
        <v>6</v>
      </c>
      <c r="CO78">
        <v>0</v>
      </c>
      <c r="CP78">
        <f t="shared" si="81"/>
        <v>739.24</v>
      </c>
      <c r="CQ78">
        <f t="shared" si="82"/>
        <v>912.64</v>
      </c>
      <c r="CR78">
        <f t="shared" si="83"/>
        <v>0</v>
      </c>
      <c r="CS78">
        <f t="shared" si="84"/>
        <v>0</v>
      </c>
      <c r="CT78">
        <f t="shared" si="85"/>
        <v>0</v>
      </c>
      <c r="CU78">
        <f t="shared" si="86"/>
        <v>0</v>
      </c>
      <c r="CV78">
        <f t="shared" si="87"/>
        <v>0</v>
      </c>
      <c r="CW78">
        <f t="shared" si="88"/>
        <v>0</v>
      </c>
      <c r="CX78">
        <f t="shared" si="89"/>
        <v>0</v>
      </c>
      <c r="CY78">
        <f t="shared" si="90"/>
        <v>0</v>
      </c>
      <c r="CZ78">
        <f t="shared" si="91"/>
        <v>0</v>
      </c>
      <c r="DC78" t="s">
        <v>6</v>
      </c>
      <c r="DD78" t="s">
        <v>6</v>
      </c>
      <c r="DE78" t="s">
        <v>6</v>
      </c>
      <c r="DF78" t="s">
        <v>6</v>
      </c>
      <c r="DG78" t="s">
        <v>6</v>
      </c>
      <c r="DH78" t="s">
        <v>6</v>
      </c>
      <c r="DI78" t="s">
        <v>6</v>
      </c>
      <c r="DJ78" t="s">
        <v>6</v>
      </c>
      <c r="DK78" t="s">
        <v>6</v>
      </c>
      <c r="DL78" t="s">
        <v>6</v>
      </c>
      <c r="DM78" t="s">
        <v>6</v>
      </c>
      <c r="DN78">
        <v>0</v>
      </c>
      <c r="DO78">
        <v>0</v>
      </c>
      <c r="DP78">
        <v>1</v>
      </c>
      <c r="DQ78">
        <v>1</v>
      </c>
      <c r="DU78">
        <v>1010</v>
      </c>
      <c r="DV78" t="s">
        <v>243</v>
      </c>
      <c r="DW78" t="s">
        <v>243</v>
      </c>
      <c r="DX78">
        <v>100</v>
      </c>
      <c r="EE78">
        <v>16609108</v>
      </c>
      <c r="EF78">
        <v>2</v>
      </c>
      <c r="EG78" t="s">
        <v>14</v>
      </c>
      <c r="EH78">
        <v>0</v>
      </c>
      <c r="EI78" t="s">
        <v>6</v>
      </c>
      <c r="EJ78">
        <v>1</v>
      </c>
      <c r="EK78">
        <v>11001</v>
      </c>
      <c r="EL78" t="s">
        <v>40</v>
      </c>
      <c r="EM78" t="s">
        <v>146</v>
      </c>
      <c r="EO78" t="s">
        <v>6</v>
      </c>
      <c r="EQ78">
        <v>0</v>
      </c>
      <c r="ER78">
        <v>128</v>
      </c>
      <c r="ES78">
        <v>128</v>
      </c>
      <c r="ET78">
        <v>0</v>
      </c>
      <c r="EU78">
        <v>0</v>
      </c>
      <c r="EV78">
        <v>0</v>
      </c>
      <c r="EW78">
        <v>0</v>
      </c>
      <c r="EX78">
        <v>0</v>
      </c>
      <c r="FQ78">
        <v>0</v>
      </c>
      <c r="FR78">
        <f t="shared" si="92"/>
        <v>0</v>
      </c>
      <c r="FS78">
        <v>0</v>
      </c>
      <c r="FT78" t="s">
        <v>22</v>
      </c>
      <c r="FU78" t="s">
        <v>23</v>
      </c>
      <c r="FX78">
        <v>110.7</v>
      </c>
      <c r="FY78">
        <v>63.75</v>
      </c>
      <c r="GA78" t="s">
        <v>6</v>
      </c>
      <c r="GD78">
        <v>0</v>
      </c>
      <c r="GF78">
        <v>1073883569</v>
      </c>
      <c r="GG78">
        <v>1</v>
      </c>
      <c r="GH78">
        <v>1</v>
      </c>
      <c r="GI78">
        <v>4</v>
      </c>
      <c r="GJ78">
        <v>0</v>
      </c>
      <c r="GK78">
        <f>ROUND(R78*(R12)/100,2)</f>
        <v>0</v>
      </c>
      <c r="GL78">
        <f t="shared" si="93"/>
        <v>0</v>
      </c>
      <c r="GM78">
        <f t="shared" si="94"/>
        <v>739.24</v>
      </c>
      <c r="GN78">
        <f t="shared" si="95"/>
        <v>739.24</v>
      </c>
      <c r="GO78">
        <f t="shared" si="96"/>
        <v>0</v>
      </c>
      <c r="GP78">
        <f t="shared" si="97"/>
        <v>0</v>
      </c>
      <c r="GR78">
        <v>0</v>
      </c>
      <c r="GS78">
        <v>3</v>
      </c>
      <c r="GT78">
        <v>0</v>
      </c>
      <c r="GU78" t="s">
        <v>6</v>
      </c>
      <c r="GV78">
        <f t="shared" si="98"/>
        <v>0</v>
      </c>
      <c r="GW78">
        <v>1</v>
      </c>
      <c r="GX78">
        <f t="shared" si="99"/>
        <v>0</v>
      </c>
      <c r="HA78">
        <v>0</v>
      </c>
      <c r="HB78">
        <v>0</v>
      </c>
      <c r="HC78">
        <f t="shared" si="100"/>
        <v>0</v>
      </c>
      <c r="IK78">
        <v>0</v>
      </c>
    </row>
    <row r="79" spans="1:245" x14ac:dyDescent="0.2">
      <c r="A79">
        <v>18</v>
      </c>
      <c r="B79">
        <v>1</v>
      </c>
      <c r="C79">
        <v>148</v>
      </c>
      <c r="E79" t="s">
        <v>253</v>
      </c>
      <c r="F79" t="s">
        <v>254</v>
      </c>
      <c r="G79" t="s">
        <v>255</v>
      </c>
      <c r="H79" t="s">
        <v>243</v>
      </c>
      <c r="I79">
        <f>I73*J79</f>
        <v>0.14000000000000001</v>
      </c>
      <c r="J79">
        <v>6.8992706485314415E-2</v>
      </c>
      <c r="O79">
        <f t="shared" si="65"/>
        <v>127.77</v>
      </c>
      <c r="P79">
        <f t="shared" si="66"/>
        <v>127.77</v>
      </c>
      <c r="Q79">
        <f t="shared" si="67"/>
        <v>0</v>
      </c>
      <c r="R79">
        <f t="shared" si="68"/>
        <v>0</v>
      </c>
      <c r="S79">
        <f t="shared" si="69"/>
        <v>0</v>
      </c>
      <c r="T79">
        <f t="shared" si="70"/>
        <v>0</v>
      </c>
      <c r="U79">
        <f t="shared" si="71"/>
        <v>0</v>
      </c>
      <c r="V79">
        <f t="shared" si="72"/>
        <v>0</v>
      </c>
      <c r="W79">
        <f t="shared" si="73"/>
        <v>0</v>
      </c>
      <c r="X79">
        <f t="shared" si="74"/>
        <v>0</v>
      </c>
      <c r="Y79">
        <f t="shared" si="75"/>
        <v>0</v>
      </c>
      <c r="AA79">
        <v>16630606</v>
      </c>
      <c r="AB79">
        <f t="shared" si="76"/>
        <v>128</v>
      </c>
      <c r="AC79">
        <f t="shared" si="103"/>
        <v>128</v>
      </c>
      <c r="AD79">
        <f t="shared" si="104"/>
        <v>0</v>
      </c>
      <c r="AE79">
        <f t="shared" si="105"/>
        <v>0</v>
      </c>
      <c r="AF79">
        <f t="shared" si="105"/>
        <v>0</v>
      </c>
      <c r="AG79">
        <f t="shared" si="78"/>
        <v>0</v>
      </c>
      <c r="AH79">
        <f t="shared" si="106"/>
        <v>0</v>
      </c>
      <c r="AI79">
        <f t="shared" si="106"/>
        <v>0</v>
      </c>
      <c r="AJ79">
        <f t="shared" si="80"/>
        <v>0</v>
      </c>
      <c r="AK79">
        <v>128</v>
      </c>
      <c r="AL79">
        <v>128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111</v>
      </c>
      <c r="AU79">
        <v>64</v>
      </c>
      <c r="AV79">
        <v>1</v>
      </c>
      <c r="AW79">
        <v>1</v>
      </c>
      <c r="AZ79">
        <v>7.13</v>
      </c>
      <c r="BA79">
        <v>1</v>
      </c>
      <c r="BB79">
        <v>1</v>
      </c>
      <c r="BC79">
        <v>7.13</v>
      </c>
      <c r="BD79" t="s">
        <v>6</v>
      </c>
      <c r="BE79" t="s">
        <v>6</v>
      </c>
      <c r="BF79" t="s">
        <v>6</v>
      </c>
      <c r="BG79" t="s">
        <v>6</v>
      </c>
      <c r="BH79">
        <v>3</v>
      </c>
      <c r="BI79">
        <v>1</v>
      </c>
      <c r="BJ79" t="s">
        <v>256</v>
      </c>
      <c r="BM79">
        <v>11001</v>
      </c>
      <c r="BN79">
        <v>0</v>
      </c>
      <c r="BO79" t="s">
        <v>6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123</v>
      </c>
      <c r="CA79">
        <v>75</v>
      </c>
      <c r="CE79">
        <v>0</v>
      </c>
      <c r="CF79">
        <v>0</v>
      </c>
      <c r="CG79">
        <v>0</v>
      </c>
      <c r="CM79">
        <v>0</v>
      </c>
      <c r="CN79" t="s">
        <v>6</v>
      </c>
      <c r="CO79">
        <v>0</v>
      </c>
      <c r="CP79">
        <f t="shared" si="81"/>
        <v>127.77</v>
      </c>
      <c r="CQ79">
        <f t="shared" si="82"/>
        <v>912.64</v>
      </c>
      <c r="CR79">
        <f t="shared" si="83"/>
        <v>0</v>
      </c>
      <c r="CS79">
        <f t="shared" si="84"/>
        <v>0</v>
      </c>
      <c r="CT79">
        <f t="shared" si="85"/>
        <v>0</v>
      </c>
      <c r="CU79">
        <f t="shared" si="86"/>
        <v>0</v>
      </c>
      <c r="CV79">
        <f t="shared" si="87"/>
        <v>0</v>
      </c>
      <c r="CW79">
        <f t="shared" si="88"/>
        <v>0</v>
      </c>
      <c r="CX79">
        <f t="shared" si="89"/>
        <v>0</v>
      </c>
      <c r="CY79">
        <f t="shared" si="90"/>
        <v>0</v>
      </c>
      <c r="CZ79">
        <f t="shared" si="91"/>
        <v>0</v>
      </c>
      <c r="DC79" t="s">
        <v>6</v>
      </c>
      <c r="DD79" t="s">
        <v>6</v>
      </c>
      <c r="DE79" t="s">
        <v>6</v>
      </c>
      <c r="DF79" t="s">
        <v>6</v>
      </c>
      <c r="DG79" t="s">
        <v>6</v>
      </c>
      <c r="DH79" t="s">
        <v>6</v>
      </c>
      <c r="DI79" t="s">
        <v>6</v>
      </c>
      <c r="DJ79" t="s">
        <v>6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1010</v>
      </c>
      <c r="DV79" t="s">
        <v>243</v>
      </c>
      <c r="DW79" t="s">
        <v>243</v>
      </c>
      <c r="DX79">
        <v>100</v>
      </c>
      <c r="EE79">
        <v>16609108</v>
      </c>
      <c r="EF79">
        <v>2</v>
      </c>
      <c r="EG79" t="s">
        <v>14</v>
      </c>
      <c r="EH79">
        <v>0</v>
      </c>
      <c r="EI79" t="s">
        <v>6</v>
      </c>
      <c r="EJ79">
        <v>1</v>
      </c>
      <c r="EK79">
        <v>11001</v>
      </c>
      <c r="EL79" t="s">
        <v>40</v>
      </c>
      <c r="EM79" t="s">
        <v>146</v>
      </c>
      <c r="EO79" t="s">
        <v>6</v>
      </c>
      <c r="EQ79">
        <v>0</v>
      </c>
      <c r="ER79">
        <v>128</v>
      </c>
      <c r="ES79">
        <v>128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92"/>
        <v>0</v>
      </c>
      <c r="FS79">
        <v>0</v>
      </c>
      <c r="FT79" t="s">
        <v>22</v>
      </c>
      <c r="FU79" t="s">
        <v>23</v>
      </c>
      <c r="FX79">
        <v>110.7</v>
      </c>
      <c r="FY79">
        <v>63.75</v>
      </c>
      <c r="GA79" t="s">
        <v>6</v>
      </c>
      <c r="GD79">
        <v>0</v>
      </c>
      <c r="GF79">
        <v>1800897042</v>
      </c>
      <c r="GG79">
        <v>1</v>
      </c>
      <c r="GH79">
        <v>1</v>
      </c>
      <c r="GI79">
        <v>4</v>
      </c>
      <c r="GJ79">
        <v>0</v>
      </c>
      <c r="GK79">
        <f>ROUND(R79*(R12)/100,2)</f>
        <v>0</v>
      </c>
      <c r="GL79">
        <f t="shared" si="93"/>
        <v>0</v>
      </c>
      <c r="GM79">
        <f t="shared" si="94"/>
        <v>127.77</v>
      </c>
      <c r="GN79">
        <f t="shared" si="95"/>
        <v>127.77</v>
      </c>
      <c r="GO79">
        <f t="shared" si="96"/>
        <v>0</v>
      </c>
      <c r="GP79">
        <f t="shared" si="97"/>
        <v>0</v>
      </c>
      <c r="GR79">
        <v>0</v>
      </c>
      <c r="GS79">
        <v>3</v>
      </c>
      <c r="GT79">
        <v>0</v>
      </c>
      <c r="GU79" t="s">
        <v>6</v>
      </c>
      <c r="GV79">
        <f t="shared" si="98"/>
        <v>0</v>
      </c>
      <c r="GW79">
        <v>1</v>
      </c>
      <c r="GX79">
        <f t="shared" si="99"/>
        <v>0</v>
      </c>
      <c r="HA79">
        <v>0</v>
      </c>
      <c r="HB79">
        <v>0</v>
      </c>
      <c r="HC79">
        <f t="shared" si="100"/>
        <v>0</v>
      </c>
      <c r="IK79">
        <v>0</v>
      </c>
    </row>
    <row r="80" spans="1:245" x14ac:dyDescent="0.2">
      <c r="A80">
        <v>18</v>
      </c>
      <c r="B80">
        <v>1</v>
      </c>
      <c r="C80">
        <v>149</v>
      </c>
      <c r="E80" t="s">
        <v>257</v>
      </c>
      <c r="F80" t="s">
        <v>258</v>
      </c>
      <c r="G80" t="s">
        <v>259</v>
      </c>
      <c r="H80" t="s">
        <v>243</v>
      </c>
      <c r="I80">
        <f>I73*J80</f>
        <v>0.14000000000000001</v>
      </c>
      <c r="J80">
        <v>6.8992706485314415E-2</v>
      </c>
      <c r="O80">
        <f t="shared" si="65"/>
        <v>127.77</v>
      </c>
      <c r="P80">
        <f t="shared" si="66"/>
        <v>127.77</v>
      </c>
      <c r="Q80">
        <f t="shared" si="67"/>
        <v>0</v>
      </c>
      <c r="R80">
        <f t="shared" si="68"/>
        <v>0</v>
      </c>
      <c r="S80">
        <f t="shared" si="69"/>
        <v>0</v>
      </c>
      <c r="T80">
        <f t="shared" si="70"/>
        <v>0</v>
      </c>
      <c r="U80">
        <f t="shared" si="71"/>
        <v>0</v>
      </c>
      <c r="V80">
        <f t="shared" si="72"/>
        <v>0</v>
      </c>
      <c r="W80">
        <f t="shared" si="73"/>
        <v>0</v>
      </c>
      <c r="X80">
        <f t="shared" si="74"/>
        <v>0</v>
      </c>
      <c r="Y80">
        <f t="shared" si="75"/>
        <v>0</v>
      </c>
      <c r="AA80">
        <v>16630606</v>
      </c>
      <c r="AB80">
        <f t="shared" si="76"/>
        <v>128</v>
      </c>
      <c r="AC80">
        <f t="shared" si="103"/>
        <v>128</v>
      </c>
      <c r="AD80">
        <f t="shared" si="104"/>
        <v>0</v>
      </c>
      <c r="AE80">
        <f t="shared" si="105"/>
        <v>0</v>
      </c>
      <c r="AF80">
        <f t="shared" si="105"/>
        <v>0</v>
      </c>
      <c r="AG80">
        <f t="shared" si="78"/>
        <v>0</v>
      </c>
      <c r="AH80">
        <f t="shared" si="106"/>
        <v>0</v>
      </c>
      <c r="AI80">
        <f t="shared" si="106"/>
        <v>0</v>
      </c>
      <c r="AJ80">
        <f t="shared" si="80"/>
        <v>0</v>
      </c>
      <c r="AK80">
        <v>128</v>
      </c>
      <c r="AL80">
        <v>128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111</v>
      </c>
      <c r="AU80">
        <v>64</v>
      </c>
      <c r="AV80">
        <v>1</v>
      </c>
      <c r="AW80">
        <v>1</v>
      </c>
      <c r="AZ80">
        <v>7.13</v>
      </c>
      <c r="BA80">
        <v>1</v>
      </c>
      <c r="BB80">
        <v>1</v>
      </c>
      <c r="BC80">
        <v>7.13</v>
      </c>
      <c r="BD80" t="s">
        <v>6</v>
      </c>
      <c r="BE80" t="s">
        <v>6</v>
      </c>
      <c r="BF80" t="s">
        <v>6</v>
      </c>
      <c r="BG80" t="s">
        <v>6</v>
      </c>
      <c r="BH80">
        <v>3</v>
      </c>
      <c r="BI80">
        <v>1</v>
      </c>
      <c r="BJ80" t="s">
        <v>260</v>
      </c>
      <c r="BM80">
        <v>11001</v>
      </c>
      <c r="BN80">
        <v>0</v>
      </c>
      <c r="BO80" t="s">
        <v>6</v>
      </c>
      <c r="BP80">
        <v>0</v>
      </c>
      <c r="BQ80">
        <v>2</v>
      </c>
      <c r="BR80">
        <v>0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6</v>
      </c>
      <c r="BZ80">
        <v>123</v>
      </c>
      <c r="CA80">
        <v>75</v>
      </c>
      <c r="CE80">
        <v>0</v>
      </c>
      <c r="CF80">
        <v>0</v>
      </c>
      <c r="CG80">
        <v>0</v>
      </c>
      <c r="CM80">
        <v>0</v>
      </c>
      <c r="CN80" t="s">
        <v>6</v>
      </c>
      <c r="CO80">
        <v>0</v>
      </c>
      <c r="CP80">
        <f t="shared" si="81"/>
        <v>127.77</v>
      </c>
      <c r="CQ80">
        <f t="shared" si="82"/>
        <v>912.64</v>
      </c>
      <c r="CR80">
        <f t="shared" si="83"/>
        <v>0</v>
      </c>
      <c r="CS80">
        <f t="shared" si="84"/>
        <v>0</v>
      </c>
      <c r="CT80">
        <f t="shared" si="85"/>
        <v>0</v>
      </c>
      <c r="CU80">
        <f t="shared" si="86"/>
        <v>0</v>
      </c>
      <c r="CV80">
        <f t="shared" si="87"/>
        <v>0</v>
      </c>
      <c r="CW80">
        <f t="shared" si="88"/>
        <v>0</v>
      </c>
      <c r="CX80">
        <f t="shared" si="89"/>
        <v>0</v>
      </c>
      <c r="CY80">
        <f t="shared" si="90"/>
        <v>0</v>
      </c>
      <c r="CZ80">
        <f t="shared" si="91"/>
        <v>0</v>
      </c>
      <c r="DC80" t="s">
        <v>6</v>
      </c>
      <c r="DD80" t="s">
        <v>6</v>
      </c>
      <c r="DE80" t="s">
        <v>6</v>
      </c>
      <c r="DF80" t="s">
        <v>6</v>
      </c>
      <c r="DG80" t="s">
        <v>6</v>
      </c>
      <c r="DH80" t="s">
        <v>6</v>
      </c>
      <c r="DI80" t="s">
        <v>6</v>
      </c>
      <c r="DJ80" t="s">
        <v>6</v>
      </c>
      <c r="DK80" t="s">
        <v>6</v>
      </c>
      <c r="DL80" t="s">
        <v>6</v>
      </c>
      <c r="DM80" t="s">
        <v>6</v>
      </c>
      <c r="DN80">
        <v>0</v>
      </c>
      <c r="DO80">
        <v>0</v>
      </c>
      <c r="DP80">
        <v>1</v>
      </c>
      <c r="DQ80">
        <v>1</v>
      </c>
      <c r="DU80">
        <v>1010</v>
      </c>
      <c r="DV80" t="s">
        <v>243</v>
      </c>
      <c r="DW80" t="s">
        <v>243</v>
      </c>
      <c r="DX80">
        <v>100</v>
      </c>
      <c r="EE80">
        <v>16609108</v>
      </c>
      <c r="EF80">
        <v>2</v>
      </c>
      <c r="EG80" t="s">
        <v>14</v>
      </c>
      <c r="EH80">
        <v>0</v>
      </c>
      <c r="EI80" t="s">
        <v>6</v>
      </c>
      <c r="EJ80">
        <v>1</v>
      </c>
      <c r="EK80">
        <v>11001</v>
      </c>
      <c r="EL80" t="s">
        <v>40</v>
      </c>
      <c r="EM80" t="s">
        <v>146</v>
      </c>
      <c r="EO80" t="s">
        <v>6</v>
      </c>
      <c r="EQ80">
        <v>0</v>
      </c>
      <c r="ER80">
        <v>128</v>
      </c>
      <c r="ES80">
        <v>128</v>
      </c>
      <c r="ET80">
        <v>0</v>
      </c>
      <c r="EU80">
        <v>0</v>
      </c>
      <c r="EV80">
        <v>0</v>
      </c>
      <c r="EW80">
        <v>0</v>
      </c>
      <c r="EX80">
        <v>0</v>
      </c>
      <c r="FQ80">
        <v>0</v>
      </c>
      <c r="FR80">
        <f t="shared" si="92"/>
        <v>0</v>
      </c>
      <c r="FS80">
        <v>0</v>
      </c>
      <c r="FT80" t="s">
        <v>22</v>
      </c>
      <c r="FU80" t="s">
        <v>23</v>
      </c>
      <c r="FX80">
        <v>110.7</v>
      </c>
      <c r="FY80">
        <v>63.75</v>
      </c>
      <c r="GA80" t="s">
        <v>6</v>
      </c>
      <c r="GD80">
        <v>0</v>
      </c>
      <c r="GF80">
        <v>952646044</v>
      </c>
      <c r="GG80">
        <v>1</v>
      </c>
      <c r="GH80">
        <v>1</v>
      </c>
      <c r="GI80">
        <v>4</v>
      </c>
      <c r="GJ80">
        <v>0</v>
      </c>
      <c r="GK80">
        <f>ROUND(R80*(R12)/100,2)</f>
        <v>0</v>
      </c>
      <c r="GL80">
        <f t="shared" si="93"/>
        <v>0</v>
      </c>
      <c r="GM80">
        <f t="shared" si="94"/>
        <v>127.77</v>
      </c>
      <c r="GN80">
        <f t="shared" si="95"/>
        <v>127.77</v>
      </c>
      <c r="GO80">
        <f t="shared" si="96"/>
        <v>0</v>
      </c>
      <c r="GP80">
        <f t="shared" si="97"/>
        <v>0</v>
      </c>
      <c r="GR80">
        <v>0</v>
      </c>
      <c r="GS80">
        <v>3</v>
      </c>
      <c r="GT80">
        <v>0</v>
      </c>
      <c r="GU80" t="s">
        <v>6</v>
      </c>
      <c r="GV80">
        <f t="shared" si="98"/>
        <v>0</v>
      </c>
      <c r="GW80">
        <v>1</v>
      </c>
      <c r="GX80">
        <f t="shared" si="99"/>
        <v>0</v>
      </c>
      <c r="HA80">
        <v>0</v>
      </c>
      <c r="HB80">
        <v>0</v>
      </c>
      <c r="HC80">
        <f t="shared" si="100"/>
        <v>0</v>
      </c>
      <c r="IK80">
        <v>0</v>
      </c>
    </row>
    <row r="81" spans="1:245" x14ac:dyDescent="0.2">
      <c r="A81">
        <v>17</v>
      </c>
      <c r="B81">
        <v>1</v>
      </c>
      <c r="C81">
        <f>ROW(SmtRes!A161)</f>
        <v>161</v>
      </c>
      <c r="D81">
        <f>ROW(EtalonRes!A169)</f>
        <v>169</v>
      </c>
      <c r="E81" t="s">
        <v>261</v>
      </c>
      <c r="F81" t="s">
        <v>262</v>
      </c>
      <c r="G81" t="s">
        <v>263</v>
      </c>
      <c r="H81" t="s">
        <v>18</v>
      </c>
      <c r="I81">
        <f>ROUND(38.94/100,9)</f>
        <v>0.38940000000000002</v>
      </c>
      <c r="J81">
        <v>0</v>
      </c>
      <c r="O81">
        <f t="shared" si="65"/>
        <v>3410.67</v>
      </c>
      <c r="P81">
        <f t="shared" si="66"/>
        <v>1923.01</v>
      </c>
      <c r="Q81">
        <f t="shared" si="67"/>
        <v>545.59</v>
      </c>
      <c r="R81">
        <f t="shared" si="68"/>
        <v>18.489999999999998</v>
      </c>
      <c r="S81">
        <f t="shared" si="69"/>
        <v>942.07</v>
      </c>
      <c r="T81">
        <f t="shared" si="70"/>
        <v>0</v>
      </c>
      <c r="U81">
        <f t="shared" si="71"/>
        <v>12.077435699999999</v>
      </c>
      <c r="V81">
        <f t="shared" si="72"/>
        <v>0.2093025</v>
      </c>
      <c r="W81">
        <f t="shared" si="73"/>
        <v>0</v>
      </c>
      <c r="X81">
        <f t="shared" si="74"/>
        <v>1066.22</v>
      </c>
      <c r="Y81">
        <f t="shared" si="75"/>
        <v>614.76</v>
      </c>
      <c r="AA81">
        <v>16630606</v>
      </c>
      <c r="AB81">
        <f t="shared" si="76"/>
        <v>1228.44</v>
      </c>
      <c r="AC81">
        <f t="shared" si="103"/>
        <v>692.62</v>
      </c>
      <c r="AD81">
        <f>ROUND(((((ET81*1.25))-((EU81*1.25)))+AE81),2)</f>
        <v>196.51</v>
      </c>
      <c r="AE81">
        <f>ROUND(((EU81*1.25)),2)</f>
        <v>6.66</v>
      </c>
      <c r="AF81">
        <f>ROUND(((EV81*1.15)),2)</f>
        <v>339.31</v>
      </c>
      <c r="AG81">
        <f t="shared" si="78"/>
        <v>0</v>
      </c>
      <c r="AH81">
        <f>((EW81*1.15))</f>
        <v>31.015499999999996</v>
      </c>
      <c r="AI81">
        <f>((EX81*1.25))</f>
        <v>0.53749999999999998</v>
      </c>
      <c r="AJ81">
        <f t="shared" si="80"/>
        <v>0</v>
      </c>
      <c r="AK81">
        <v>1144.8800000000001</v>
      </c>
      <c r="AL81">
        <v>692.62</v>
      </c>
      <c r="AM81">
        <v>157.21</v>
      </c>
      <c r="AN81">
        <v>5.33</v>
      </c>
      <c r="AO81">
        <v>295.05</v>
      </c>
      <c r="AP81">
        <v>0</v>
      </c>
      <c r="AQ81">
        <v>26.97</v>
      </c>
      <c r="AR81">
        <v>0.43</v>
      </c>
      <c r="AS81">
        <v>0</v>
      </c>
      <c r="AT81">
        <v>111</v>
      </c>
      <c r="AU81">
        <v>64</v>
      </c>
      <c r="AV81">
        <v>1</v>
      </c>
      <c r="AW81">
        <v>1</v>
      </c>
      <c r="AZ81">
        <v>7.13</v>
      </c>
      <c r="BA81">
        <v>7.13</v>
      </c>
      <c r="BB81">
        <v>7.13</v>
      </c>
      <c r="BC81">
        <v>7.13</v>
      </c>
      <c r="BD81" t="s">
        <v>6</v>
      </c>
      <c r="BE81" t="s">
        <v>6</v>
      </c>
      <c r="BF81" t="s">
        <v>6</v>
      </c>
      <c r="BG81" t="s">
        <v>6</v>
      </c>
      <c r="BH81">
        <v>0</v>
      </c>
      <c r="BI81">
        <v>1</v>
      </c>
      <c r="BJ81" t="s">
        <v>264</v>
      </c>
      <c r="BM81">
        <v>11001</v>
      </c>
      <c r="BN81">
        <v>0</v>
      </c>
      <c r="BO81" t="s">
        <v>6</v>
      </c>
      <c r="BP81">
        <v>0</v>
      </c>
      <c r="BQ81">
        <v>2</v>
      </c>
      <c r="BR81">
        <v>0</v>
      </c>
      <c r="BS81">
        <v>7.13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123</v>
      </c>
      <c r="CA81">
        <v>75</v>
      </c>
      <c r="CE81">
        <v>0</v>
      </c>
      <c r="CF81">
        <v>0</v>
      </c>
      <c r="CG81">
        <v>0</v>
      </c>
      <c r="CM81">
        <v>0</v>
      </c>
      <c r="CN81" t="s">
        <v>1758</v>
      </c>
      <c r="CO81">
        <v>0</v>
      </c>
      <c r="CP81">
        <f t="shared" si="81"/>
        <v>3410.67</v>
      </c>
      <c r="CQ81">
        <f t="shared" si="82"/>
        <v>4938.3806000000004</v>
      </c>
      <c r="CR81">
        <f t="shared" si="83"/>
        <v>1401.1162999999999</v>
      </c>
      <c r="CS81">
        <f t="shared" si="84"/>
        <v>47.485799999999998</v>
      </c>
      <c r="CT81">
        <f t="shared" si="85"/>
        <v>2419.2802999999999</v>
      </c>
      <c r="CU81">
        <f t="shared" si="86"/>
        <v>0</v>
      </c>
      <c r="CV81">
        <f t="shared" si="87"/>
        <v>31.015499999999996</v>
      </c>
      <c r="CW81">
        <f t="shared" si="88"/>
        <v>0.53749999999999998</v>
      </c>
      <c r="CX81">
        <f t="shared" si="89"/>
        <v>0</v>
      </c>
      <c r="CY81">
        <f t="shared" si="90"/>
        <v>1066.2216000000001</v>
      </c>
      <c r="CZ81">
        <f t="shared" si="91"/>
        <v>614.75840000000005</v>
      </c>
      <c r="DC81" t="s">
        <v>6</v>
      </c>
      <c r="DD81" t="s">
        <v>6</v>
      </c>
      <c r="DE81" t="s">
        <v>81</v>
      </c>
      <c r="DF81" t="s">
        <v>81</v>
      </c>
      <c r="DG81" t="s">
        <v>82</v>
      </c>
      <c r="DH81" t="s">
        <v>6</v>
      </c>
      <c r="DI81" t="s">
        <v>82</v>
      </c>
      <c r="DJ81" t="s">
        <v>81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1005</v>
      </c>
      <c r="DV81" t="s">
        <v>18</v>
      </c>
      <c r="DW81" t="s">
        <v>18</v>
      </c>
      <c r="DX81">
        <v>100</v>
      </c>
      <c r="EE81">
        <v>16609108</v>
      </c>
      <c r="EF81">
        <v>2</v>
      </c>
      <c r="EG81" t="s">
        <v>14</v>
      </c>
      <c r="EH81">
        <v>0</v>
      </c>
      <c r="EI81" t="s">
        <v>6</v>
      </c>
      <c r="EJ81">
        <v>1</v>
      </c>
      <c r="EK81">
        <v>11001</v>
      </c>
      <c r="EL81" t="s">
        <v>40</v>
      </c>
      <c r="EM81" t="s">
        <v>146</v>
      </c>
      <c r="EO81" t="s">
        <v>83</v>
      </c>
      <c r="EQ81">
        <v>131072</v>
      </c>
      <c r="ER81">
        <v>1144.8800000000001</v>
      </c>
      <c r="ES81">
        <v>692.62</v>
      </c>
      <c r="ET81">
        <v>157.21</v>
      </c>
      <c r="EU81">
        <v>5.33</v>
      </c>
      <c r="EV81">
        <v>295.05</v>
      </c>
      <c r="EW81">
        <v>26.97</v>
      </c>
      <c r="EX81">
        <v>0.43</v>
      </c>
      <c r="EY81">
        <v>0</v>
      </c>
      <c r="FQ81">
        <v>0</v>
      </c>
      <c r="FR81">
        <f t="shared" si="92"/>
        <v>0</v>
      </c>
      <c r="FS81">
        <v>0</v>
      </c>
      <c r="FT81" t="s">
        <v>22</v>
      </c>
      <c r="FU81" t="s">
        <v>23</v>
      </c>
      <c r="FX81">
        <v>110.7</v>
      </c>
      <c r="FY81">
        <v>63.75</v>
      </c>
      <c r="GA81" t="s">
        <v>6</v>
      </c>
      <c r="GD81">
        <v>0</v>
      </c>
      <c r="GF81">
        <v>-565640778</v>
      </c>
      <c r="GG81">
        <v>1</v>
      </c>
      <c r="GH81">
        <v>1</v>
      </c>
      <c r="GI81">
        <v>4</v>
      </c>
      <c r="GJ81">
        <v>0</v>
      </c>
      <c r="GK81">
        <f>ROUND(R81*(R12)/100,2)</f>
        <v>0</v>
      </c>
      <c r="GL81">
        <f t="shared" si="93"/>
        <v>0</v>
      </c>
      <c r="GM81">
        <f t="shared" si="94"/>
        <v>5091.6499999999996</v>
      </c>
      <c r="GN81">
        <f t="shared" si="95"/>
        <v>5091.6499999999996</v>
      </c>
      <c r="GO81">
        <f t="shared" si="96"/>
        <v>0</v>
      </c>
      <c r="GP81">
        <f t="shared" si="97"/>
        <v>0</v>
      </c>
      <c r="GR81">
        <v>0</v>
      </c>
      <c r="GS81">
        <v>3</v>
      </c>
      <c r="GT81">
        <v>0</v>
      </c>
      <c r="GU81" t="s">
        <v>6</v>
      </c>
      <c r="GV81">
        <f t="shared" si="98"/>
        <v>0</v>
      </c>
      <c r="GW81">
        <v>1</v>
      </c>
      <c r="GX81">
        <f t="shared" si="99"/>
        <v>0</v>
      </c>
      <c r="HA81">
        <v>0</v>
      </c>
      <c r="HB81">
        <v>0</v>
      </c>
      <c r="HC81">
        <f t="shared" si="100"/>
        <v>0</v>
      </c>
      <c r="IK81">
        <v>0</v>
      </c>
    </row>
    <row r="82" spans="1:245" x14ac:dyDescent="0.2">
      <c r="A82">
        <v>17</v>
      </c>
      <c r="B82">
        <v>1</v>
      </c>
      <c r="C82">
        <f>ROW(SmtRes!A169)</f>
        <v>169</v>
      </c>
      <c r="D82">
        <f>ROW(EtalonRes!A177)</f>
        <v>177</v>
      </c>
      <c r="E82" t="s">
        <v>265</v>
      </c>
      <c r="F82" t="s">
        <v>266</v>
      </c>
      <c r="G82" t="s">
        <v>267</v>
      </c>
      <c r="H82" t="s">
        <v>18</v>
      </c>
      <c r="I82">
        <f>ROUND(21.06/100,9)</f>
        <v>0.21060000000000001</v>
      </c>
      <c r="J82">
        <v>0</v>
      </c>
      <c r="O82">
        <f t="shared" si="65"/>
        <v>1831.75</v>
      </c>
      <c r="P82">
        <f t="shared" si="66"/>
        <v>1349.14</v>
      </c>
      <c r="Q82">
        <f t="shared" si="67"/>
        <v>134.47</v>
      </c>
      <c r="R82">
        <f t="shared" si="68"/>
        <v>4.3499999999999996</v>
      </c>
      <c r="S82">
        <f t="shared" si="69"/>
        <v>348.14</v>
      </c>
      <c r="T82">
        <f t="shared" si="70"/>
        <v>0</v>
      </c>
      <c r="U82">
        <f t="shared" si="71"/>
        <v>5.1344279999999998</v>
      </c>
      <c r="V82">
        <f t="shared" si="72"/>
        <v>5.2650000000000002E-2</v>
      </c>
      <c r="W82">
        <f t="shared" si="73"/>
        <v>0</v>
      </c>
      <c r="X82">
        <f t="shared" si="74"/>
        <v>387.74</v>
      </c>
      <c r="Y82">
        <f t="shared" si="75"/>
        <v>239.69</v>
      </c>
      <c r="AA82">
        <v>16630606</v>
      </c>
      <c r="AB82">
        <f t="shared" si="76"/>
        <v>1219.8800000000001</v>
      </c>
      <c r="AC82">
        <f t="shared" si="103"/>
        <v>898.48</v>
      </c>
      <c r="AD82">
        <f>ROUND(((((ET82*1.25))-((EU82*1.25)))+AE82),2)</f>
        <v>89.55</v>
      </c>
      <c r="AE82">
        <f>ROUND(((EU82*1.25)),2)</f>
        <v>2.9</v>
      </c>
      <c r="AF82">
        <f>ROUND(((EV82*1.15)),2)</f>
        <v>231.85</v>
      </c>
      <c r="AG82">
        <f t="shared" si="78"/>
        <v>0</v>
      </c>
      <c r="AH82">
        <f>((EW82*1.15))</f>
        <v>24.38</v>
      </c>
      <c r="AI82">
        <f>((EX82*1.25))</f>
        <v>0.25</v>
      </c>
      <c r="AJ82">
        <f t="shared" si="80"/>
        <v>0</v>
      </c>
      <c r="AK82">
        <v>1171.73</v>
      </c>
      <c r="AL82">
        <v>898.48</v>
      </c>
      <c r="AM82">
        <v>71.64</v>
      </c>
      <c r="AN82">
        <v>2.3199999999999998</v>
      </c>
      <c r="AO82">
        <v>201.61</v>
      </c>
      <c r="AP82">
        <v>0</v>
      </c>
      <c r="AQ82">
        <v>21.2</v>
      </c>
      <c r="AR82">
        <v>0.2</v>
      </c>
      <c r="AS82">
        <v>0</v>
      </c>
      <c r="AT82">
        <v>110</v>
      </c>
      <c r="AU82">
        <v>68</v>
      </c>
      <c r="AV82">
        <v>1</v>
      </c>
      <c r="AW82">
        <v>1</v>
      </c>
      <c r="AZ82">
        <v>7.13</v>
      </c>
      <c r="BA82">
        <v>7.13</v>
      </c>
      <c r="BB82">
        <v>7.13</v>
      </c>
      <c r="BC82">
        <v>7.13</v>
      </c>
      <c r="BD82" t="s">
        <v>6</v>
      </c>
      <c r="BE82" t="s">
        <v>6</v>
      </c>
      <c r="BF82" t="s">
        <v>6</v>
      </c>
      <c r="BG82" t="s">
        <v>6</v>
      </c>
      <c r="BH82">
        <v>0</v>
      </c>
      <c r="BI82">
        <v>1</v>
      </c>
      <c r="BJ82" t="s">
        <v>268</v>
      </c>
      <c r="BM82">
        <v>8001</v>
      </c>
      <c r="BN82">
        <v>0</v>
      </c>
      <c r="BO82" t="s">
        <v>6</v>
      </c>
      <c r="BP82">
        <v>0</v>
      </c>
      <c r="BQ82">
        <v>2</v>
      </c>
      <c r="BR82">
        <v>0</v>
      </c>
      <c r="BS82">
        <v>7.13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6</v>
      </c>
      <c r="BZ82">
        <v>122</v>
      </c>
      <c r="CA82">
        <v>80</v>
      </c>
      <c r="CE82">
        <v>0</v>
      </c>
      <c r="CF82">
        <v>0</v>
      </c>
      <c r="CG82">
        <v>0</v>
      </c>
      <c r="CM82">
        <v>0</v>
      </c>
      <c r="CN82" t="s">
        <v>1758</v>
      </c>
      <c r="CO82">
        <v>0</v>
      </c>
      <c r="CP82">
        <f t="shared" si="81"/>
        <v>1831.75</v>
      </c>
      <c r="CQ82">
        <f t="shared" si="82"/>
        <v>6406.1624000000002</v>
      </c>
      <c r="CR82">
        <f t="shared" si="83"/>
        <v>638.49149999999997</v>
      </c>
      <c r="CS82">
        <f t="shared" si="84"/>
        <v>20.677</v>
      </c>
      <c r="CT82">
        <f t="shared" si="85"/>
        <v>1653.0905</v>
      </c>
      <c r="CU82">
        <f t="shared" si="86"/>
        <v>0</v>
      </c>
      <c r="CV82">
        <f t="shared" si="87"/>
        <v>24.38</v>
      </c>
      <c r="CW82">
        <f t="shared" si="88"/>
        <v>0.25</v>
      </c>
      <c r="CX82">
        <f t="shared" si="89"/>
        <v>0</v>
      </c>
      <c r="CY82">
        <f t="shared" si="90"/>
        <v>387.73900000000003</v>
      </c>
      <c r="CZ82">
        <f t="shared" si="91"/>
        <v>239.69319999999999</v>
      </c>
      <c r="DC82" t="s">
        <v>6</v>
      </c>
      <c r="DD82" t="s">
        <v>6</v>
      </c>
      <c r="DE82" t="s">
        <v>81</v>
      </c>
      <c r="DF82" t="s">
        <v>81</v>
      </c>
      <c r="DG82" t="s">
        <v>82</v>
      </c>
      <c r="DH82" t="s">
        <v>6</v>
      </c>
      <c r="DI82" t="s">
        <v>82</v>
      </c>
      <c r="DJ82" t="s">
        <v>81</v>
      </c>
      <c r="DK82" t="s">
        <v>6</v>
      </c>
      <c r="DL82" t="s">
        <v>6</v>
      </c>
      <c r="DM82" t="s">
        <v>6</v>
      </c>
      <c r="DN82">
        <v>0</v>
      </c>
      <c r="DO82">
        <v>0</v>
      </c>
      <c r="DP82">
        <v>1</v>
      </c>
      <c r="DQ82">
        <v>1</v>
      </c>
      <c r="DU82">
        <v>1005</v>
      </c>
      <c r="DV82" t="s">
        <v>18</v>
      </c>
      <c r="DW82" t="s">
        <v>18</v>
      </c>
      <c r="DX82">
        <v>100</v>
      </c>
      <c r="EE82">
        <v>16609105</v>
      </c>
      <c r="EF82">
        <v>2</v>
      </c>
      <c r="EG82" t="s">
        <v>14</v>
      </c>
      <c r="EH82">
        <v>0</v>
      </c>
      <c r="EI82" t="s">
        <v>6</v>
      </c>
      <c r="EJ82">
        <v>1</v>
      </c>
      <c r="EK82">
        <v>8001</v>
      </c>
      <c r="EL82" t="s">
        <v>269</v>
      </c>
      <c r="EM82" t="s">
        <v>270</v>
      </c>
      <c r="EO82" t="s">
        <v>83</v>
      </c>
      <c r="EQ82">
        <v>131072</v>
      </c>
      <c r="ER82">
        <v>1171.73</v>
      </c>
      <c r="ES82">
        <v>898.48</v>
      </c>
      <c r="ET82">
        <v>71.64</v>
      </c>
      <c r="EU82">
        <v>2.3199999999999998</v>
      </c>
      <c r="EV82">
        <v>201.61</v>
      </c>
      <c r="EW82">
        <v>21.2</v>
      </c>
      <c r="EX82">
        <v>0.2</v>
      </c>
      <c r="EY82">
        <v>0</v>
      </c>
      <c r="FQ82">
        <v>0</v>
      </c>
      <c r="FR82">
        <f t="shared" si="92"/>
        <v>0</v>
      </c>
      <c r="FS82">
        <v>0</v>
      </c>
      <c r="FT82" t="s">
        <v>22</v>
      </c>
      <c r="FU82" t="s">
        <v>23</v>
      </c>
      <c r="FX82">
        <v>109.8</v>
      </c>
      <c r="FY82">
        <v>68</v>
      </c>
      <c r="GA82" t="s">
        <v>6</v>
      </c>
      <c r="GD82">
        <v>0</v>
      </c>
      <c r="GF82">
        <v>1759428638</v>
      </c>
      <c r="GG82">
        <v>1</v>
      </c>
      <c r="GH82">
        <v>1</v>
      </c>
      <c r="GI82">
        <v>4</v>
      </c>
      <c r="GJ82">
        <v>0</v>
      </c>
      <c r="GK82">
        <f>ROUND(R82*(R12)/100,2)</f>
        <v>0</v>
      </c>
      <c r="GL82">
        <f t="shared" si="93"/>
        <v>0</v>
      </c>
      <c r="GM82">
        <f t="shared" si="94"/>
        <v>2459.1799999999998</v>
      </c>
      <c r="GN82">
        <f t="shared" si="95"/>
        <v>2459.1799999999998</v>
      </c>
      <c r="GO82">
        <f t="shared" si="96"/>
        <v>0</v>
      </c>
      <c r="GP82">
        <f t="shared" si="97"/>
        <v>0</v>
      </c>
      <c r="GR82">
        <v>0</v>
      </c>
      <c r="GS82">
        <v>3</v>
      </c>
      <c r="GT82">
        <v>0</v>
      </c>
      <c r="GU82" t="s">
        <v>6</v>
      </c>
      <c r="GV82">
        <f t="shared" si="98"/>
        <v>0</v>
      </c>
      <c r="GW82">
        <v>1</v>
      </c>
      <c r="GX82">
        <f t="shared" si="99"/>
        <v>0</v>
      </c>
      <c r="HA82">
        <v>0</v>
      </c>
      <c r="HB82">
        <v>0</v>
      </c>
      <c r="HC82">
        <f t="shared" si="100"/>
        <v>0</v>
      </c>
      <c r="IK82">
        <v>0</v>
      </c>
    </row>
    <row r="83" spans="1:245" x14ac:dyDescent="0.2">
      <c r="A83">
        <v>17</v>
      </c>
      <c r="B83">
        <v>1</v>
      </c>
      <c r="C83">
        <f>ROW(SmtRes!A176)</f>
        <v>176</v>
      </c>
      <c r="D83">
        <f>ROW(EtalonRes!A184)</f>
        <v>184</v>
      </c>
      <c r="E83" t="s">
        <v>271</v>
      </c>
      <c r="F83" t="s">
        <v>272</v>
      </c>
      <c r="G83" t="s">
        <v>273</v>
      </c>
      <c r="H83" t="s">
        <v>203</v>
      </c>
      <c r="I83">
        <v>0.67</v>
      </c>
      <c r="J83">
        <v>0</v>
      </c>
      <c r="O83">
        <f t="shared" si="65"/>
        <v>999.84</v>
      </c>
      <c r="P83">
        <f t="shared" si="66"/>
        <v>588.67999999999995</v>
      </c>
      <c r="Q83">
        <f t="shared" si="67"/>
        <v>180.57</v>
      </c>
      <c r="R83">
        <f t="shared" si="68"/>
        <v>28.23</v>
      </c>
      <c r="S83">
        <f t="shared" si="69"/>
        <v>230.59</v>
      </c>
      <c r="T83">
        <f t="shared" si="70"/>
        <v>0</v>
      </c>
      <c r="U83">
        <f t="shared" si="71"/>
        <v>3.8910249999999995</v>
      </c>
      <c r="V83">
        <f t="shared" si="72"/>
        <v>0.29312500000000002</v>
      </c>
      <c r="W83">
        <f t="shared" si="73"/>
        <v>0</v>
      </c>
      <c r="X83">
        <f t="shared" si="74"/>
        <v>284.7</v>
      </c>
      <c r="Y83">
        <f t="shared" si="75"/>
        <v>176</v>
      </c>
      <c r="AA83">
        <v>16630606</v>
      </c>
      <c r="AB83">
        <f t="shared" si="76"/>
        <v>209.3</v>
      </c>
      <c r="AC83">
        <f t="shared" si="103"/>
        <v>123.23</v>
      </c>
      <c r="AD83">
        <f>ROUND(((((ET83*1.25))-((EU83*1.25)))+AE83),2)</f>
        <v>37.799999999999997</v>
      </c>
      <c r="AE83">
        <f>ROUND(((EU83*1.25)),2)</f>
        <v>5.91</v>
      </c>
      <c r="AF83">
        <f>ROUND(((EV83*1.15)),2)</f>
        <v>48.27</v>
      </c>
      <c r="AG83">
        <f t="shared" si="78"/>
        <v>0</v>
      </c>
      <c r="AH83">
        <f>((EW83*1.15))</f>
        <v>5.8074999999999992</v>
      </c>
      <c r="AI83">
        <f>((EX83*1.25))</f>
        <v>0.4375</v>
      </c>
      <c r="AJ83">
        <f t="shared" si="80"/>
        <v>0</v>
      </c>
      <c r="AK83">
        <v>195.44</v>
      </c>
      <c r="AL83">
        <v>123.23</v>
      </c>
      <c r="AM83">
        <v>30.24</v>
      </c>
      <c r="AN83">
        <v>4.7300000000000004</v>
      </c>
      <c r="AO83">
        <v>41.97</v>
      </c>
      <c r="AP83">
        <v>0</v>
      </c>
      <c r="AQ83">
        <v>5.05</v>
      </c>
      <c r="AR83">
        <v>0.35</v>
      </c>
      <c r="AS83">
        <v>0</v>
      </c>
      <c r="AT83">
        <v>110</v>
      </c>
      <c r="AU83">
        <v>68</v>
      </c>
      <c r="AV83">
        <v>1</v>
      </c>
      <c r="AW83">
        <v>1</v>
      </c>
      <c r="AZ83">
        <v>7.13</v>
      </c>
      <c r="BA83">
        <v>7.13</v>
      </c>
      <c r="BB83">
        <v>7.13</v>
      </c>
      <c r="BC83">
        <v>7.13</v>
      </c>
      <c r="BD83" t="s">
        <v>6</v>
      </c>
      <c r="BE83" t="s">
        <v>6</v>
      </c>
      <c r="BF83" t="s">
        <v>6</v>
      </c>
      <c r="BG83" t="s">
        <v>6</v>
      </c>
      <c r="BH83">
        <v>0</v>
      </c>
      <c r="BI83">
        <v>1</v>
      </c>
      <c r="BJ83" t="s">
        <v>274</v>
      </c>
      <c r="BM83">
        <v>8001</v>
      </c>
      <c r="BN83">
        <v>0</v>
      </c>
      <c r="BO83" t="s">
        <v>6</v>
      </c>
      <c r="BP83">
        <v>0</v>
      </c>
      <c r="BQ83">
        <v>2</v>
      </c>
      <c r="BR83">
        <v>0</v>
      </c>
      <c r="BS83">
        <v>7.13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122</v>
      </c>
      <c r="CA83">
        <v>80</v>
      </c>
      <c r="CE83">
        <v>0</v>
      </c>
      <c r="CF83">
        <v>0</v>
      </c>
      <c r="CG83">
        <v>0</v>
      </c>
      <c r="CM83">
        <v>0</v>
      </c>
      <c r="CN83" t="s">
        <v>1758</v>
      </c>
      <c r="CO83">
        <v>0</v>
      </c>
      <c r="CP83">
        <f t="shared" si="81"/>
        <v>999.84</v>
      </c>
      <c r="CQ83">
        <f t="shared" si="82"/>
        <v>878.62990000000002</v>
      </c>
      <c r="CR83">
        <f t="shared" si="83"/>
        <v>269.51399999999995</v>
      </c>
      <c r="CS83">
        <f t="shared" si="84"/>
        <v>42.138300000000001</v>
      </c>
      <c r="CT83">
        <f t="shared" si="85"/>
        <v>344.1651</v>
      </c>
      <c r="CU83">
        <f t="shared" si="86"/>
        <v>0</v>
      </c>
      <c r="CV83">
        <f t="shared" si="87"/>
        <v>5.8074999999999992</v>
      </c>
      <c r="CW83">
        <f t="shared" si="88"/>
        <v>0.4375</v>
      </c>
      <c r="CX83">
        <f t="shared" si="89"/>
        <v>0</v>
      </c>
      <c r="CY83">
        <f t="shared" si="90"/>
        <v>284.702</v>
      </c>
      <c r="CZ83">
        <f t="shared" si="91"/>
        <v>175.99759999999998</v>
      </c>
      <c r="DC83" t="s">
        <v>6</v>
      </c>
      <c r="DD83" t="s">
        <v>6</v>
      </c>
      <c r="DE83" t="s">
        <v>81</v>
      </c>
      <c r="DF83" t="s">
        <v>81</v>
      </c>
      <c r="DG83" t="s">
        <v>82</v>
      </c>
      <c r="DH83" t="s">
        <v>6</v>
      </c>
      <c r="DI83" t="s">
        <v>82</v>
      </c>
      <c r="DJ83" t="s">
        <v>81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1007</v>
      </c>
      <c r="DV83" t="s">
        <v>203</v>
      </c>
      <c r="DW83" t="s">
        <v>203</v>
      </c>
      <c r="DX83">
        <v>1</v>
      </c>
      <c r="EE83">
        <v>16609105</v>
      </c>
      <c r="EF83">
        <v>2</v>
      </c>
      <c r="EG83" t="s">
        <v>14</v>
      </c>
      <c r="EH83">
        <v>0</v>
      </c>
      <c r="EI83" t="s">
        <v>6</v>
      </c>
      <c r="EJ83">
        <v>1</v>
      </c>
      <c r="EK83">
        <v>8001</v>
      </c>
      <c r="EL83" t="s">
        <v>269</v>
      </c>
      <c r="EM83" t="s">
        <v>270</v>
      </c>
      <c r="EO83" t="s">
        <v>83</v>
      </c>
      <c r="EQ83">
        <v>131072</v>
      </c>
      <c r="ER83">
        <v>195.44</v>
      </c>
      <c r="ES83">
        <v>123.23</v>
      </c>
      <c r="ET83">
        <v>30.24</v>
      </c>
      <c r="EU83">
        <v>4.7300000000000004</v>
      </c>
      <c r="EV83">
        <v>41.97</v>
      </c>
      <c r="EW83">
        <v>5.05</v>
      </c>
      <c r="EX83">
        <v>0.35</v>
      </c>
      <c r="EY83">
        <v>0</v>
      </c>
      <c r="FQ83">
        <v>0</v>
      </c>
      <c r="FR83">
        <f t="shared" si="92"/>
        <v>0</v>
      </c>
      <c r="FS83">
        <v>0</v>
      </c>
      <c r="FT83" t="s">
        <v>22</v>
      </c>
      <c r="FU83" t="s">
        <v>23</v>
      </c>
      <c r="FX83">
        <v>109.8</v>
      </c>
      <c r="FY83">
        <v>68</v>
      </c>
      <c r="GA83" t="s">
        <v>6</v>
      </c>
      <c r="GD83">
        <v>0</v>
      </c>
      <c r="GF83">
        <v>-634529184</v>
      </c>
      <c r="GG83">
        <v>1</v>
      </c>
      <c r="GH83">
        <v>1</v>
      </c>
      <c r="GI83">
        <v>4</v>
      </c>
      <c r="GJ83">
        <v>0</v>
      </c>
      <c r="GK83">
        <f>ROUND(R83*(R12)/100,2)</f>
        <v>0</v>
      </c>
      <c r="GL83">
        <f t="shared" si="93"/>
        <v>0</v>
      </c>
      <c r="GM83">
        <f t="shared" si="94"/>
        <v>1460.54</v>
      </c>
      <c r="GN83">
        <f t="shared" si="95"/>
        <v>1460.54</v>
      </c>
      <c r="GO83">
        <f t="shared" si="96"/>
        <v>0</v>
      </c>
      <c r="GP83">
        <f t="shared" si="97"/>
        <v>0</v>
      </c>
      <c r="GR83">
        <v>0</v>
      </c>
      <c r="GS83">
        <v>3</v>
      </c>
      <c r="GT83">
        <v>0</v>
      </c>
      <c r="GU83" t="s">
        <v>6</v>
      </c>
      <c r="GV83">
        <f t="shared" si="98"/>
        <v>0</v>
      </c>
      <c r="GW83">
        <v>1</v>
      </c>
      <c r="GX83">
        <f t="shared" si="99"/>
        <v>0</v>
      </c>
      <c r="HA83">
        <v>0</v>
      </c>
      <c r="HB83">
        <v>0</v>
      </c>
      <c r="HC83">
        <f t="shared" si="100"/>
        <v>0</v>
      </c>
      <c r="IK83">
        <v>0</v>
      </c>
    </row>
    <row r="84" spans="1:245" x14ac:dyDescent="0.2">
      <c r="A84">
        <v>18</v>
      </c>
      <c r="B84">
        <v>1</v>
      </c>
      <c r="C84">
        <v>175</v>
      </c>
      <c r="E84" t="s">
        <v>275</v>
      </c>
      <c r="F84" t="s">
        <v>276</v>
      </c>
      <c r="G84" t="s">
        <v>277</v>
      </c>
      <c r="H84" t="s">
        <v>278</v>
      </c>
      <c r="I84">
        <f>I83*J84</f>
        <v>0.26465</v>
      </c>
      <c r="J84">
        <v>0.39499999999999996</v>
      </c>
      <c r="O84">
        <f t="shared" si="65"/>
        <v>3552.34</v>
      </c>
      <c r="P84">
        <f t="shared" si="66"/>
        <v>3552.34</v>
      </c>
      <c r="Q84">
        <f t="shared" si="67"/>
        <v>0</v>
      </c>
      <c r="R84">
        <f t="shared" si="68"/>
        <v>0</v>
      </c>
      <c r="S84">
        <f t="shared" si="69"/>
        <v>0</v>
      </c>
      <c r="T84">
        <f t="shared" si="70"/>
        <v>0</v>
      </c>
      <c r="U84">
        <f t="shared" si="71"/>
        <v>0</v>
      </c>
      <c r="V84">
        <f t="shared" si="72"/>
        <v>0</v>
      </c>
      <c r="W84">
        <f t="shared" si="73"/>
        <v>0</v>
      </c>
      <c r="X84">
        <f t="shared" si="74"/>
        <v>0</v>
      </c>
      <c r="Y84">
        <f t="shared" si="75"/>
        <v>0</v>
      </c>
      <c r="AA84">
        <v>16630606</v>
      </c>
      <c r="AB84">
        <f t="shared" si="76"/>
        <v>1882.58</v>
      </c>
      <c r="AC84">
        <f t="shared" si="103"/>
        <v>1882.58</v>
      </c>
      <c r="AD84">
        <f>ROUND((((ET84)-(EU84))+AE84),2)</f>
        <v>0</v>
      </c>
      <c r="AE84">
        <f>ROUND((EU84),2)</f>
        <v>0</v>
      </c>
      <c r="AF84">
        <f>ROUND((EV84),2)</f>
        <v>0</v>
      </c>
      <c r="AG84">
        <f t="shared" si="78"/>
        <v>0</v>
      </c>
      <c r="AH84">
        <f>(EW84)</f>
        <v>0</v>
      </c>
      <c r="AI84">
        <f>(EX84)</f>
        <v>0</v>
      </c>
      <c r="AJ84">
        <f t="shared" si="80"/>
        <v>0</v>
      </c>
      <c r="AK84">
        <v>1882.58</v>
      </c>
      <c r="AL84">
        <v>1882.58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110</v>
      </c>
      <c r="AU84">
        <v>68</v>
      </c>
      <c r="AV84">
        <v>1</v>
      </c>
      <c r="AW84">
        <v>1</v>
      </c>
      <c r="AZ84">
        <v>7.13</v>
      </c>
      <c r="BA84">
        <v>1</v>
      </c>
      <c r="BB84">
        <v>1</v>
      </c>
      <c r="BC84">
        <v>7.13</v>
      </c>
      <c r="BD84" t="s">
        <v>6</v>
      </c>
      <c r="BE84" t="s">
        <v>6</v>
      </c>
      <c r="BF84" t="s">
        <v>6</v>
      </c>
      <c r="BG84" t="s">
        <v>6</v>
      </c>
      <c r="BH84">
        <v>3</v>
      </c>
      <c r="BI84">
        <v>1</v>
      </c>
      <c r="BJ84" t="s">
        <v>279</v>
      </c>
      <c r="BM84">
        <v>8001</v>
      </c>
      <c r="BN84">
        <v>0</v>
      </c>
      <c r="BO84" t="s">
        <v>6</v>
      </c>
      <c r="BP84">
        <v>0</v>
      </c>
      <c r="BQ84">
        <v>2</v>
      </c>
      <c r="BR84">
        <v>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6</v>
      </c>
      <c r="BZ84">
        <v>122</v>
      </c>
      <c r="CA84">
        <v>80</v>
      </c>
      <c r="CE84">
        <v>0</v>
      </c>
      <c r="CF84">
        <v>0</v>
      </c>
      <c r="CG84">
        <v>0</v>
      </c>
      <c r="CM84">
        <v>0</v>
      </c>
      <c r="CN84" t="s">
        <v>6</v>
      </c>
      <c r="CO84">
        <v>0</v>
      </c>
      <c r="CP84">
        <f t="shared" si="81"/>
        <v>3552.34</v>
      </c>
      <c r="CQ84">
        <f t="shared" si="82"/>
        <v>13422.795399999999</v>
      </c>
      <c r="CR84">
        <f t="shared" si="83"/>
        <v>0</v>
      </c>
      <c r="CS84">
        <f t="shared" si="84"/>
        <v>0</v>
      </c>
      <c r="CT84">
        <f t="shared" si="85"/>
        <v>0</v>
      </c>
      <c r="CU84">
        <f t="shared" si="86"/>
        <v>0</v>
      </c>
      <c r="CV84">
        <f t="shared" si="87"/>
        <v>0</v>
      </c>
      <c r="CW84">
        <f t="shared" si="88"/>
        <v>0</v>
      </c>
      <c r="CX84">
        <f t="shared" si="89"/>
        <v>0</v>
      </c>
      <c r="CY84">
        <f t="shared" si="90"/>
        <v>0</v>
      </c>
      <c r="CZ84">
        <f t="shared" si="91"/>
        <v>0</v>
      </c>
      <c r="DC84" t="s">
        <v>6</v>
      </c>
      <c r="DD84" t="s">
        <v>6</v>
      </c>
      <c r="DE84" t="s">
        <v>6</v>
      </c>
      <c r="DF84" t="s">
        <v>6</v>
      </c>
      <c r="DG84" t="s">
        <v>6</v>
      </c>
      <c r="DH84" t="s">
        <v>6</v>
      </c>
      <c r="DI84" t="s">
        <v>6</v>
      </c>
      <c r="DJ84" t="s">
        <v>6</v>
      </c>
      <c r="DK84" t="s">
        <v>6</v>
      </c>
      <c r="DL84" t="s">
        <v>6</v>
      </c>
      <c r="DM84" t="s">
        <v>6</v>
      </c>
      <c r="DN84">
        <v>0</v>
      </c>
      <c r="DO84">
        <v>0</v>
      </c>
      <c r="DP84">
        <v>1</v>
      </c>
      <c r="DQ84">
        <v>1</v>
      </c>
      <c r="DU84">
        <v>1010</v>
      </c>
      <c r="DV84" t="s">
        <v>278</v>
      </c>
      <c r="DW84" t="s">
        <v>278</v>
      </c>
      <c r="DX84">
        <v>1000</v>
      </c>
      <c r="EE84">
        <v>16609105</v>
      </c>
      <c r="EF84">
        <v>2</v>
      </c>
      <c r="EG84" t="s">
        <v>14</v>
      </c>
      <c r="EH84">
        <v>0</v>
      </c>
      <c r="EI84" t="s">
        <v>6</v>
      </c>
      <c r="EJ84">
        <v>1</v>
      </c>
      <c r="EK84">
        <v>8001</v>
      </c>
      <c r="EL84" t="s">
        <v>269</v>
      </c>
      <c r="EM84" t="s">
        <v>270</v>
      </c>
      <c r="EO84" t="s">
        <v>6</v>
      </c>
      <c r="EQ84">
        <v>0</v>
      </c>
      <c r="ER84">
        <v>1882.58</v>
      </c>
      <c r="ES84">
        <v>1882.58</v>
      </c>
      <c r="ET84">
        <v>0</v>
      </c>
      <c r="EU84">
        <v>0</v>
      </c>
      <c r="EV84">
        <v>0</v>
      </c>
      <c r="EW84">
        <v>0</v>
      </c>
      <c r="EX84">
        <v>0</v>
      </c>
      <c r="FQ84">
        <v>0</v>
      </c>
      <c r="FR84">
        <f t="shared" si="92"/>
        <v>0</v>
      </c>
      <c r="FS84">
        <v>0</v>
      </c>
      <c r="FT84" t="s">
        <v>22</v>
      </c>
      <c r="FU84" t="s">
        <v>23</v>
      </c>
      <c r="FX84">
        <v>109.8</v>
      </c>
      <c r="FY84">
        <v>68</v>
      </c>
      <c r="GA84" t="s">
        <v>6</v>
      </c>
      <c r="GD84">
        <v>0</v>
      </c>
      <c r="GF84">
        <v>1593203468</v>
      </c>
      <c r="GG84">
        <v>1</v>
      </c>
      <c r="GH84">
        <v>1</v>
      </c>
      <c r="GI84">
        <v>4</v>
      </c>
      <c r="GJ84">
        <v>0</v>
      </c>
      <c r="GK84">
        <f>ROUND(R84*(R12)/100,2)</f>
        <v>0</v>
      </c>
      <c r="GL84">
        <f t="shared" si="93"/>
        <v>0</v>
      </c>
      <c r="GM84">
        <f t="shared" si="94"/>
        <v>3552.34</v>
      </c>
      <c r="GN84">
        <f t="shared" si="95"/>
        <v>3552.34</v>
      </c>
      <c r="GO84">
        <f t="shared" si="96"/>
        <v>0</v>
      </c>
      <c r="GP84">
        <f t="shared" si="97"/>
        <v>0</v>
      </c>
      <c r="GR84">
        <v>0</v>
      </c>
      <c r="GS84">
        <v>3</v>
      </c>
      <c r="GT84">
        <v>0</v>
      </c>
      <c r="GU84" t="s">
        <v>6</v>
      </c>
      <c r="GV84">
        <f t="shared" si="98"/>
        <v>0</v>
      </c>
      <c r="GW84">
        <v>1</v>
      </c>
      <c r="GX84">
        <f t="shared" si="99"/>
        <v>0</v>
      </c>
      <c r="HA84">
        <v>0</v>
      </c>
      <c r="HB84">
        <v>0</v>
      </c>
      <c r="HC84">
        <f t="shared" si="100"/>
        <v>0</v>
      </c>
      <c r="IK84">
        <v>0</v>
      </c>
    </row>
    <row r="85" spans="1:245" x14ac:dyDescent="0.2">
      <c r="A85">
        <v>17</v>
      </c>
      <c r="B85">
        <v>1</v>
      </c>
      <c r="C85">
        <f>ROW(SmtRes!A183)</f>
        <v>183</v>
      </c>
      <c r="D85">
        <f>ROW(EtalonRes!A191)</f>
        <v>191</v>
      </c>
      <c r="E85" t="s">
        <v>280</v>
      </c>
      <c r="F85" t="s">
        <v>281</v>
      </c>
      <c r="G85" t="s">
        <v>282</v>
      </c>
      <c r="H85" t="s">
        <v>18</v>
      </c>
      <c r="I85">
        <f>ROUND(192.7/100,9)</f>
        <v>1.927</v>
      </c>
      <c r="J85">
        <v>0</v>
      </c>
      <c r="O85">
        <f t="shared" si="65"/>
        <v>5157.95</v>
      </c>
      <c r="P85">
        <f t="shared" si="66"/>
        <v>0</v>
      </c>
      <c r="Q85">
        <f t="shared" si="67"/>
        <v>1033.76</v>
      </c>
      <c r="R85">
        <f t="shared" si="68"/>
        <v>174.49</v>
      </c>
      <c r="S85">
        <f t="shared" si="69"/>
        <v>4124.1899999999996</v>
      </c>
      <c r="T85">
        <f t="shared" si="70"/>
        <v>0</v>
      </c>
      <c r="U85">
        <f t="shared" si="71"/>
        <v>69.606130499999992</v>
      </c>
      <c r="V85">
        <f t="shared" si="72"/>
        <v>1.9751749999999999</v>
      </c>
      <c r="W85">
        <f t="shared" si="73"/>
        <v>0</v>
      </c>
      <c r="X85">
        <f t="shared" si="74"/>
        <v>4771.53</v>
      </c>
      <c r="Y85">
        <f t="shared" si="75"/>
        <v>2751.16</v>
      </c>
      <c r="AA85">
        <v>16630606</v>
      </c>
      <c r="AB85">
        <f t="shared" si="76"/>
        <v>375.41</v>
      </c>
      <c r="AC85">
        <f t="shared" si="103"/>
        <v>0</v>
      </c>
      <c r="AD85">
        <f>ROUND(((((ET85*1.25))-((EU85*1.25)))+AE85),2)</f>
        <v>75.239999999999995</v>
      </c>
      <c r="AE85">
        <f>ROUND(((EU85*1.25)),2)</f>
        <v>12.7</v>
      </c>
      <c r="AF85">
        <f>ROUND(((EV85*1.15)),2)</f>
        <v>300.17</v>
      </c>
      <c r="AG85">
        <f t="shared" si="78"/>
        <v>0</v>
      </c>
      <c r="AH85">
        <f>((EW85*1.15))</f>
        <v>36.121499999999997</v>
      </c>
      <c r="AI85">
        <f>((EX85*1.25))</f>
        <v>1.0249999999999999</v>
      </c>
      <c r="AJ85">
        <f t="shared" si="80"/>
        <v>0</v>
      </c>
      <c r="AK85">
        <v>321.20999999999998</v>
      </c>
      <c r="AL85">
        <v>0</v>
      </c>
      <c r="AM85">
        <v>60.19</v>
      </c>
      <c r="AN85">
        <v>10.16</v>
      </c>
      <c r="AO85">
        <v>261.02</v>
      </c>
      <c r="AP85">
        <v>0</v>
      </c>
      <c r="AQ85">
        <v>31.41</v>
      </c>
      <c r="AR85">
        <v>0.82</v>
      </c>
      <c r="AS85">
        <v>0</v>
      </c>
      <c r="AT85">
        <v>111</v>
      </c>
      <c r="AU85">
        <v>64</v>
      </c>
      <c r="AV85">
        <v>1</v>
      </c>
      <c r="AW85">
        <v>1</v>
      </c>
      <c r="AZ85">
        <v>7.13</v>
      </c>
      <c r="BA85">
        <v>7.13</v>
      </c>
      <c r="BB85">
        <v>7.13</v>
      </c>
      <c r="BC85">
        <v>7.13</v>
      </c>
      <c r="BD85" t="s">
        <v>6</v>
      </c>
      <c r="BE85" t="s">
        <v>6</v>
      </c>
      <c r="BF85" t="s">
        <v>6</v>
      </c>
      <c r="BG85" t="s">
        <v>6</v>
      </c>
      <c r="BH85">
        <v>0</v>
      </c>
      <c r="BI85">
        <v>1</v>
      </c>
      <c r="BJ85" t="s">
        <v>283</v>
      </c>
      <c r="BM85">
        <v>11001</v>
      </c>
      <c r="BN85">
        <v>0</v>
      </c>
      <c r="BO85" t="s">
        <v>6</v>
      </c>
      <c r="BP85">
        <v>0</v>
      </c>
      <c r="BQ85">
        <v>2</v>
      </c>
      <c r="BR85">
        <v>0</v>
      </c>
      <c r="BS85">
        <v>7.13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123</v>
      </c>
      <c r="CA85">
        <v>75</v>
      </c>
      <c r="CE85">
        <v>0</v>
      </c>
      <c r="CF85">
        <v>0</v>
      </c>
      <c r="CG85">
        <v>0</v>
      </c>
      <c r="CM85">
        <v>0</v>
      </c>
      <c r="CN85" t="s">
        <v>1758</v>
      </c>
      <c r="CO85">
        <v>0</v>
      </c>
      <c r="CP85">
        <f t="shared" si="81"/>
        <v>5157.95</v>
      </c>
      <c r="CQ85">
        <f t="shared" si="82"/>
        <v>0</v>
      </c>
      <c r="CR85">
        <f t="shared" si="83"/>
        <v>536.46119999999996</v>
      </c>
      <c r="CS85">
        <f t="shared" si="84"/>
        <v>90.550999999999988</v>
      </c>
      <c r="CT85">
        <f t="shared" si="85"/>
        <v>2140.2121000000002</v>
      </c>
      <c r="CU85">
        <f t="shared" si="86"/>
        <v>0</v>
      </c>
      <c r="CV85">
        <f t="shared" si="87"/>
        <v>36.121499999999997</v>
      </c>
      <c r="CW85">
        <f t="shared" si="88"/>
        <v>1.0249999999999999</v>
      </c>
      <c r="CX85">
        <f t="shared" si="89"/>
        <v>0</v>
      </c>
      <c r="CY85">
        <f t="shared" si="90"/>
        <v>4771.5347999999994</v>
      </c>
      <c r="CZ85">
        <f t="shared" si="91"/>
        <v>2751.1551999999997</v>
      </c>
      <c r="DC85" t="s">
        <v>6</v>
      </c>
      <c r="DD85" t="s">
        <v>6</v>
      </c>
      <c r="DE85" t="s">
        <v>81</v>
      </c>
      <c r="DF85" t="s">
        <v>81</v>
      </c>
      <c r="DG85" t="s">
        <v>82</v>
      </c>
      <c r="DH85" t="s">
        <v>6</v>
      </c>
      <c r="DI85" t="s">
        <v>82</v>
      </c>
      <c r="DJ85" t="s">
        <v>81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1005</v>
      </c>
      <c r="DV85" t="s">
        <v>18</v>
      </c>
      <c r="DW85" t="s">
        <v>18</v>
      </c>
      <c r="DX85">
        <v>100</v>
      </c>
      <c r="EE85">
        <v>16609108</v>
      </c>
      <c r="EF85">
        <v>2</v>
      </c>
      <c r="EG85" t="s">
        <v>14</v>
      </c>
      <c r="EH85">
        <v>0</v>
      </c>
      <c r="EI85" t="s">
        <v>6</v>
      </c>
      <c r="EJ85">
        <v>1</v>
      </c>
      <c r="EK85">
        <v>11001</v>
      </c>
      <c r="EL85" t="s">
        <v>40</v>
      </c>
      <c r="EM85" t="s">
        <v>146</v>
      </c>
      <c r="EO85" t="s">
        <v>83</v>
      </c>
      <c r="EQ85">
        <v>131072</v>
      </c>
      <c r="ER85">
        <v>321.20999999999998</v>
      </c>
      <c r="ES85">
        <v>0</v>
      </c>
      <c r="ET85">
        <v>60.19</v>
      </c>
      <c r="EU85">
        <v>10.16</v>
      </c>
      <c r="EV85">
        <v>261.02</v>
      </c>
      <c r="EW85">
        <v>31.41</v>
      </c>
      <c r="EX85">
        <v>0.82</v>
      </c>
      <c r="EY85">
        <v>0</v>
      </c>
      <c r="FQ85">
        <v>0</v>
      </c>
      <c r="FR85">
        <f t="shared" si="92"/>
        <v>0</v>
      </c>
      <c r="FS85">
        <v>0</v>
      </c>
      <c r="FT85" t="s">
        <v>22</v>
      </c>
      <c r="FU85" t="s">
        <v>23</v>
      </c>
      <c r="FX85">
        <v>110.7</v>
      </c>
      <c r="FY85">
        <v>63.75</v>
      </c>
      <c r="GA85" t="s">
        <v>6</v>
      </c>
      <c r="GD85">
        <v>0</v>
      </c>
      <c r="GF85">
        <v>1445910452</v>
      </c>
      <c r="GG85">
        <v>1</v>
      </c>
      <c r="GH85">
        <v>1</v>
      </c>
      <c r="GI85">
        <v>4</v>
      </c>
      <c r="GJ85">
        <v>0</v>
      </c>
      <c r="GK85">
        <f>ROUND(R85*(R12)/100,2)</f>
        <v>0</v>
      </c>
      <c r="GL85">
        <f t="shared" si="93"/>
        <v>0</v>
      </c>
      <c r="GM85">
        <f t="shared" si="94"/>
        <v>12680.64</v>
      </c>
      <c r="GN85">
        <f t="shared" si="95"/>
        <v>12680.64</v>
      </c>
      <c r="GO85">
        <f t="shared" si="96"/>
        <v>0</v>
      </c>
      <c r="GP85">
        <f t="shared" si="97"/>
        <v>0</v>
      </c>
      <c r="GR85">
        <v>0</v>
      </c>
      <c r="GS85">
        <v>3</v>
      </c>
      <c r="GT85">
        <v>0</v>
      </c>
      <c r="GU85" t="s">
        <v>6</v>
      </c>
      <c r="GV85">
        <f t="shared" si="98"/>
        <v>0</v>
      </c>
      <c r="GW85">
        <v>1</v>
      </c>
      <c r="GX85">
        <f t="shared" si="99"/>
        <v>0</v>
      </c>
      <c r="HA85">
        <v>0</v>
      </c>
      <c r="HB85">
        <v>0</v>
      </c>
      <c r="HC85">
        <f t="shared" si="100"/>
        <v>0</v>
      </c>
      <c r="IK85">
        <v>0</v>
      </c>
    </row>
    <row r="86" spans="1:245" x14ac:dyDescent="0.2">
      <c r="A86">
        <v>18</v>
      </c>
      <c r="B86">
        <v>1</v>
      </c>
      <c r="C86">
        <v>183</v>
      </c>
      <c r="E86" t="s">
        <v>284</v>
      </c>
      <c r="F86" t="s">
        <v>285</v>
      </c>
      <c r="G86" t="s">
        <v>286</v>
      </c>
      <c r="H86" t="s">
        <v>57</v>
      </c>
      <c r="I86">
        <f>I85*J86</f>
        <v>1.31036</v>
      </c>
      <c r="J86">
        <v>0.67999999999999994</v>
      </c>
      <c r="O86">
        <f t="shared" si="65"/>
        <v>928.68</v>
      </c>
      <c r="P86">
        <f t="shared" si="66"/>
        <v>928.68</v>
      </c>
      <c r="Q86">
        <f t="shared" si="67"/>
        <v>0</v>
      </c>
      <c r="R86">
        <f t="shared" si="68"/>
        <v>0</v>
      </c>
      <c r="S86">
        <f t="shared" si="69"/>
        <v>0</v>
      </c>
      <c r="T86">
        <f t="shared" si="70"/>
        <v>0</v>
      </c>
      <c r="U86">
        <f t="shared" si="71"/>
        <v>0</v>
      </c>
      <c r="V86">
        <f t="shared" si="72"/>
        <v>0</v>
      </c>
      <c r="W86">
        <f t="shared" si="73"/>
        <v>0</v>
      </c>
      <c r="X86">
        <f t="shared" si="74"/>
        <v>0</v>
      </c>
      <c r="Y86">
        <f t="shared" si="75"/>
        <v>0</v>
      </c>
      <c r="AA86">
        <v>16630606</v>
      </c>
      <c r="AB86">
        <f t="shared" si="76"/>
        <v>99.4</v>
      </c>
      <c r="AC86">
        <f t="shared" si="103"/>
        <v>99.4</v>
      </c>
      <c r="AD86">
        <f>ROUND((((ET86)-(EU86))+AE86),2)</f>
        <v>0</v>
      </c>
      <c r="AE86">
        <f>ROUND((EU86),2)</f>
        <v>0</v>
      </c>
      <c r="AF86">
        <f>ROUND((EV86),2)</f>
        <v>0</v>
      </c>
      <c r="AG86">
        <f t="shared" si="78"/>
        <v>0</v>
      </c>
      <c r="AH86">
        <f>(EW86)</f>
        <v>0</v>
      </c>
      <c r="AI86">
        <f>(EX86)</f>
        <v>0</v>
      </c>
      <c r="AJ86">
        <f t="shared" si="80"/>
        <v>0</v>
      </c>
      <c r="AK86">
        <v>99.4</v>
      </c>
      <c r="AL86">
        <v>99.4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111</v>
      </c>
      <c r="AU86">
        <v>64</v>
      </c>
      <c r="AV86">
        <v>1</v>
      </c>
      <c r="AW86">
        <v>1</v>
      </c>
      <c r="AZ86">
        <v>7.13</v>
      </c>
      <c r="BA86">
        <v>1</v>
      </c>
      <c r="BB86">
        <v>1</v>
      </c>
      <c r="BC86">
        <v>7.13</v>
      </c>
      <c r="BD86" t="s">
        <v>6</v>
      </c>
      <c r="BE86" t="s">
        <v>6</v>
      </c>
      <c r="BF86" t="s">
        <v>6</v>
      </c>
      <c r="BG86" t="s">
        <v>6</v>
      </c>
      <c r="BH86">
        <v>3</v>
      </c>
      <c r="BI86">
        <v>1</v>
      </c>
      <c r="BJ86" t="s">
        <v>287</v>
      </c>
      <c r="BM86">
        <v>11001</v>
      </c>
      <c r="BN86">
        <v>0</v>
      </c>
      <c r="BO86" t="s">
        <v>6</v>
      </c>
      <c r="BP86">
        <v>0</v>
      </c>
      <c r="BQ86">
        <v>2</v>
      </c>
      <c r="BR86">
        <v>0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6</v>
      </c>
      <c r="BZ86">
        <v>123</v>
      </c>
      <c r="CA86">
        <v>75</v>
      </c>
      <c r="CE86">
        <v>0</v>
      </c>
      <c r="CF86">
        <v>0</v>
      </c>
      <c r="CG86">
        <v>0</v>
      </c>
      <c r="CM86">
        <v>0</v>
      </c>
      <c r="CN86" t="s">
        <v>6</v>
      </c>
      <c r="CO86">
        <v>0</v>
      </c>
      <c r="CP86">
        <f t="shared" si="81"/>
        <v>928.68</v>
      </c>
      <c r="CQ86">
        <f t="shared" si="82"/>
        <v>708.72199999999998</v>
      </c>
      <c r="CR86">
        <f t="shared" si="83"/>
        <v>0</v>
      </c>
      <c r="CS86">
        <f t="shared" si="84"/>
        <v>0</v>
      </c>
      <c r="CT86">
        <f t="shared" si="85"/>
        <v>0</v>
      </c>
      <c r="CU86">
        <f t="shared" si="86"/>
        <v>0</v>
      </c>
      <c r="CV86">
        <f t="shared" si="87"/>
        <v>0</v>
      </c>
      <c r="CW86">
        <f t="shared" si="88"/>
        <v>0</v>
      </c>
      <c r="CX86">
        <f t="shared" si="89"/>
        <v>0</v>
      </c>
      <c r="CY86">
        <f t="shared" si="90"/>
        <v>0</v>
      </c>
      <c r="CZ86">
        <f t="shared" si="91"/>
        <v>0</v>
      </c>
      <c r="DC86" t="s">
        <v>6</v>
      </c>
      <c r="DD86" t="s">
        <v>6</v>
      </c>
      <c r="DE86" t="s">
        <v>6</v>
      </c>
      <c r="DF86" t="s">
        <v>6</v>
      </c>
      <c r="DG86" t="s">
        <v>6</v>
      </c>
      <c r="DH86" t="s">
        <v>6</v>
      </c>
      <c r="DI86" t="s">
        <v>6</v>
      </c>
      <c r="DJ86" t="s">
        <v>6</v>
      </c>
      <c r="DK86" t="s">
        <v>6</v>
      </c>
      <c r="DL86" t="s">
        <v>6</v>
      </c>
      <c r="DM86" t="s">
        <v>6</v>
      </c>
      <c r="DN86">
        <v>0</v>
      </c>
      <c r="DO86">
        <v>0</v>
      </c>
      <c r="DP86">
        <v>1</v>
      </c>
      <c r="DQ86">
        <v>1</v>
      </c>
      <c r="DU86">
        <v>1003</v>
      </c>
      <c r="DV86" t="s">
        <v>57</v>
      </c>
      <c r="DW86" t="s">
        <v>57</v>
      </c>
      <c r="DX86">
        <v>100</v>
      </c>
      <c r="EE86">
        <v>16609108</v>
      </c>
      <c r="EF86">
        <v>2</v>
      </c>
      <c r="EG86" t="s">
        <v>14</v>
      </c>
      <c r="EH86">
        <v>0</v>
      </c>
      <c r="EI86" t="s">
        <v>6</v>
      </c>
      <c r="EJ86">
        <v>1</v>
      </c>
      <c r="EK86">
        <v>11001</v>
      </c>
      <c r="EL86" t="s">
        <v>40</v>
      </c>
      <c r="EM86" t="s">
        <v>146</v>
      </c>
      <c r="EO86" t="s">
        <v>6</v>
      </c>
      <c r="EQ86">
        <v>0</v>
      </c>
      <c r="ER86">
        <v>99.4</v>
      </c>
      <c r="ES86">
        <v>99.4</v>
      </c>
      <c r="ET86">
        <v>0</v>
      </c>
      <c r="EU86">
        <v>0</v>
      </c>
      <c r="EV86">
        <v>0</v>
      </c>
      <c r="EW86">
        <v>0</v>
      </c>
      <c r="EX86">
        <v>0</v>
      </c>
      <c r="FQ86">
        <v>0</v>
      </c>
      <c r="FR86">
        <f t="shared" si="92"/>
        <v>0</v>
      </c>
      <c r="FS86">
        <v>0</v>
      </c>
      <c r="FT86" t="s">
        <v>22</v>
      </c>
      <c r="FU86" t="s">
        <v>23</v>
      </c>
      <c r="FX86">
        <v>110.7</v>
      </c>
      <c r="FY86">
        <v>63.75</v>
      </c>
      <c r="GA86" t="s">
        <v>6</v>
      </c>
      <c r="GD86">
        <v>0</v>
      </c>
      <c r="GF86">
        <v>-1119837873</v>
      </c>
      <c r="GG86">
        <v>1</v>
      </c>
      <c r="GH86">
        <v>1</v>
      </c>
      <c r="GI86">
        <v>4</v>
      </c>
      <c r="GJ86">
        <v>0</v>
      </c>
      <c r="GK86">
        <f>ROUND(R86*(R12)/100,2)</f>
        <v>0</v>
      </c>
      <c r="GL86">
        <f t="shared" si="93"/>
        <v>0</v>
      </c>
      <c r="GM86">
        <f t="shared" si="94"/>
        <v>928.68</v>
      </c>
      <c r="GN86">
        <f t="shared" si="95"/>
        <v>928.68</v>
      </c>
      <c r="GO86">
        <f t="shared" si="96"/>
        <v>0</v>
      </c>
      <c r="GP86">
        <f t="shared" si="97"/>
        <v>0</v>
      </c>
      <c r="GR86">
        <v>0</v>
      </c>
      <c r="GS86">
        <v>3</v>
      </c>
      <c r="GT86">
        <v>0</v>
      </c>
      <c r="GU86" t="s">
        <v>6</v>
      </c>
      <c r="GV86">
        <f t="shared" si="98"/>
        <v>0</v>
      </c>
      <c r="GW86">
        <v>1</v>
      </c>
      <c r="GX86">
        <f t="shared" si="99"/>
        <v>0</v>
      </c>
      <c r="HA86">
        <v>0</v>
      </c>
      <c r="HB86">
        <v>0</v>
      </c>
      <c r="HC86">
        <f t="shared" si="100"/>
        <v>0</v>
      </c>
      <c r="IK86">
        <v>0</v>
      </c>
    </row>
    <row r="87" spans="1:245" x14ac:dyDescent="0.2">
      <c r="A87">
        <v>18</v>
      </c>
      <c r="B87">
        <v>1</v>
      </c>
      <c r="C87">
        <v>182</v>
      </c>
      <c r="E87" t="s">
        <v>288</v>
      </c>
      <c r="F87" t="s">
        <v>289</v>
      </c>
      <c r="G87" t="s">
        <v>290</v>
      </c>
      <c r="H87" t="s">
        <v>87</v>
      </c>
      <c r="I87">
        <f>I85*J87</f>
        <v>196.554</v>
      </c>
      <c r="J87">
        <v>102</v>
      </c>
      <c r="O87">
        <f t="shared" si="65"/>
        <v>254121.31</v>
      </c>
      <c r="P87">
        <f t="shared" si="66"/>
        <v>254121.31</v>
      </c>
      <c r="Q87">
        <f t="shared" si="67"/>
        <v>0</v>
      </c>
      <c r="R87">
        <f t="shared" si="68"/>
        <v>0</v>
      </c>
      <c r="S87">
        <f t="shared" si="69"/>
        <v>0</v>
      </c>
      <c r="T87">
        <f t="shared" si="70"/>
        <v>0</v>
      </c>
      <c r="U87">
        <f t="shared" si="71"/>
        <v>0</v>
      </c>
      <c r="V87">
        <f t="shared" si="72"/>
        <v>0</v>
      </c>
      <c r="W87">
        <f t="shared" si="73"/>
        <v>0</v>
      </c>
      <c r="X87">
        <f t="shared" si="74"/>
        <v>0</v>
      </c>
      <c r="Y87">
        <f t="shared" si="75"/>
        <v>0</v>
      </c>
      <c r="AA87">
        <v>16630606</v>
      </c>
      <c r="AB87">
        <f t="shared" si="76"/>
        <v>181.33</v>
      </c>
      <c r="AC87">
        <f t="shared" si="103"/>
        <v>181.33</v>
      </c>
      <c r="AD87">
        <f>ROUND((((ET87)-(EU87))+AE87),2)</f>
        <v>0</v>
      </c>
      <c r="AE87">
        <f>ROUND((EU87),2)</f>
        <v>0</v>
      </c>
      <c r="AF87">
        <f>ROUND((EV87),2)</f>
        <v>0</v>
      </c>
      <c r="AG87">
        <f t="shared" si="78"/>
        <v>0</v>
      </c>
      <c r="AH87">
        <f>(EW87)</f>
        <v>0</v>
      </c>
      <c r="AI87">
        <f>(EX87)</f>
        <v>0</v>
      </c>
      <c r="AJ87">
        <f t="shared" si="80"/>
        <v>0</v>
      </c>
      <c r="AK87">
        <v>181.33</v>
      </c>
      <c r="AL87">
        <v>181.33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111</v>
      </c>
      <c r="AU87">
        <v>64</v>
      </c>
      <c r="AV87">
        <v>1</v>
      </c>
      <c r="AW87">
        <v>1</v>
      </c>
      <c r="AZ87">
        <v>7.13</v>
      </c>
      <c r="BA87">
        <v>1</v>
      </c>
      <c r="BB87">
        <v>1</v>
      </c>
      <c r="BC87">
        <v>7.13</v>
      </c>
      <c r="BD87" t="s">
        <v>6</v>
      </c>
      <c r="BE87" t="s">
        <v>6</v>
      </c>
      <c r="BF87" t="s">
        <v>6</v>
      </c>
      <c r="BG87" t="s">
        <v>6</v>
      </c>
      <c r="BH87">
        <v>3</v>
      </c>
      <c r="BI87">
        <v>1</v>
      </c>
      <c r="BJ87" t="s">
        <v>291</v>
      </c>
      <c r="BM87">
        <v>11001</v>
      </c>
      <c r="BN87">
        <v>0</v>
      </c>
      <c r="BO87" t="s">
        <v>6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123</v>
      </c>
      <c r="CA87">
        <v>75</v>
      </c>
      <c r="CE87">
        <v>0</v>
      </c>
      <c r="CF87">
        <v>0</v>
      </c>
      <c r="CG87">
        <v>0</v>
      </c>
      <c r="CM87">
        <v>0</v>
      </c>
      <c r="CN87" t="s">
        <v>6</v>
      </c>
      <c r="CO87">
        <v>0</v>
      </c>
      <c r="CP87">
        <f t="shared" si="81"/>
        <v>254121.31</v>
      </c>
      <c r="CQ87">
        <f t="shared" si="82"/>
        <v>1292.8829000000001</v>
      </c>
      <c r="CR87">
        <f t="shared" si="83"/>
        <v>0</v>
      </c>
      <c r="CS87">
        <f t="shared" si="84"/>
        <v>0</v>
      </c>
      <c r="CT87">
        <f t="shared" si="85"/>
        <v>0</v>
      </c>
      <c r="CU87">
        <f t="shared" si="86"/>
        <v>0</v>
      </c>
      <c r="CV87">
        <f t="shared" si="87"/>
        <v>0</v>
      </c>
      <c r="CW87">
        <f t="shared" si="88"/>
        <v>0</v>
      </c>
      <c r="CX87">
        <f t="shared" si="89"/>
        <v>0</v>
      </c>
      <c r="CY87">
        <f t="shared" si="90"/>
        <v>0</v>
      </c>
      <c r="CZ87">
        <f t="shared" si="91"/>
        <v>0</v>
      </c>
      <c r="DC87" t="s">
        <v>6</v>
      </c>
      <c r="DD87" t="s">
        <v>6</v>
      </c>
      <c r="DE87" t="s">
        <v>6</v>
      </c>
      <c r="DF87" t="s">
        <v>6</v>
      </c>
      <c r="DG87" t="s">
        <v>6</v>
      </c>
      <c r="DH87" t="s">
        <v>6</v>
      </c>
      <c r="DI87" t="s">
        <v>6</v>
      </c>
      <c r="DJ87" t="s">
        <v>6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1005</v>
      </c>
      <c r="DV87" t="s">
        <v>87</v>
      </c>
      <c r="DW87" t="s">
        <v>87</v>
      </c>
      <c r="DX87">
        <v>1</v>
      </c>
      <c r="EE87">
        <v>16609108</v>
      </c>
      <c r="EF87">
        <v>2</v>
      </c>
      <c r="EG87" t="s">
        <v>14</v>
      </c>
      <c r="EH87">
        <v>0</v>
      </c>
      <c r="EI87" t="s">
        <v>6</v>
      </c>
      <c r="EJ87">
        <v>1</v>
      </c>
      <c r="EK87">
        <v>11001</v>
      </c>
      <c r="EL87" t="s">
        <v>40</v>
      </c>
      <c r="EM87" t="s">
        <v>146</v>
      </c>
      <c r="EO87" t="s">
        <v>6</v>
      </c>
      <c r="EQ87">
        <v>0</v>
      </c>
      <c r="ER87">
        <v>181.33</v>
      </c>
      <c r="ES87">
        <v>181.33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92"/>
        <v>0</v>
      </c>
      <c r="FS87">
        <v>0</v>
      </c>
      <c r="FT87" t="s">
        <v>22</v>
      </c>
      <c r="FU87" t="s">
        <v>23</v>
      </c>
      <c r="FX87">
        <v>110.7</v>
      </c>
      <c r="FY87">
        <v>63.75</v>
      </c>
      <c r="GA87" t="s">
        <v>6</v>
      </c>
      <c r="GD87">
        <v>0</v>
      </c>
      <c r="GF87">
        <v>203687903</v>
      </c>
      <c r="GG87">
        <v>1</v>
      </c>
      <c r="GH87">
        <v>1</v>
      </c>
      <c r="GI87">
        <v>4</v>
      </c>
      <c r="GJ87">
        <v>0</v>
      </c>
      <c r="GK87">
        <f>ROUND(R87*(R12)/100,2)</f>
        <v>0</v>
      </c>
      <c r="GL87">
        <f t="shared" si="93"/>
        <v>0</v>
      </c>
      <c r="GM87">
        <f t="shared" si="94"/>
        <v>254121.31</v>
      </c>
      <c r="GN87">
        <f t="shared" si="95"/>
        <v>254121.31</v>
      </c>
      <c r="GO87">
        <f t="shared" si="96"/>
        <v>0</v>
      </c>
      <c r="GP87">
        <f t="shared" si="97"/>
        <v>0</v>
      </c>
      <c r="GR87">
        <v>0</v>
      </c>
      <c r="GS87">
        <v>3</v>
      </c>
      <c r="GT87">
        <v>0</v>
      </c>
      <c r="GU87" t="s">
        <v>6</v>
      </c>
      <c r="GV87">
        <f t="shared" si="98"/>
        <v>0</v>
      </c>
      <c r="GW87">
        <v>1</v>
      </c>
      <c r="GX87">
        <f t="shared" si="99"/>
        <v>0</v>
      </c>
      <c r="HA87">
        <v>0</v>
      </c>
      <c r="HB87">
        <v>0</v>
      </c>
      <c r="HC87">
        <f t="shared" si="100"/>
        <v>0</v>
      </c>
      <c r="IK87">
        <v>0</v>
      </c>
    </row>
    <row r="88" spans="1:245" x14ac:dyDescent="0.2">
      <c r="A88">
        <v>17</v>
      </c>
      <c r="B88">
        <v>1</v>
      </c>
      <c r="C88">
        <f>ROW(SmtRes!A192)</f>
        <v>192</v>
      </c>
      <c r="D88">
        <f>ROW(EtalonRes!A200)</f>
        <v>200</v>
      </c>
      <c r="E88" t="s">
        <v>292</v>
      </c>
      <c r="F88" t="s">
        <v>293</v>
      </c>
      <c r="G88" t="s">
        <v>294</v>
      </c>
      <c r="H88" t="s">
        <v>18</v>
      </c>
      <c r="I88">
        <f>ROUND(33.8/100,9)</f>
        <v>0.33800000000000002</v>
      </c>
      <c r="J88">
        <v>0</v>
      </c>
      <c r="O88">
        <f t="shared" si="65"/>
        <v>20217.330000000002</v>
      </c>
      <c r="P88">
        <f t="shared" si="66"/>
        <v>16946.34</v>
      </c>
      <c r="Q88">
        <f t="shared" si="67"/>
        <v>369.64</v>
      </c>
      <c r="R88">
        <f t="shared" si="68"/>
        <v>114.23</v>
      </c>
      <c r="S88">
        <f t="shared" si="69"/>
        <v>2901.35</v>
      </c>
      <c r="T88">
        <f t="shared" si="70"/>
        <v>0</v>
      </c>
      <c r="U88">
        <f t="shared" si="71"/>
        <v>46.558485999999995</v>
      </c>
      <c r="V88">
        <f t="shared" si="72"/>
        <v>1.2421500000000001</v>
      </c>
      <c r="W88">
        <f t="shared" si="73"/>
        <v>0</v>
      </c>
      <c r="X88">
        <f t="shared" si="74"/>
        <v>3347.29</v>
      </c>
      <c r="Y88">
        <f t="shared" si="75"/>
        <v>1929.97</v>
      </c>
      <c r="AA88">
        <v>16630606</v>
      </c>
      <c r="AB88">
        <f t="shared" si="76"/>
        <v>8389.14</v>
      </c>
      <c r="AC88">
        <f t="shared" si="103"/>
        <v>7031.85</v>
      </c>
      <c r="AD88">
        <f>ROUND(((((ET88*1.25))-((EU88*1.25)))+AE88),2)</f>
        <v>153.38</v>
      </c>
      <c r="AE88">
        <f>ROUND(((EU88*1.25)),2)</f>
        <v>47.4</v>
      </c>
      <c r="AF88">
        <f>ROUND(((EV88*1.15)),2)</f>
        <v>1203.9100000000001</v>
      </c>
      <c r="AG88">
        <f t="shared" si="78"/>
        <v>0</v>
      </c>
      <c r="AH88">
        <f>((EW88*1.15))</f>
        <v>137.74699999999999</v>
      </c>
      <c r="AI88">
        <f>((EX88*1.25))</f>
        <v>3.6749999999999998</v>
      </c>
      <c r="AJ88">
        <f t="shared" si="80"/>
        <v>0</v>
      </c>
      <c r="AK88">
        <v>8201.43</v>
      </c>
      <c r="AL88">
        <v>7031.85</v>
      </c>
      <c r="AM88">
        <v>122.7</v>
      </c>
      <c r="AN88">
        <v>37.92</v>
      </c>
      <c r="AO88">
        <v>1046.8800000000001</v>
      </c>
      <c r="AP88">
        <v>0</v>
      </c>
      <c r="AQ88">
        <v>119.78</v>
      </c>
      <c r="AR88">
        <v>2.94</v>
      </c>
      <c r="AS88">
        <v>0</v>
      </c>
      <c r="AT88">
        <v>111</v>
      </c>
      <c r="AU88">
        <v>64</v>
      </c>
      <c r="AV88">
        <v>1</v>
      </c>
      <c r="AW88">
        <v>1</v>
      </c>
      <c r="AZ88">
        <v>7.13</v>
      </c>
      <c r="BA88">
        <v>7.13</v>
      </c>
      <c r="BB88">
        <v>7.13</v>
      </c>
      <c r="BC88">
        <v>7.13</v>
      </c>
      <c r="BD88" t="s">
        <v>6</v>
      </c>
      <c r="BE88" t="s">
        <v>6</v>
      </c>
      <c r="BF88" t="s">
        <v>6</v>
      </c>
      <c r="BG88" t="s">
        <v>6</v>
      </c>
      <c r="BH88">
        <v>0</v>
      </c>
      <c r="BI88">
        <v>1</v>
      </c>
      <c r="BJ88" t="s">
        <v>295</v>
      </c>
      <c r="BM88">
        <v>11001</v>
      </c>
      <c r="BN88">
        <v>0</v>
      </c>
      <c r="BO88" t="s">
        <v>6</v>
      </c>
      <c r="BP88">
        <v>0</v>
      </c>
      <c r="BQ88">
        <v>2</v>
      </c>
      <c r="BR88">
        <v>0</v>
      </c>
      <c r="BS88">
        <v>7.13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6</v>
      </c>
      <c r="BZ88">
        <v>123</v>
      </c>
      <c r="CA88">
        <v>75</v>
      </c>
      <c r="CE88">
        <v>0</v>
      </c>
      <c r="CF88">
        <v>0</v>
      </c>
      <c r="CG88">
        <v>0</v>
      </c>
      <c r="CM88">
        <v>0</v>
      </c>
      <c r="CN88" t="s">
        <v>1758</v>
      </c>
      <c r="CO88">
        <v>0</v>
      </c>
      <c r="CP88">
        <f t="shared" si="81"/>
        <v>20217.329999999998</v>
      </c>
      <c r="CQ88">
        <f t="shared" si="82"/>
        <v>50137.090499999998</v>
      </c>
      <c r="CR88">
        <f t="shared" si="83"/>
        <v>1093.5994000000001</v>
      </c>
      <c r="CS88">
        <f t="shared" si="84"/>
        <v>337.96199999999999</v>
      </c>
      <c r="CT88">
        <f t="shared" si="85"/>
        <v>8583.8783000000003</v>
      </c>
      <c r="CU88">
        <f t="shared" si="86"/>
        <v>0</v>
      </c>
      <c r="CV88">
        <f t="shared" si="87"/>
        <v>137.74699999999999</v>
      </c>
      <c r="CW88">
        <f t="shared" si="88"/>
        <v>3.6749999999999998</v>
      </c>
      <c r="CX88">
        <f t="shared" si="89"/>
        <v>0</v>
      </c>
      <c r="CY88">
        <f t="shared" si="90"/>
        <v>3347.2937999999999</v>
      </c>
      <c r="CZ88">
        <f t="shared" si="91"/>
        <v>1929.9712</v>
      </c>
      <c r="DC88" t="s">
        <v>6</v>
      </c>
      <c r="DD88" t="s">
        <v>6</v>
      </c>
      <c r="DE88" t="s">
        <v>81</v>
      </c>
      <c r="DF88" t="s">
        <v>81</v>
      </c>
      <c r="DG88" t="s">
        <v>82</v>
      </c>
      <c r="DH88" t="s">
        <v>6</v>
      </c>
      <c r="DI88" t="s">
        <v>82</v>
      </c>
      <c r="DJ88" t="s">
        <v>81</v>
      </c>
      <c r="DK88" t="s">
        <v>6</v>
      </c>
      <c r="DL88" t="s">
        <v>6</v>
      </c>
      <c r="DM88" t="s">
        <v>6</v>
      </c>
      <c r="DN88">
        <v>0</v>
      </c>
      <c r="DO88">
        <v>0</v>
      </c>
      <c r="DP88">
        <v>1</v>
      </c>
      <c r="DQ88">
        <v>1</v>
      </c>
      <c r="DU88">
        <v>1005</v>
      </c>
      <c r="DV88" t="s">
        <v>18</v>
      </c>
      <c r="DW88" t="s">
        <v>18</v>
      </c>
      <c r="DX88">
        <v>100</v>
      </c>
      <c r="EE88">
        <v>16609108</v>
      </c>
      <c r="EF88">
        <v>2</v>
      </c>
      <c r="EG88" t="s">
        <v>14</v>
      </c>
      <c r="EH88">
        <v>0</v>
      </c>
      <c r="EI88" t="s">
        <v>6</v>
      </c>
      <c r="EJ88">
        <v>1</v>
      </c>
      <c r="EK88">
        <v>11001</v>
      </c>
      <c r="EL88" t="s">
        <v>40</v>
      </c>
      <c r="EM88" t="s">
        <v>146</v>
      </c>
      <c r="EO88" t="s">
        <v>83</v>
      </c>
      <c r="EQ88">
        <v>131072</v>
      </c>
      <c r="ER88">
        <v>8201.43</v>
      </c>
      <c r="ES88">
        <v>7031.85</v>
      </c>
      <c r="ET88">
        <v>122.7</v>
      </c>
      <c r="EU88">
        <v>37.92</v>
      </c>
      <c r="EV88">
        <v>1046.8800000000001</v>
      </c>
      <c r="EW88">
        <v>119.78</v>
      </c>
      <c r="EX88">
        <v>2.94</v>
      </c>
      <c r="EY88">
        <v>0</v>
      </c>
      <c r="FQ88">
        <v>0</v>
      </c>
      <c r="FR88">
        <f t="shared" si="92"/>
        <v>0</v>
      </c>
      <c r="FS88">
        <v>0</v>
      </c>
      <c r="FT88" t="s">
        <v>22</v>
      </c>
      <c r="FU88" t="s">
        <v>23</v>
      </c>
      <c r="FX88">
        <v>110.7</v>
      </c>
      <c r="FY88">
        <v>63.75</v>
      </c>
      <c r="GA88" t="s">
        <v>6</v>
      </c>
      <c r="GD88">
        <v>0</v>
      </c>
      <c r="GF88">
        <v>-1931738483</v>
      </c>
      <c r="GG88">
        <v>1</v>
      </c>
      <c r="GH88">
        <v>1</v>
      </c>
      <c r="GI88">
        <v>4</v>
      </c>
      <c r="GJ88">
        <v>0</v>
      </c>
      <c r="GK88">
        <f>ROUND(R88*(R12)/100,2)</f>
        <v>0</v>
      </c>
      <c r="GL88">
        <f t="shared" si="93"/>
        <v>0</v>
      </c>
      <c r="GM88">
        <f t="shared" si="94"/>
        <v>25494.59</v>
      </c>
      <c r="GN88">
        <f t="shared" si="95"/>
        <v>25494.59</v>
      </c>
      <c r="GO88">
        <f t="shared" si="96"/>
        <v>0</v>
      </c>
      <c r="GP88">
        <f t="shared" si="97"/>
        <v>0</v>
      </c>
      <c r="GR88">
        <v>0</v>
      </c>
      <c r="GS88">
        <v>3</v>
      </c>
      <c r="GT88">
        <v>0</v>
      </c>
      <c r="GU88" t="s">
        <v>6</v>
      </c>
      <c r="GV88">
        <f t="shared" si="98"/>
        <v>0</v>
      </c>
      <c r="GW88">
        <v>1</v>
      </c>
      <c r="GX88">
        <f t="shared" si="99"/>
        <v>0</v>
      </c>
      <c r="HA88">
        <v>0</v>
      </c>
      <c r="HB88">
        <v>0</v>
      </c>
      <c r="HC88">
        <f t="shared" si="100"/>
        <v>0</v>
      </c>
      <c r="IK88">
        <v>0</v>
      </c>
    </row>
    <row r="89" spans="1:245" x14ac:dyDescent="0.2">
      <c r="A89">
        <v>18</v>
      </c>
      <c r="B89">
        <v>1</v>
      </c>
      <c r="C89">
        <v>192</v>
      </c>
      <c r="E89" t="s">
        <v>296</v>
      </c>
      <c r="F89" t="s">
        <v>297</v>
      </c>
      <c r="G89" t="s">
        <v>298</v>
      </c>
      <c r="H89" t="s">
        <v>102</v>
      </c>
      <c r="I89">
        <f>I88*J89</f>
        <v>121.68</v>
      </c>
      <c r="J89">
        <v>360</v>
      </c>
      <c r="O89">
        <f t="shared" si="65"/>
        <v>3201.36</v>
      </c>
      <c r="P89">
        <f t="shared" si="66"/>
        <v>3201.36</v>
      </c>
      <c r="Q89">
        <f t="shared" si="67"/>
        <v>0</v>
      </c>
      <c r="R89">
        <f t="shared" si="68"/>
        <v>0</v>
      </c>
      <c r="S89">
        <f t="shared" si="69"/>
        <v>0</v>
      </c>
      <c r="T89">
        <f t="shared" si="70"/>
        <v>0</v>
      </c>
      <c r="U89">
        <f t="shared" si="71"/>
        <v>0</v>
      </c>
      <c r="V89">
        <f t="shared" si="72"/>
        <v>0</v>
      </c>
      <c r="W89">
        <f t="shared" si="73"/>
        <v>0</v>
      </c>
      <c r="X89">
        <f t="shared" si="74"/>
        <v>0</v>
      </c>
      <c r="Y89">
        <f t="shared" si="75"/>
        <v>0</v>
      </c>
      <c r="AA89">
        <v>16630606</v>
      </c>
      <c r="AB89">
        <f t="shared" si="76"/>
        <v>3.69</v>
      </c>
      <c r="AC89">
        <f t="shared" si="103"/>
        <v>3.69</v>
      </c>
      <c r="AD89">
        <f>ROUND((((ET89)-(EU89))+AE89),2)</f>
        <v>0</v>
      </c>
      <c r="AE89">
        <f>ROUND((EU89),2)</f>
        <v>0</v>
      </c>
      <c r="AF89">
        <f>ROUND((EV89),2)</f>
        <v>0</v>
      </c>
      <c r="AG89">
        <f t="shared" si="78"/>
        <v>0</v>
      </c>
      <c r="AH89">
        <f>(EW89)</f>
        <v>0</v>
      </c>
      <c r="AI89">
        <f>(EX89)</f>
        <v>0</v>
      </c>
      <c r="AJ89">
        <f t="shared" si="80"/>
        <v>0</v>
      </c>
      <c r="AK89">
        <v>3.69</v>
      </c>
      <c r="AL89">
        <v>3.69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111</v>
      </c>
      <c r="AU89">
        <v>64</v>
      </c>
      <c r="AV89">
        <v>1</v>
      </c>
      <c r="AW89">
        <v>1</v>
      </c>
      <c r="AZ89">
        <v>7.13</v>
      </c>
      <c r="BA89">
        <v>1</v>
      </c>
      <c r="BB89">
        <v>1</v>
      </c>
      <c r="BC89">
        <v>7.13</v>
      </c>
      <c r="BD89" t="s">
        <v>6</v>
      </c>
      <c r="BE89" t="s">
        <v>6</v>
      </c>
      <c r="BF89" t="s">
        <v>6</v>
      </c>
      <c r="BG89" t="s">
        <v>6</v>
      </c>
      <c r="BH89">
        <v>3</v>
      </c>
      <c r="BI89">
        <v>1</v>
      </c>
      <c r="BJ89" t="s">
        <v>299</v>
      </c>
      <c r="BM89">
        <v>11001</v>
      </c>
      <c r="BN89">
        <v>0</v>
      </c>
      <c r="BO89" t="s">
        <v>6</v>
      </c>
      <c r="BP89">
        <v>0</v>
      </c>
      <c r="BQ89">
        <v>2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123</v>
      </c>
      <c r="CA89">
        <v>75</v>
      </c>
      <c r="CE89">
        <v>0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 t="shared" si="81"/>
        <v>3201.36</v>
      </c>
      <c r="CQ89">
        <f t="shared" si="82"/>
        <v>26.309699999999999</v>
      </c>
      <c r="CR89">
        <f t="shared" si="83"/>
        <v>0</v>
      </c>
      <c r="CS89">
        <f t="shared" si="84"/>
        <v>0</v>
      </c>
      <c r="CT89">
        <f t="shared" si="85"/>
        <v>0</v>
      </c>
      <c r="CU89">
        <f t="shared" si="86"/>
        <v>0</v>
      </c>
      <c r="CV89">
        <f t="shared" si="87"/>
        <v>0</v>
      </c>
      <c r="CW89">
        <f t="shared" si="88"/>
        <v>0</v>
      </c>
      <c r="CX89">
        <f t="shared" si="89"/>
        <v>0</v>
      </c>
      <c r="CY89">
        <f t="shared" si="90"/>
        <v>0</v>
      </c>
      <c r="CZ89">
        <f t="shared" si="91"/>
        <v>0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1009</v>
      </c>
      <c r="DV89" t="s">
        <v>102</v>
      </c>
      <c r="DW89" t="s">
        <v>102</v>
      </c>
      <c r="DX89">
        <v>1</v>
      </c>
      <c r="EE89">
        <v>16609108</v>
      </c>
      <c r="EF89">
        <v>2</v>
      </c>
      <c r="EG89" t="s">
        <v>14</v>
      </c>
      <c r="EH89">
        <v>0</v>
      </c>
      <c r="EI89" t="s">
        <v>6</v>
      </c>
      <c r="EJ89">
        <v>1</v>
      </c>
      <c r="EK89">
        <v>11001</v>
      </c>
      <c r="EL89" t="s">
        <v>40</v>
      </c>
      <c r="EM89" t="s">
        <v>146</v>
      </c>
      <c r="EO89" t="s">
        <v>6</v>
      </c>
      <c r="EQ89">
        <v>0</v>
      </c>
      <c r="ER89">
        <v>3.69</v>
      </c>
      <c r="ES89">
        <v>3.69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92"/>
        <v>0</v>
      </c>
      <c r="FS89">
        <v>0</v>
      </c>
      <c r="FT89" t="s">
        <v>22</v>
      </c>
      <c r="FU89" t="s">
        <v>23</v>
      </c>
      <c r="FX89">
        <v>110.7</v>
      </c>
      <c r="FY89">
        <v>63.75</v>
      </c>
      <c r="GA89" t="s">
        <v>6</v>
      </c>
      <c r="GD89">
        <v>0</v>
      </c>
      <c r="GF89">
        <v>830044740</v>
      </c>
      <c r="GG89">
        <v>1</v>
      </c>
      <c r="GH89">
        <v>1</v>
      </c>
      <c r="GI89">
        <v>4</v>
      </c>
      <c r="GJ89">
        <v>0</v>
      </c>
      <c r="GK89">
        <f>ROUND(R89*(R12)/100,2)</f>
        <v>0</v>
      </c>
      <c r="GL89">
        <f t="shared" si="93"/>
        <v>0</v>
      </c>
      <c r="GM89">
        <f t="shared" si="94"/>
        <v>3201.36</v>
      </c>
      <c r="GN89">
        <f t="shared" si="95"/>
        <v>3201.36</v>
      </c>
      <c r="GO89">
        <f t="shared" si="96"/>
        <v>0</v>
      </c>
      <c r="GP89">
        <f t="shared" si="97"/>
        <v>0</v>
      </c>
      <c r="GR89">
        <v>0</v>
      </c>
      <c r="GS89">
        <v>3</v>
      </c>
      <c r="GT89">
        <v>0</v>
      </c>
      <c r="GU89" t="s">
        <v>6</v>
      </c>
      <c r="GV89">
        <f t="shared" si="98"/>
        <v>0</v>
      </c>
      <c r="GW89">
        <v>1</v>
      </c>
      <c r="GX89">
        <f t="shared" si="99"/>
        <v>0</v>
      </c>
      <c r="HA89">
        <v>0</v>
      </c>
      <c r="HB89">
        <v>0</v>
      </c>
      <c r="HC89">
        <f t="shared" si="100"/>
        <v>0</v>
      </c>
      <c r="IK89">
        <v>0</v>
      </c>
    </row>
    <row r="90" spans="1:245" x14ac:dyDescent="0.2">
      <c r="A90">
        <v>17</v>
      </c>
      <c r="B90">
        <v>1</v>
      </c>
      <c r="C90">
        <f>ROW(SmtRes!A202)</f>
        <v>202</v>
      </c>
      <c r="D90">
        <f>ROW(EtalonRes!A212)</f>
        <v>212</v>
      </c>
      <c r="E90" t="s">
        <v>300</v>
      </c>
      <c r="F90" t="s">
        <v>301</v>
      </c>
      <c r="G90" t="s">
        <v>302</v>
      </c>
      <c r="H90" t="s">
        <v>18</v>
      </c>
      <c r="I90">
        <f>ROUND(37.1/100,9)</f>
        <v>0.371</v>
      </c>
      <c r="J90">
        <v>0</v>
      </c>
      <c r="O90">
        <f t="shared" si="65"/>
        <v>58168.24</v>
      </c>
      <c r="P90">
        <f t="shared" si="66"/>
        <v>49835.18</v>
      </c>
      <c r="Q90">
        <f t="shared" si="67"/>
        <v>79.86</v>
      </c>
      <c r="R90">
        <f t="shared" si="68"/>
        <v>57.9</v>
      </c>
      <c r="S90">
        <f t="shared" si="69"/>
        <v>8253.2000000000007</v>
      </c>
      <c r="T90">
        <f t="shared" si="70"/>
        <v>0</v>
      </c>
      <c r="U90">
        <f t="shared" si="71"/>
        <v>132.44069300000001</v>
      </c>
      <c r="V90">
        <f t="shared" si="72"/>
        <v>0.80228750000000004</v>
      </c>
      <c r="W90">
        <f t="shared" si="73"/>
        <v>0</v>
      </c>
      <c r="X90">
        <f t="shared" si="74"/>
        <v>9225.32</v>
      </c>
      <c r="Y90">
        <f t="shared" si="75"/>
        <v>5319.1</v>
      </c>
      <c r="AA90">
        <v>16630606</v>
      </c>
      <c r="AB90">
        <f t="shared" si="76"/>
        <v>21989.86</v>
      </c>
      <c r="AC90">
        <f t="shared" si="103"/>
        <v>18839.64</v>
      </c>
      <c r="AD90">
        <f>ROUND(((((ET90*1.25))-((EU90*1.25)))+AE90),2)</f>
        <v>30.19</v>
      </c>
      <c r="AE90">
        <f>ROUND(((EU90*1.25)),2)</f>
        <v>21.89</v>
      </c>
      <c r="AF90">
        <f>ROUND(((EV90*1.15)),2)</f>
        <v>3120.03</v>
      </c>
      <c r="AG90">
        <f t="shared" si="78"/>
        <v>0</v>
      </c>
      <c r="AH90">
        <f>((EW90*1.15))</f>
        <v>356.983</v>
      </c>
      <c r="AI90">
        <f>((EX90*1.25))</f>
        <v>2.1625000000000001</v>
      </c>
      <c r="AJ90">
        <f t="shared" si="80"/>
        <v>0</v>
      </c>
      <c r="AK90">
        <v>21576.86</v>
      </c>
      <c r="AL90">
        <v>18839.64</v>
      </c>
      <c r="AM90">
        <v>24.15</v>
      </c>
      <c r="AN90">
        <v>17.510000000000002</v>
      </c>
      <c r="AO90">
        <v>2713.07</v>
      </c>
      <c r="AP90">
        <v>0</v>
      </c>
      <c r="AQ90">
        <v>310.42</v>
      </c>
      <c r="AR90">
        <v>1.73</v>
      </c>
      <c r="AS90">
        <v>0</v>
      </c>
      <c r="AT90">
        <v>111</v>
      </c>
      <c r="AU90">
        <v>64</v>
      </c>
      <c r="AV90">
        <v>1</v>
      </c>
      <c r="AW90">
        <v>1</v>
      </c>
      <c r="AZ90">
        <v>7.13</v>
      </c>
      <c r="BA90">
        <v>7.13</v>
      </c>
      <c r="BB90">
        <v>7.13</v>
      </c>
      <c r="BC90">
        <v>7.13</v>
      </c>
      <c r="BD90" t="s">
        <v>6</v>
      </c>
      <c r="BE90" t="s">
        <v>6</v>
      </c>
      <c r="BF90" t="s">
        <v>6</v>
      </c>
      <c r="BG90" t="s">
        <v>6</v>
      </c>
      <c r="BH90">
        <v>0</v>
      </c>
      <c r="BI90">
        <v>1</v>
      </c>
      <c r="BJ90" t="s">
        <v>303</v>
      </c>
      <c r="BM90">
        <v>11001</v>
      </c>
      <c r="BN90">
        <v>0</v>
      </c>
      <c r="BO90" t="s">
        <v>6</v>
      </c>
      <c r="BP90">
        <v>0</v>
      </c>
      <c r="BQ90">
        <v>2</v>
      </c>
      <c r="BR90">
        <v>0</v>
      </c>
      <c r="BS90">
        <v>7.13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6</v>
      </c>
      <c r="BZ90">
        <v>123</v>
      </c>
      <c r="CA90">
        <v>75</v>
      </c>
      <c r="CE90">
        <v>0</v>
      </c>
      <c r="CF90">
        <v>0</v>
      </c>
      <c r="CG90">
        <v>0</v>
      </c>
      <c r="CM90">
        <v>0</v>
      </c>
      <c r="CN90" t="s">
        <v>1758</v>
      </c>
      <c r="CO90">
        <v>0</v>
      </c>
      <c r="CP90">
        <f t="shared" si="81"/>
        <v>58168.240000000005</v>
      </c>
      <c r="CQ90">
        <f t="shared" si="82"/>
        <v>134326.63319999998</v>
      </c>
      <c r="CR90">
        <f t="shared" si="83"/>
        <v>215.25470000000001</v>
      </c>
      <c r="CS90">
        <f t="shared" si="84"/>
        <v>156.07570000000001</v>
      </c>
      <c r="CT90">
        <f t="shared" si="85"/>
        <v>22245.813900000001</v>
      </c>
      <c r="CU90">
        <f t="shared" si="86"/>
        <v>0</v>
      </c>
      <c r="CV90">
        <f t="shared" si="87"/>
        <v>356.983</v>
      </c>
      <c r="CW90">
        <f t="shared" si="88"/>
        <v>2.1625000000000001</v>
      </c>
      <c r="CX90">
        <f t="shared" si="89"/>
        <v>0</v>
      </c>
      <c r="CY90">
        <f t="shared" si="90"/>
        <v>9225.3210000000017</v>
      </c>
      <c r="CZ90">
        <f t="shared" si="91"/>
        <v>5319.1040000000003</v>
      </c>
      <c r="DC90" t="s">
        <v>6</v>
      </c>
      <c r="DD90" t="s">
        <v>6</v>
      </c>
      <c r="DE90" t="s">
        <v>81</v>
      </c>
      <c r="DF90" t="s">
        <v>81</v>
      </c>
      <c r="DG90" t="s">
        <v>82</v>
      </c>
      <c r="DH90" t="s">
        <v>6</v>
      </c>
      <c r="DI90" t="s">
        <v>82</v>
      </c>
      <c r="DJ90" t="s">
        <v>81</v>
      </c>
      <c r="DK90" t="s">
        <v>6</v>
      </c>
      <c r="DL90" t="s">
        <v>6</v>
      </c>
      <c r="DM90" t="s">
        <v>6</v>
      </c>
      <c r="DN90">
        <v>0</v>
      </c>
      <c r="DO90">
        <v>0</v>
      </c>
      <c r="DP90">
        <v>1</v>
      </c>
      <c r="DQ90">
        <v>1</v>
      </c>
      <c r="DU90">
        <v>1005</v>
      </c>
      <c r="DV90" t="s">
        <v>18</v>
      </c>
      <c r="DW90" t="s">
        <v>18</v>
      </c>
      <c r="DX90">
        <v>100</v>
      </c>
      <c r="EE90">
        <v>16609108</v>
      </c>
      <c r="EF90">
        <v>2</v>
      </c>
      <c r="EG90" t="s">
        <v>14</v>
      </c>
      <c r="EH90">
        <v>0</v>
      </c>
      <c r="EI90" t="s">
        <v>6</v>
      </c>
      <c r="EJ90">
        <v>1</v>
      </c>
      <c r="EK90">
        <v>11001</v>
      </c>
      <c r="EL90" t="s">
        <v>40</v>
      </c>
      <c r="EM90" t="s">
        <v>146</v>
      </c>
      <c r="EO90" t="s">
        <v>83</v>
      </c>
      <c r="EQ90">
        <v>131072</v>
      </c>
      <c r="ER90">
        <v>21576.86</v>
      </c>
      <c r="ES90">
        <v>18839.64</v>
      </c>
      <c r="ET90">
        <v>24.15</v>
      </c>
      <c r="EU90">
        <v>17.510000000000002</v>
      </c>
      <c r="EV90">
        <v>2713.07</v>
      </c>
      <c r="EW90">
        <v>310.42</v>
      </c>
      <c r="EX90">
        <v>1.73</v>
      </c>
      <c r="EY90">
        <v>0</v>
      </c>
      <c r="FQ90">
        <v>0</v>
      </c>
      <c r="FR90">
        <f t="shared" si="92"/>
        <v>0</v>
      </c>
      <c r="FS90">
        <v>0</v>
      </c>
      <c r="FT90" t="s">
        <v>22</v>
      </c>
      <c r="FU90" t="s">
        <v>23</v>
      </c>
      <c r="FX90">
        <v>110.7</v>
      </c>
      <c r="FY90">
        <v>63.75</v>
      </c>
      <c r="GA90" t="s">
        <v>6</v>
      </c>
      <c r="GD90">
        <v>0</v>
      </c>
      <c r="GF90">
        <v>1016495109</v>
      </c>
      <c r="GG90">
        <v>1</v>
      </c>
      <c r="GH90">
        <v>1</v>
      </c>
      <c r="GI90">
        <v>4</v>
      </c>
      <c r="GJ90">
        <v>0</v>
      </c>
      <c r="GK90">
        <f>ROUND(R90*(R12)/100,2)</f>
        <v>0</v>
      </c>
      <c r="GL90">
        <f t="shared" si="93"/>
        <v>0</v>
      </c>
      <c r="GM90">
        <f t="shared" si="94"/>
        <v>72712.66</v>
      </c>
      <c r="GN90">
        <f t="shared" si="95"/>
        <v>72712.66</v>
      </c>
      <c r="GO90">
        <f t="shared" si="96"/>
        <v>0</v>
      </c>
      <c r="GP90">
        <f t="shared" si="97"/>
        <v>0</v>
      </c>
      <c r="GR90">
        <v>0</v>
      </c>
      <c r="GS90">
        <v>3</v>
      </c>
      <c r="GT90">
        <v>0</v>
      </c>
      <c r="GU90" t="s">
        <v>6</v>
      </c>
      <c r="GV90">
        <f t="shared" si="98"/>
        <v>0</v>
      </c>
      <c r="GW90">
        <v>1</v>
      </c>
      <c r="GX90">
        <f t="shared" si="99"/>
        <v>0</v>
      </c>
      <c r="HA90">
        <v>0</v>
      </c>
      <c r="HB90">
        <v>0</v>
      </c>
      <c r="HC90">
        <f t="shared" si="100"/>
        <v>0</v>
      </c>
      <c r="IK90">
        <v>0</v>
      </c>
    </row>
    <row r="91" spans="1:245" x14ac:dyDescent="0.2">
      <c r="A91">
        <v>17</v>
      </c>
      <c r="B91">
        <v>1</v>
      </c>
      <c r="C91">
        <f>ROW(SmtRes!A209)</f>
        <v>209</v>
      </c>
      <c r="D91">
        <f>ROW(EtalonRes!A220)</f>
        <v>220</v>
      </c>
      <c r="E91" t="s">
        <v>304</v>
      </c>
      <c r="F91" t="s">
        <v>305</v>
      </c>
      <c r="G91" t="s">
        <v>306</v>
      </c>
      <c r="H91" t="s">
        <v>18</v>
      </c>
      <c r="I91">
        <f>ROUND(469.44/100,9)</f>
        <v>4.6943999999999999</v>
      </c>
      <c r="J91">
        <v>0</v>
      </c>
      <c r="O91">
        <f t="shared" si="65"/>
        <v>11421.67</v>
      </c>
      <c r="P91">
        <f t="shared" si="66"/>
        <v>41.5</v>
      </c>
      <c r="Q91">
        <f t="shared" si="67"/>
        <v>712.6</v>
      </c>
      <c r="R91">
        <f t="shared" si="68"/>
        <v>421.74</v>
      </c>
      <c r="S91">
        <f t="shared" si="69"/>
        <v>10667.57</v>
      </c>
      <c r="T91">
        <f t="shared" si="70"/>
        <v>0</v>
      </c>
      <c r="U91">
        <f t="shared" si="71"/>
        <v>175.39921440000001</v>
      </c>
      <c r="V91">
        <f t="shared" si="72"/>
        <v>5.4572400000000005</v>
      </c>
      <c r="W91">
        <f t="shared" si="73"/>
        <v>0</v>
      </c>
      <c r="X91">
        <f t="shared" si="74"/>
        <v>10534.84</v>
      </c>
      <c r="Y91">
        <f t="shared" si="75"/>
        <v>5211.9799999999996</v>
      </c>
      <c r="AA91">
        <v>16630606</v>
      </c>
      <c r="AB91">
        <f t="shared" si="76"/>
        <v>341.24</v>
      </c>
      <c r="AC91">
        <f t="shared" si="103"/>
        <v>1.24</v>
      </c>
      <c r="AD91">
        <f>ROUND(((((ET91*1.25))-((EU91*1.25)))+AE91),2)</f>
        <v>21.29</v>
      </c>
      <c r="AE91">
        <f>ROUND(((EU91*1.25)),2)</f>
        <v>12.6</v>
      </c>
      <c r="AF91">
        <f>ROUND(((EV91*1.15)),2)</f>
        <v>318.70999999999998</v>
      </c>
      <c r="AG91">
        <f t="shared" si="78"/>
        <v>0</v>
      </c>
      <c r="AH91">
        <f>((EW91*1.15))</f>
        <v>37.363500000000002</v>
      </c>
      <c r="AI91">
        <f>((EX91*1.25))</f>
        <v>1.1625000000000001</v>
      </c>
      <c r="AJ91">
        <f t="shared" si="80"/>
        <v>0</v>
      </c>
      <c r="AK91">
        <v>295.41000000000003</v>
      </c>
      <c r="AL91">
        <v>1.24</v>
      </c>
      <c r="AM91">
        <v>17.03</v>
      </c>
      <c r="AN91">
        <v>10.08</v>
      </c>
      <c r="AO91">
        <v>277.14</v>
      </c>
      <c r="AP91">
        <v>0</v>
      </c>
      <c r="AQ91">
        <v>32.49</v>
      </c>
      <c r="AR91">
        <v>0.93</v>
      </c>
      <c r="AS91">
        <v>0</v>
      </c>
      <c r="AT91">
        <v>95</v>
      </c>
      <c r="AU91">
        <v>47</v>
      </c>
      <c r="AV91">
        <v>1</v>
      </c>
      <c r="AW91">
        <v>1</v>
      </c>
      <c r="AZ91">
        <v>7.13</v>
      </c>
      <c r="BA91">
        <v>7.13</v>
      </c>
      <c r="BB91">
        <v>7.13</v>
      </c>
      <c r="BC91">
        <v>7.13</v>
      </c>
      <c r="BD91" t="s">
        <v>6</v>
      </c>
      <c r="BE91" t="s">
        <v>6</v>
      </c>
      <c r="BF91" t="s">
        <v>6</v>
      </c>
      <c r="BG91" t="s">
        <v>6</v>
      </c>
      <c r="BH91">
        <v>0</v>
      </c>
      <c r="BI91">
        <v>1</v>
      </c>
      <c r="BJ91" t="s">
        <v>307</v>
      </c>
      <c r="BM91">
        <v>15001</v>
      </c>
      <c r="BN91">
        <v>0</v>
      </c>
      <c r="BO91" t="s">
        <v>6</v>
      </c>
      <c r="BP91">
        <v>0</v>
      </c>
      <c r="BQ91">
        <v>2</v>
      </c>
      <c r="BR91">
        <v>0</v>
      </c>
      <c r="BS91">
        <v>7.13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105</v>
      </c>
      <c r="CA91">
        <v>55</v>
      </c>
      <c r="CE91">
        <v>0</v>
      </c>
      <c r="CF91">
        <v>0</v>
      </c>
      <c r="CG91">
        <v>0</v>
      </c>
      <c r="CM91">
        <v>0</v>
      </c>
      <c r="CN91" t="s">
        <v>1758</v>
      </c>
      <c r="CO91">
        <v>0</v>
      </c>
      <c r="CP91">
        <f t="shared" si="81"/>
        <v>11421.67</v>
      </c>
      <c r="CQ91">
        <f t="shared" si="82"/>
        <v>8.8412000000000006</v>
      </c>
      <c r="CR91">
        <f t="shared" si="83"/>
        <v>151.79769999999999</v>
      </c>
      <c r="CS91">
        <f t="shared" si="84"/>
        <v>89.837999999999994</v>
      </c>
      <c r="CT91">
        <f t="shared" si="85"/>
        <v>2272.4022999999997</v>
      </c>
      <c r="CU91">
        <f t="shared" si="86"/>
        <v>0</v>
      </c>
      <c r="CV91">
        <f t="shared" si="87"/>
        <v>37.363500000000002</v>
      </c>
      <c r="CW91">
        <f t="shared" si="88"/>
        <v>1.1625000000000001</v>
      </c>
      <c r="CX91">
        <f t="shared" si="89"/>
        <v>0</v>
      </c>
      <c r="CY91">
        <f t="shared" si="90"/>
        <v>10534.844499999999</v>
      </c>
      <c r="CZ91">
        <f t="shared" si="91"/>
        <v>5211.9756999999991</v>
      </c>
      <c r="DC91" t="s">
        <v>6</v>
      </c>
      <c r="DD91" t="s">
        <v>6</v>
      </c>
      <c r="DE91" t="s">
        <v>81</v>
      </c>
      <c r="DF91" t="s">
        <v>81</v>
      </c>
      <c r="DG91" t="s">
        <v>82</v>
      </c>
      <c r="DH91" t="s">
        <v>6</v>
      </c>
      <c r="DI91" t="s">
        <v>82</v>
      </c>
      <c r="DJ91" t="s">
        <v>81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1005</v>
      </c>
      <c r="DV91" t="s">
        <v>18</v>
      </c>
      <c r="DW91" t="s">
        <v>18</v>
      </c>
      <c r="DX91">
        <v>100</v>
      </c>
      <c r="EE91">
        <v>16609130</v>
      </c>
      <c r="EF91">
        <v>2</v>
      </c>
      <c r="EG91" t="s">
        <v>14</v>
      </c>
      <c r="EH91">
        <v>0</v>
      </c>
      <c r="EI91" t="s">
        <v>6</v>
      </c>
      <c r="EJ91">
        <v>1</v>
      </c>
      <c r="EK91">
        <v>15001</v>
      </c>
      <c r="EL91" t="s">
        <v>118</v>
      </c>
      <c r="EM91" t="s">
        <v>119</v>
      </c>
      <c r="EO91" t="s">
        <v>83</v>
      </c>
      <c r="EQ91">
        <v>131072</v>
      </c>
      <c r="ER91">
        <v>295.41000000000003</v>
      </c>
      <c r="ES91">
        <v>1.24</v>
      </c>
      <c r="ET91">
        <v>17.03</v>
      </c>
      <c r="EU91">
        <v>10.08</v>
      </c>
      <c r="EV91">
        <v>277.14</v>
      </c>
      <c r="EW91">
        <v>32.49</v>
      </c>
      <c r="EX91">
        <v>0.93</v>
      </c>
      <c r="EY91">
        <v>0</v>
      </c>
      <c r="FQ91">
        <v>0</v>
      </c>
      <c r="FR91">
        <f t="shared" si="92"/>
        <v>0</v>
      </c>
      <c r="FS91">
        <v>0</v>
      </c>
      <c r="FT91" t="s">
        <v>22</v>
      </c>
      <c r="FU91" t="s">
        <v>23</v>
      </c>
      <c r="FX91">
        <v>94.5</v>
      </c>
      <c r="FY91">
        <v>46.75</v>
      </c>
      <c r="GA91" t="s">
        <v>6</v>
      </c>
      <c r="GD91">
        <v>0</v>
      </c>
      <c r="GF91">
        <v>-357803777</v>
      </c>
      <c r="GG91">
        <v>1</v>
      </c>
      <c r="GH91">
        <v>1</v>
      </c>
      <c r="GI91">
        <v>4</v>
      </c>
      <c r="GJ91">
        <v>0</v>
      </c>
      <c r="GK91">
        <f>ROUND(R91*(R12)/100,2)</f>
        <v>0</v>
      </c>
      <c r="GL91">
        <f t="shared" si="93"/>
        <v>0</v>
      </c>
      <c r="GM91">
        <f t="shared" si="94"/>
        <v>27168.49</v>
      </c>
      <c r="GN91">
        <f t="shared" si="95"/>
        <v>27168.49</v>
      </c>
      <c r="GO91">
        <f t="shared" si="96"/>
        <v>0</v>
      </c>
      <c r="GP91">
        <f t="shared" si="97"/>
        <v>0</v>
      </c>
      <c r="GR91">
        <v>0</v>
      </c>
      <c r="GS91">
        <v>3</v>
      </c>
      <c r="GT91">
        <v>0</v>
      </c>
      <c r="GU91" t="s">
        <v>6</v>
      </c>
      <c r="GV91">
        <f t="shared" si="98"/>
        <v>0</v>
      </c>
      <c r="GW91">
        <v>1</v>
      </c>
      <c r="GX91">
        <f t="shared" si="99"/>
        <v>0</v>
      </c>
      <c r="HA91">
        <v>0</v>
      </c>
      <c r="HB91">
        <v>0</v>
      </c>
      <c r="HC91">
        <f t="shared" si="100"/>
        <v>0</v>
      </c>
      <c r="IK91">
        <v>0</v>
      </c>
    </row>
    <row r="92" spans="1:245" x14ac:dyDescent="0.2">
      <c r="A92">
        <v>18</v>
      </c>
      <c r="B92">
        <v>1</v>
      </c>
      <c r="C92">
        <v>209</v>
      </c>
      <c r="E92" t="s">
        <v>308</v>
      </c>
      <c r="F92" t="s">
        <v>309</v>
      </c>
      <c r="G92" t="s">
        <v>310</v>
      </c>
      <c r="H92" t="s">
        <v>98</v>
      </c>
      <c r="I92">
        <f>I91*J92</f>
        <v>3.99024</v>
      </c>
      <c r="J92">
        <v>0.85</v>
      </c>
      <c r="O92">
        <f t="shared" ref="O92:O119" si="107">ROUND(CP92,2)</f>
        <v>26497.86</v>
      </c>
      <c r="P92">
        <f t="shared" ref="P92:P119" si="108">ROUND(CQ92*I92,2)</f>
        <v>26497.86</v>
      </c>
      <c r="Q92">
        <f t="shared" ref="Q92:Q119" si="109">ROUND(CR92*I92,2)</f>
        <v>0</v>
      </c>
      <c r="R92">
        <f t="shared" ref="R92:R119" si="110">ROUND(CS92*I92,2)</f>
        <v>0</v>
      </c>
      <c r="S92">
        <f t="shared" ref="S92:S119" si="111">ROUND(CT92*I92,2)</f>
        <v>0</v>
      </c>
      <c r="T92">
        <f t="shared" ref="T92:T119" si="112">ROUND(CU92*I92,2)</f>
        <v>0</v>
      </c>
      <c r="U92">
        <f t="shared" ref="U92:U119" si="113">CV92*I92</f>
        <v>0</v>
      </c>
      <c r="V92">
        <f t="shared" ref="V92:V119" si="114">CW92*I92</f>
        <v>0</v>
      </c>
      <c r="W92">
        <f t="shared" ref="W92:W119" si="115">ROUND(CX92*I92,2)</f>
        <v>0</v>
      </c>
      <c r="X92">
        <f t="shared" ref="X92:X119" si="116">ROUND(CY92,2)</f>
        <v>0</v>
      </c>
      <c r="Y92">
        <f t="shared" ref="Y92:Y119" si="117">ROUND(CZ92,2)</f>
        <v>0</v>
      </c>
      <c r="AA92">
        <v>16630606</v>
      </c>
      <c r="AB92">
        <f t="shared" ref="AB92:AB119" si="118">ROUND((AC92+AD92+AF92),2)</f>
        <v>931.37</v>
      </c>
      <c r="AC92">
        <f t="shared" si="103"/>
        <v>931.37</v>
      </c>
      <c r="AD92">
        <f>ROUND((((ET92)-(EU92))+AE92),2)</f>
        <v>0</v>
      </c>
      <c r="AE92">
        <f>ROUND((EU92),2)</f>
        <v>0</v>
      </c>
      <c r="AF92">
        <f>ROUND((EV92),2)</f>
        <v>0</v>
      </c>
      <c r="AG92">
        <f t="shared" ref="AG92:AG119" si="119">ROUND((AP92),2)</f>
        <v>0</v>
      </c>
      <c r="AH92">
        <f>(EW92)</f>
        <v>0</v>
      </c>
      <c r="AI92">
        <f>(EX92)</f>
        <v>0</v>
      </c>
      <c r="AJ92">
        <f t="shared" ref="AJ92:AJ119" si="120">(AS92)</f>
        <v>0</v>
      </c>
      <c r="AK92">
        <v>931.37</v>
      </c>
      <c r="AL92">
        <v>931.37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95</v>
      </c>
      <c r="AU92">
        <v>47</v>
      </c>
      <c r="AV92">
        <v>1</v>
      </c>
      <c r="AW92">
        <v>1</v>
      </c>
      <c r="AZ92">
        <v>7.13</v>
      </c>
      <c r="BA92">
        <v>1</v>
      </c>
      <c r="BB92">
        <v>1</v>
      </c>
      <c r="BC92">
        <v>7.13</v>
      </c>
      <c r="BD92" t="s">
        <v>6</v>
      </c>
      <c r="BE92" t="s">
        <v>6</v>
      </c>
      <c r="BF92" t="s">
        <v>6</v>
      </c>
      <c r="BG92" t="s">
        <v>6</v>
      </c>
      <c r="BH92">
        <v>3</v>
      </c>
      <c r="BI92">
        <v>1</v>
      </c>
      <c r="BJ92" t="s">
        <v>311</v>
      </c>
      <c r="BM92">
        <v>15001</v>
      </c>
      <c r="BN92">
        <v>0</v>
      </c>
      <c r="BO92" t="s">
        <v>6</v>
      </c>
      <c r="BP92">
        <v>0</v>
      </c>
      <c r="BQ92">
        <v>2</v>
      </c>
      <c r="BR92">
        <v>0</v>
      </c>
      <c r="BS92">
        <v>1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6</v>
      </c>
      <c r="BZ92">
        <v>105</v>
      </c>
      <c r="CA92">
        <v>55</v>
      </c>
      <c r="CE92">
        <v>0</v>
      </c>
      <c r="CF92">
        <v>0</v>
      </c>
      <c r="CG92">
        <v>0</v>
      </c>
      <c r="CM92">
        <v>0</v>
      </c>
      <c r="CN92" t="s">
        <v>6</v>
      </c>
      <c r="CO92">
        <v>0</v>
      </c>
      <c r="CP92">
        <f t="shared" ref="CP92:CP119" si="121">(P92+Q92+S92)</f>
        <v>26497.86</v>
      </c>
      <c r="CQ92">
        <f t="shared" ref="CQ92:CQ119" si="122">AC92*BC92</f>
        <v>6640.6680999999999</v>
      </c>
      <c r="CR92">
        <f t="shared" ref="CR92:CR119" si="123">AD92*BB92</f>
        <v>0</v>
      </c>
      <c r="CS92">
        <f t="shared" ref="CS92:CS119" si="124">AE92*BS92</f>
        <v>0</v>
      </c>
      <c r="CT92">
        <f t="shared" ref="CT92:CT119" si="125">AF92*BA92</f>
        <v>0</v>
      </c>
      <c r="CU92">
        <f t="shared" ref="CU92:CU119" si="126">AG92</f>
        <v>0</v>
      </c>
      <c r="CV92">
        <f t="shared" ref="CV92:CV119" si="127">AH92</f>
        <v>0</v>
      </c>
      <c r="CW92">
        <f t="shared" ref="CW92:CW119" si="128">AI92</f>
        <v>0</v>
      </c>
      <c r="CX92">
        <f t="shared" ref="CX92:CX119" si="129">AJ92</f>
        <v>0</v>
      </c>
      <c r="CY92">
        <f t="shared" ref="CY92:CY119" si="130">(((S92+R92)*AT92)/100)</f>
        <v>0</v>
      </c>
      <c r="CZ92">
        <f t="shared" ref="CZ92:CZ119" si="131">(((S92+R92)*AU92)/100)</f>
        <v>0</v>
      </c>
      <c r="DC92" t="s">
        <v>6</v>
      </c>
      <c r="DD92" t="s">
        <v>6</v>
      </c>
      <c r="DE92" t="s">
        <v>6</v>
      </c>
      <c r="DF92" t="s">
        <v>6</v>
      </c>
      <c r="DG92" t="s">
        <v>6</v>
      </c>
      <c r="DH92" t="s">
        <v>6</v>
      </c>
      <c r="DI92" t="s">
        <v>6</v>
      </c>
      <c r="DJ92" t="s">
        <v>6</v>
      </c>
      <c r="DK92" t="s">
        <v>6</v>
      </c>
      <c r="DL92" t="s">
        <v>6</v>
      </c>
      <c r="DM92" t="s">
        <v>6</v>
      </c>
      <c r="DN92">
        <v>0</v>
      </c>
      <c r="DO92">
        <v>0</v>
      </c>
      <c r="DP92">
        <v>1</v>
      </c>
      <c r="DQ92">
        <v>1</v>
      </c>
      <c r="DU92">
        <v>1009</v>
      </c>
      <c r="DV92" t="s">
        <v>98</v>
      </c>
      <c r="DW92" t="s">
        <v>98</v>
      </c>
      <c r="DX92">
        <v>1000</v>
      </c>
      <c r="EE92">
        <v>16609130</v>
      </c>
      <c r="EF92">
        <v>2</v>
      </c>
      <c r="EG92" t="s">
        <v>14</v>
      </c>
      <c r="EH92">
        <v>0</v>
      </c>
      <c r="EI92" t="s">
        <v>6</v>
      </c>
      <c r="EJ92">
        <v>1</v>
      </c>
      <c r="EK92">
        <v>15001</v>
      </c>
      <c r="EL92" t="s">
        <v>118</v>
      </c>
      <c r="EM92" t="s">
        <v>119</v>
      </c>
      <c r="EO92" t="s">
        <v>6</v>
      </c>
      <c r="EQ92">
        <v>0</v>
      </c>
      <c r="ER92">
        <v>931.37</v>
      </c>
      <c r="ES92">
        <v>931.37</v>
      </c>
      <c r="ET92">
        <v>0</v>
      </c>
      <c r="EU92">
        <v>0</v>
      </c>
      <c r="EV92">
        <v>0</v>
      </c>
      <c r="EW92">
        <v>0</v>
      </c>
      <c r="EX92">
        <v>0</v>
      </c>
      <c r="FQ92">
        <v>0</v>
      </c>
      <c r="FR92">
        <f t="shared" ref="FR92:FR121" si="132">ROUND(IF(AND(BH92=3,BI92=3),P92,0),2)</f>
        <v>0</v>
      </c>
      <c r="FS92">
        <v>0</v>
      </c>
      <c r="FT92" t="s">
        <v>22</v>
      </c>
      <c r="FU92" t="s">
        <v>23</v>
      </c>
      <c r="FX92">
        <v>94.5</v>
      </c>
      <c r="FY92">
        <v>46.75</v>
      </c>
      <c r="GA92" t="s">
        <v>6</v>
      </c>
      <c r="GD92">
        <v>0</v>
      </c>
      <c r="GF92">
        <v>-1327551889</v>
      </c>
      <c r="GG92">
        <v>1</v>
      </c>
      <c r="GH92">
        <v>1</v>
      </c>
      <c r="GI92">
        <v>4</v>
      </c>
      <c r="GJ92">
        <v>0</v>
      </c>
      <c r="GK92">
        <f>ROUND(R92*(R12)/100,2)</f>
        <v>0</v>
      </c>
      <c r="GL92">
        <f t="shared" ref="GL92:GL121" si="133">ROUND(IF(AND(BH92=3,BI92=3,FS92&lt;&gt;0),P92,0),2)</f>
        <v>0</v>
      </c>
      <c r="GM92">
        <f t="shared" ref="GM92:GM119" si="134">ROUND(O92+X92+Y92+GK92,2)+GX92</f>
        <v>26497.86</v>
      </c>
      <c r="GN92">
        <f t="shared" ref="GN92:GN119" si="135">IF(OR(BI92=0,BI92=1),ROUND(O92+X92+Y92+GK92,2),0)</f>
        <v>26497.86</v>
      </c>
      <c r="GO92">
        <f t="shared" ref="GO92:GO119" si="136">IF(BI92=2,ROUND(O92+X92+Y92+GK92,2),0)</f>
        <v>0</v>
      </c>
      <c r="GP92">
        <f t="shared" ref="GP92:GP119" si="137">IF(BI92=4,ROUND(O92+X92+Y92+GK92,2)+GX92,0)</f>
        <v>0</v>
      </c>
      <c r="GR92">
        <v>0</v>
      </c>
      <c r="GS92">
        <v>3</v>
      </c>
      <c r="GT92">
        <v>0</v>
      </c>
      <c r="GU92" t="s">
        <v>6</v>
      </c>
      <c r="GV92">
        <f t="shared" ref="GV92:GV119" si="138">ROUND((GT92),2)</f>
        <v>0</v>
      </c>
      <c r="GW92">
        <v>1</v>
      </c>
      <c r="GX92">
        <f t="shared" ref="GX92:GX119" si="139">ROUND(HC92*I92,2)</f>
        <v>0</v>
      </c>
      <c r="HA92">
        <v>0</v>
      </c>
      <c r="HB92">
        <v>0</v>
      </c>
      <c r="HC92">
        <f t="shared" ref="HC92:HC119" si="140">GV92*GW92</f>
        <v>0</v>
      </c>
      <c r="IK92">
        <v>0</v>
      </c>
    </row>
    <row r="93" spans="1:245" x14ac:dyDescent="0.2">
      <c r="A93">
        <v>17</v>
      </c>
      <c r="B93">
        <v>1</v>
      </c>
      <c r="C93">
        <f>ROW(SmtRes!A216)</f>
        <v>216</v>
      </c>
      <c r="D93">
        <f>ROW(EtalonRes!A226)</f>
        <v>226</v>
      </c>
      <c r="E93" t="s">
        <v>312</v>
      </c>
      <c r="F93" t="s">
        <v>313</v>
      </c>
      <c r="G93" t="s">
        <v>314</v>
      </c>
      <c r="H93" t="s">
        <v>18</v>
      </c>
      <c r="I93">
        <f>ROUND(607.83/100,9)</f>
        <v>6.0782999999999996</v>
      </c>
      <c r="J93">
        <v>0</v>
      </c>
      <c r="O93">
        <f t="shared" si="107"/>
        <v>3200.96</v>
      </c>
      <c r="P93">
        <f t="shared" si="108"/>
        <v>7.8</v>
      </c>
      <c r="Q93">
        <f t="shared" si="109"/>
        <v>52.87</v>
      </c>
      <c r="R93">
        <f t="shared" si="110"/>
        <v>14.3</v>
      </c>
      <c r="S93">
        <f t="shared" si="111"/>
        <v>3140.29</v>
      </c>
      <c r="T93">
        <f t="shared" si="112"/>
        <v>0</v>
      </c>
      <c r="U93">
        <f t="shared" si="113"/>
        <v>45.784794749999989</v>
      </c>
      <c r="V93">
        <f t="shared" si="114"/>
        <v>0.1519575</v>
      </c>
      <c r="W93">
        <f t="shared" si="115"/>
        <v>0</v>
      </c>
      <c r="X93">
        <f t="shared" si="116"/>
        <v>2996.86</v>
      </c>
      <c r="Y93">
        <f t="shared" si="117"/>
        <v>1482.66</v>
      </c>
      <c r="AA93">
        <v>16630606</v>
      </c>
      <c r="AB93">
        <f t="shared" si="118"/>
        <v>73.86</v>
      </c>
      <c r="AC93">
        <f t="shared" si="103"/>
        <v>0.18</v>
      </c>
      <c r="AD93">
        <f>ROUND(((((ET93*1.25))-((EU93*1.25)))+AE93),2)</f>
        <v>1.22</v>
      </c>
      <c r="AE93">
        <f>ROUND(((EU93*1.25)),2)</f>
        <v>0.33</v>
      </c>
      <c r="AF93">
        <f>ROUND(((EV93*1.15)),2)</f>
        <v>72.459999999999994</v>
      </c>
      <c r="AG93">
        <f t="shared" si="119"/>
        <v>0</v>
      </c>
      <c r="AH93">
        <f>((EW93*1.15))</f>
        <v>7.5324999999999989</v>
      </c>
      <c r="AI93">
        <f>((EX93*1.25))</f>
        <v>2.5000000000000001E-2</v>
      </c>
      <c r="AJ93">
        <f t="shared" si="120"/>
        <v>0</v>
      </c>
      <c r="AK93">
        <v>64.16</v>
      </c>
      <c r="AL93">
        <v>0.18</v>
      </c>
      <c r="AM93">
        <v>0.97</v>
      </c>
      <c r="AN93">
        <v>0.26</v>
      </c>
      <c r="AO93">
        <v>63.01</v>
      </c>
      <c r="AP93">
        <v>0</v>
      </c>
      <c r="AQ93">
        <v>6.55</v>
      </c>
      <c r="AR93">
        <v>0.02</v>
      </c>
      <c r="AS93">
        <v>0</v>
      </c>
      <c r="AT93">
        <v>95</v>
      </c>
      <c r="AU93">
        <v>47</v>
      </c>
      <c r="AV93">
        <v>1</v>
      </c>
      <c r="AW93">
        <v>1</v>
      </c>
      <c r="AZ93">
        <v>7.13</v>
      </c>
      <c r="BA93">
        <v>7.13</v>
      </c>
      <c r="BB93">
        <v>7.13</v>
      </c>
      <c r="BC93">
        <v>7.13</v>
      </c>
      <c r="BD93" t="s">
        <v>6</v>
      </c>
      <c r="BE93" t="s">
        <v>6</v>
      </c>
      <c r="BF93" t="s">
        <v>6</v>
      </c>
      <c r="BG93" t="s">
        <v>6</v>
      </c>
      <c r="BH93">
        <v>0</v>
      </c>
      <c r="BI93">
        <v>1</v>
      </c>
      <c r="BJ93" t="s">
        <v>315</v>
      </c>
      <c r="BM93">
        <v>15001</v>
      </c>
      <c r="BN93">
        <v>0</v>
      </c>
      <c r="BO93" t="s">
        <v>6</v>
      </c>
      <c r="BP93">
        <v>0</v>
      </c>
      <c r="BQ93">
        <v>2</v>
      </c>
      <c r="BR93">
        <v>0</v>
      </c>
      <c r="BS93">
        <v>7.13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105</v>
      </c>
      <c r="CA93">
        <v>55</v>
      </c>
      <c r="CE93">
        <v>0</v>
      </c>
      <c r="CF93">
        <v>0</v>
      </c>
      <c r="CG93">
        <v>0</v>
      </c>
      <c r="CM93">
        <v>0</v>
      </c>
      <c r="CN93" t="s">
        <v>1758</v>
      </c>
      <c r="CO93">
        <v>0</v>
      </c>
      <c r="CP93">
        <f t="shared" si="121"/>
        <v>3200.96</v>
      </c>
      <c r="CQ93">
        <f t="shared" si="122"/>
        <v>1.2833999999999999</v>
      </c>
      <c r="CR93">
        <f t="shared" si="123"/>
        <v>8.698599999999999</v>
      </c>
      <c r="CS93">
        <f t="shared" si="124"/>
        <v>2.3529</v>
      </c>
      <c r="CT93">
        <f t="shared" si="125"/>
        <v>516.63979999999992</v>
      </c>
      <c r="CU93">
        <f t="shared" si="126"/>
        <v>0</v>
      </c>
      <c r="CV93">
        <f t="shared" si="127"/>
        <v>7.5324999999999989</v>
      </c>
      <c r="CW93">
        <f t="shared" si="128"/>
        <v>2.5000000000000001E-2</v>
      </c>
      <c r="CX93">
        <f t="shared" si="129"/>
        <v>0</v>
      </c>
      <c r="CY93">
        <f t="shared" si="130"/>
        <v>2996.8604999999998</v>
      </c>
      <c r="CZ93">
        <f t="shared" si="131"/>
        <v>1482.6573000000001</v>
      </c>
      <c r="DC93" t="s">
        <v>6</v>
      </c>
      <c r="DD93" t="s">
        <v>6</v>
      </c>
      <c r="DE93" t="s">
        <v>81</v>
      </c>
      <c r="DF93" t="s">
        <v>81</v>
      </c>
      <c r="DG93" t="s">
        <v>82</v>
      </c>
      <c r="DH93" t="s">
        <v>6</v>
      </c>
      <c r="DI93" t="s">
        <v>82</v>
      </c>
      <c r="DJ93" t="s">
        <v>81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1005</v>
      </c>
      <c r="DV93" t="s">
        <v>18</v>
      </c>
      <c r="DW93" t="s">
        <v>18</v>
      </c>
      <c r="DX93">
        <v>100</v>
      </c>
      <c r="EE93">
        <v>16609130</v>
      </c>
      <c r="EF93">
        <v>2</v>
      </c>
      <c r="EG93" t="s">
        <v>14</v>
      </c>
      <c r="EH93">
        <v>0</v>
      </c>
      <c r="EI93" t="s">
        <v>6</v>
      </c>
      <c r="EJ93">
        <v>1</v>
      </c>
      <c r="EK93">
        <v>15001</v>
      </c>
      <c r="EL93" t="s">
        <v>118</v>
      </c>
      <c r="EM93" t="s">
        <v>119</v>
      </c>
      <c r="EO93" t="s">
        <v>83</v>
      </c>
      <c r="EQ93">
        <v>0</v>
      </c>
      <c r="ER93">
        <v>64.16</v>
      </c>
      <c r="ES93">
        <v>0.18</v>
      </c>
      <c r="ET93">
        <v>0.97</v>
      </c>
      <c r="EU93">
        <v>0.26</v>
      </c>
      <c r="EV93">
        <v>63.01</v>
      </c>
      <c r="EW93">
        <v>6.55</v>
      </c>
      <c r="EX93">
        <v>0.02</v>
      </c>
      <c r="EY93">
        <v>0</v>
      </c>
      <c r="FQ93">
        <v>0</v>
      </c>
      <c r="FR93">
        <f t="shared" si="132"/>
        <v>0</v>
      </c>
      <c r="FS93">
        <v>0</v>
      </c>
      <c r="FT93" t="s">
        <v>22</v>
      </c>
      <c r="FU93" t="s">
        <v>23</v>
      </c>
      <c r="FX93">
        <v>94.5</v>
      </c>
      <c r="FY93">
        <v>46.75</v>
      </c>
      <c r="GA93" t="s">
        <v>6</v>
      </c>
      <c r="GD93">
        <v>0</v>
      </c>
      <c r="GF93">
        <v>-2014629731</v>
      </c>
      <c r="GG93">
        <v>1</v>
      </c>
      <c r="GH93">
        <v>1</v>
      </c>
      <c r="GI93">
        <v>4</v>
      </c>
      <c r="GJ93">
        <v>0</v>
      </c>
      <c r="GK93">
        <f>ROUND(R93*(R12)/100,2)</f>
        <v>0</v>
      </c>
      <c r="GL93">
        <f t="shared" si="133"/>
        <v>0</v>
      </c>
      <c r="GM93">
        <f t="shared" si="134"/>
        <v>7680.48</v>
      </c>
      <c r="GN93">
        <f t="shared" si="135"/>
        <v>7680.48</v>
      </c>
      <c r="GO93">
        <f t="shared" si="136"/>
        <v>0</v>
      </c>
      <c r="GP93">
        <f t="shared" si="137"/>
        <v>0</v>
      </c>
      <c r="GR93">
        <v>0</v>
      </c>
      <c r="GS93">
        <v>3</v>
      </c>
      <c r="GT93">
        <v>0</v>
      </c>
      <c r="GU93" t="s">
        <v>6</v>
      </c>
      <c r="GV93">
        <f t="shared" si="138"/>
        <v>0</v>
      </c>
      <c r="GW93">
        <v>1</v>
      </c>
      <c r="GX93">
        <f t="shared" si="139"/>
        <v>0</v>
      </c>
      <c r="HA93">
        <v>0</v>
      </c>
      <c r="HB93">
        <v>0</v>
      </c>
      <c r="HC93">
        <f t="shared" si="140"/>
        <v>0</v>
      </c>
      <c r="IK93">
        <v>0</v>
      </c>
    </row>
    <row r="94" spans="1:245" x14ac:dyDescent="0.2">
      <c r="A94">
        <v>18</v>
      </c>
      <c r="B94">
        <v>1</v>
      </c>
      <c r="C94">
        <v>216</v>
      </c>
      <c r="E94" t="s">
        <v>316</v>
      </c>
      <c r="F94" t="s">
        <v>317</v>
      </c>
      <c r="G94" t="s">
        <v>318</v>
      </c>
      <c r="H94" t="s">
        <v>98</v>
      </c>
      <c r="I94">
        <f>I93*J94</f>
        <v>7.9018000000000005E-2</v>
      </c>
      <c r="J94">
        <v>1.300001645196848E-2</v>
      </c>
      <c r="O94">
        <f t="shared" si="107"/>
        <v>0</v>
      </c>
      <c r="P94">
        <f t="shared" si="108"/>
        <v>0</v>
      </c>
      <c r="Q94">
        <f t="shared" si="109"/>
        <v>0</v>
      </c>
      <c r="R94">
        <f t="shared" si="110"/>
        <v>0</v>
      </c>
      <c r="S94">
        <f t="shared" si="111"/>
        <v>0</v>
      </c>
      <c r="T94">
        <f t="shared" si="112"/>
        <v>0</v>
      </c>
      <c r="U94">
        <f t="shared" si="113"/>
        <v>0</v>
      </c>
      <c r="V94">
        <f t="shared" si="114"/>
        <v>0</v>
      </c>
      <c r="W94">
        <f t="shared" si="115"/>
        <v>0</v>
      </c>
      <c r="X94">
        <f t="shared" si="116"/>
        <v>0</v>
      </c>
      <c r="Y94">
        <f t="shared" si="117"/>
        <v>0</v>
      </c>
      <c r="AA94">
        <v>16630606</v>
      </c>
      <c r="AB94">
        <f t="shared" si="118"/>
        <v>0</v>
      </c>
      <c r="AC94">
        <f t="shared" si="103"/>
        <v>0</v>
      </c>
      <c r="AD94">
        <f>ROUND((((ET94)-(EU94))+AE94),2)</f>
        <v>0</v>
      </c>
      <c r="AE94">
        <f>ROUND((EU94),2)</f>
        <v>0</v>
      </c>
      <c r="AF94">
        <f>ROUND((EV94),2)</f>
        <v>0</v>
      </c>
      <c r="AG94">
        <f t="shared" si="119"/>
        <v>0</v>
      </c>
      <c r="AH94">
        <f>(EW94)</f>
        <v>0</v>
      </c>
      <c r="AI94">
        <f>(EX94)</f>
        <v>0</v>
      </c>
      <c r="AJ94">
        <f t="shared" si="120"/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95</v>
      </c>
      <c r="AU94">
        <v>47</v>
      </c>
      <c r="AV94">
        <v>1</v>
      </c>
      <c r="AW94">
        <v>1</v>
      </c>
      <c r="AZ94">
        <v>7.13</v>
      </c>
      <c r="BA94">
        <v>1</v>
      </c>
      <c r="BB94">
        <v>1</v>
      </c>
      <c r="BC94">
        <v>7.13</v>
      </c>
      <c r="BD94" t="s">
        <v>6</v>
      </c>
      <c r="BE94" t="s">
        <v>6</v>
      </c>
      <c r="BF94" t="s">
        <v>6</v>
      </c>
      <c r="BG94" t="s">
        <v>6</v>
      </c>
      <c r="BH94">
        <v>3</v>
      </c>
      <c r="BI94">
        <v>1</v>
      </c>
      <c r="BJ94" t="s">
        <v>6</v>
      </c>
      <c r="BM94">
        <v>15001</v>
      </c>
      <c r="BN94">
        <v>0</v>
      </c>
      <c r="BO94" t="s">
        <v>6</v>
      </c>
      <c r="BP94">
        <v>0</v>
      </c>
      <c r="BQ94">
        <v>2</v>
      </c>
      <c r="BR94">
        <v>0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6</v>
      </c>
      <c r="BZ94">
        <v>105</v>
      </c>
      <c r="CA94">
        <v>55</v>
      </c>
      <c r="CE94">
        <v>0</v>
      </c>
      <c r="CF94">
        <v>0</v>
      </c>
      <c r="CG94">
        <v>0</v>
      </c>
      <c r="CM94">
        <v>0</v>
      </c>
      <c r="CN94" t="s">
        <v>6</v>
      </c>
      <c r="CO94">
        <v>0</v>
      </c>
      <c r="CP94">
        <f t="shared" si="121"/>
        <v>0</v>
      </c>
      <c r="CQ94">
        <f t="shared" si="122"/>
        <v>0</v>
      </c>
      <c r="CR94">
        <f t="shared" si="123"/>
        <v>0</v>
      </c>
      <c r="CS94">
        <f t="shared" si="124"/>
        <v>0</v>
      </c>
      <c r="CT94">
        <f t="shared" si="125"/>
        <v>0</v>
      </c>
      <c r="CU94">
        <f t="shared" si="126"/>
        <v>0</v>
      </c>
      <c r="CV94">
        <f t="shared" si="127"/>
        <v>0</v>
      </c>
      <c r="CW94">
        <f t="shared" si="128"/>
        <v>0</v>
      </c>
      <c r="CX94">
        <f t="shared" si="129"/>
        <v>0</v>
      </c>
      <c r="CY94">
        <f t="shared" si="130"/>
        <v>0</v>
      </c>
      <c r="CZ94">
        <f t="shared" si="131"/>
        <v>0</v>
      </c>
      <c r="DC94" t="s">
        <v>6</v>
      </c>
      <c r="DD94" t="s">
        <v>6</v>
      </c>
      <c r="DE94" t="s">
        <v>6</v>
      </c>
      <c r="DF94" t="s">
        <v>6</v>
      </c>
      <c r="DG94" t="s">
        <v>6</v>
      </c>
      <c r="DH94" t="s">
        <v>6</v>
      </c>
      <c r="DI94" t="s">
        <v>6</v>
      </c>
      <c r="DJ94" t="s">
        <v>6</v>
      </c>
      <c r="DK94" t="s">
        <v>6</v>
      </c>
      <c r="DL94" t="s">
        <v>6</v>
      </c>
      <c r="DM94" t="s">
        <v>6</v>
      </c>
      <c r="DN94">
        <v>0</v>
      </c>
      <c r="DO94">
        <v>0</v>
      </c>
      <c r="DP94">
        <v>1</v>
      </c>
      <c r="DQ94">
        <v>1</v>
      </c>
      <c r="DU94">
        <v>1009</v>
      </c>
      <c r="DV94" t="s">
        <v>98</v>
      </c>
      <c r="DW94" t="s">
        <v>98</v>
      </c>
      <c r="DX94">
        <v>1000</v>
      </c>
      <c r="EE94">
        <v>16609130</v>
      </c>
      <c r="EF94">
        <v>2</v>
      </c>
      <c r="EG94" t="s">
        <v>14</v>
      </c>
      <c r="EH94">
        <v>0</v>
      </c>
      <c r="EI94" t="s">
        <v>6</v>
      </c>
      <c r="EJ94">
        <v>1</v>
      </c>
      <c r="EK94">
        <v>15001</v>
      </c>
      <c r="EL94" t="s">
        <v>118</v>
      </c>
      <c r="EM94" t="s">
        <v>119</v>
      </c>
      <c r="EO94" t="s">
        <v>6</v>
      </c>
      <c r="EQ94">
        <v>0</v>
      </c>
      <c r="ER94">
        <v>0</v>
      </c>
      <c r="ES94">
        <v>0</v>
      </c>
      <c r="ET94">
        <v>0</v>
      </c>
      <c r="EU94">
        <v>0</v>
      </c>
      <c r="EV94">
        <v>0</v>
      </c>
      <c r="EW94">
        <v>0</v>
      </c>
      <c r="EX94">
        <v>0</v>
      </c>
      <c r="FQ94">
        <v>0</v>
      </c>
      <c r="FR94">
        <f t="shared" si="132"/>
        <v>0</v>
      </c>
      <c r="FS94">
        <v>0</v>
      </c>
      <c r="FT94" t="s">
        <v>22</v>
      </c>
      <c r="FU94" t="s">
        <v>23</v>
      </c>
      <c r="FX94">
        <v>94.5</v>
      </c>
      <c r="FY94">
        <v>46.75</v>
      </c>
      <c r="GA94" t="s">
        <v>6</v>
      </c>
      <c r="GD94">
        <v>0</v>
      </c>
      <c r="GF94">
        <v>-1212923053</v>
      </c>
      <c r="GG94">
        <v>1</v>
      </c>
      <c r="GH94">
        <v>1</v>
      </c>
      <c r="GI94">
        <v>4</v>
      </c>
      <c r="GJ94">
        <v>0</v>
      </c>
      <c r="GK94">
        <f>ROUND(R94*(R12)/100,2)</f>
        <v>0</v>
      </c>
      <c r="GL94">
        <f t="shared" si="133"/>
        <v>0</v>
      </c>
      <c r="GM94">
        <f t="shared" si="134"/>
        <v>0</v>
      </c>
      <c r="GN94">
        <f t="shared" si="135"/>
        <v>0</v>
      </c>
      <c r="GO94">
        <f t="shared" si="136"/>
        <v>0</v>
      </c>
      <c r="GP94">
        <f t="shared" si="137"/>
        <v>0</v>
      </c>
      <c r="GR94">
        <v>0</v>
      </c>
      <c r="GS94">
        <v>3</v>
      </c>
      <c r="GT94">
        <v>0</v>
      </c>
      <c r="GU94" t="s">
        <v>6</v>
      </c>
      <c r="GV94">
        <f t="shared" si="138"/>
        <v>0</v>
      </c>
      <c r="GW94">
        <v>1</v>
      </c>
      <c r="GX94">
        <f t="shared" si="139"/>
        <v>0</v>
      </c>
      <c r="HA94">
        <v>0</v>
      </c>
      <c r="HB94">
        <v>0</v>
      </c>
      <c r="HC94">
        <f t="shared" si="140"/>
        <v>0</v>
      </c>
      <c r="IK94">
        <v>0</v>
      </c>
    </row>
    <row r="95" spans="1:245" x14ac:dyDescent="0.2">
      <c r="A95">
        <v>18</v>
      </c>
      <c r="B95">
        <v>1</v>
      </c>
      <c r="C95">
        <v>215</v>
      </c>
      <c r="E95" t="s">
        <v>319</v>
      </c>
      <c r="F95" t="s">
        <v>320</v>
      </c>
      <c r="G95" t="s">
        <v>321</v>
      </c>
      <c r="H95" t="s">
        <v>98</v>
      </c>
      <c r="I95">
        <f>I93*J95</f>
        <v>7.9018000000000005E-2</v>
      </c>
      <c r="J95">
        <v>1.300001645196848E-2</v>
      </c>
      <c r="O95">
        <f t="shared" si="107"/>
        <v>10360.99</v>
      </c>
      <c r="P95">
        <f t="shared" si="108"/>
        <v>10360.99</v>
      </c>
      <c r="Q95">
        <f t="shared" si="109"/>
        <v>0</v>
      </c>
      <c r="R95">
        <f t="shared" si="110"/>
        <v>0</v>
      </c>
      <c r="S95">
        <f t="shared" si="111"/>
        <v>0</v>
      </c>
      <c r="T95">
        <f t="shared" si="112"/>
        <v>0</v>
      </c>
      <c r="U95">
        <f t="shared" si="113"/>
        <v>0</v>
      </c>
      <c r="V95">
        <f t="shared" si="114"/>
        <v>0</v>
      </c>
      <c r="W95">
        <f t="shared" si="115"/>
        <v>0</v>
      </c>
      <c r="X95">
        <f t="shared" si="116"/>
        <v>0</v>
      </c>
      <c r="Y95">
        <f t="shared" si="117"/>
        <v>0</v>
      </c>
      <c r="AA95">
        <v>16630606</v>
      </c>
      <c r="AB95">
        <f t="shared" si="118"/>
        <v>18390.16</v>
      </c>
      <c r="AC95">
        <f t="shared" si="103"/>
        <v>18390.16</v>
      </c>
      <c r="AD95">
        <f>ROUND((((ET95)-(EU95))+AE95),2)</f>
        <v>0</v>
      </c>
      <c r="AE95">
        <f>ROUND((EU95),2)</f>
        <v>0</v>
      </c>
      <c r="AF95">
        <f>ROUND((EV95),2)</f>
        <v>0</v>
      </c>
      <c r="AG95">
        <f t="shared" si="119"/>
        <v>0</v>
      </c>
      <c r="AH95">
        <f>(EW95)</f>
        <v>0</v>
      </c>
      <c r="AI95">
        <f>(EX95)</f>
        <v>0</v>
      </c>
      <c r="AJ95">
        <f t="shared" si="120"/>
        <v>0</v>
      </c>
      <c r="AK95">
        <v>18390.16</v>
      </c>
      <c r="AL95">
        <v>18390.16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95</v>
      </c>
      <c r="AU95">
        <v>47</v>
      </c>
      <c r="AV95">
        <v>1</v>
      </c>
      <c r="AW95">
        <v>1</v>
      </c>
      <c r="AZ95">
        <v>7.13</v>
      </c>
      <c r="BA95">
        <v>1</v>
      </c>
      <c r="BB95">
        <v>1</v>
      </c>
      <c r="BC95">
        <v>7.13</v>
      </c>
      <c r="BD95" t="s">
        <v>6</v>
      </c>
      <c r="BE95" t="s">
        <v>6</v>
      </c>
      <c r="BF95" t="s">
        <v>6</v>
      </c>
      <c r="BG95" t="s">
        <v>6</v>
      </c>
      <c r="BH95">
        <v>3</v>
      </c>
      <c r="BI95">
        <v>1</v>
      </c>
      <c r="BJ95" t="s">
        <v>322</v>
      </c>
      <c r="BM95">
        <v>15001</v>
      </c>
      <c r="BN95">
        <v>0</v>
      </c>
      <c r="BO95" t="s">
        <v>6</v>
      </c>
      <c r="BP95">
        <v>0</v>
      </c>
      <c r="BQ95">
        <v>2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105</v>
      </c>
      <c r="CA95">
        <v>55</v>
      </c>
      <c r="CE95">
        <v>0</v>
      </c>
      <c r="CF95">
        <v>0</v>
      </c>
      <c r="CG95">
        <v>0</v>
      </c>
      <c r="CM95">
        <v>0</v>
      </c>
      <c r="CN95" t="s">
        <v>6</v>
      </c>
      <c r="CO95">
        <v>0</v>
      </c>
      <c r="CP95">
        <f t="shared" si="121"/>
        <v>10360.99</v>
      </c>
      <c r="CQ95">
        <f t="shared" si="122"/>
        <v>131121.84080000001</v>
      </c>
      <c r="CR95">
        <f t="shared" si="123"/>
        <v>0</v>
      </c>
      <c r="CS95">
        <f t="shared" si="124"/>
        <v>0</v>
      </c>
      <c r="CT95">
        <f t="shared" si="125"/>
        <v>0</v>
      </c>
      <c r="CU95">
        <f t="shared" si="126"/>
        <v>0</v>
      </c>
      <c r="CV95">
        <f t="shared" si="127"/>
        <v>0</v>
      </c>
      <c r="CW95">
        <f t="shared" si="128"/>
        <v>0</v>
      </c>
      <c r="CX95">
        <f t="shared" si="129"/>
        <v>0</v>
      </c>
      <c r="CY95">
        <f t="shared" si="130"/>
        <v>0</v>
      </c>
      <c r="CZ95">
        <f t="shared" si="131"/>
        <v>0</v>
      </c>
      <c r="DC95" t="s">
        <v>6</v>
      </c>
      <c r="DD95" t="s">
        <v>6</v>
      </c>
      <c r="DE95" t="s">
        <v>6</v>
      </c>
      <c r="DF95" t="s">
        <v>6</v>
      </c>
      <c r="DG95" t="s">
        <v>6</v>
      </c>
      <c r="DH95" t="s">
        <v>6</v>
      </c>
      <c r="DI95" t="s">
        <v>6</v>
      </c>
      <c r="DJ95" t="s">
        <v>6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1009</v>
      </c>
      <c r="DV95" t="s">
        <v>98</v>
      </c>
      <c r="DW95" t="s">
        <v>98</v>
      </c>
      <c r="DX95">
        <v>1000</v>
      </c>
      <c r="EE95">
        <v>16609130</v>
      </c>
      <c r="EF95">
        <v>2</v>
      </c>
      <c r="EG95" t="s">
        <v>14</v>
      </c>
      <c r="EH95">
        <v>0</v>
      </c>
      <c r="EI95" t="s">
        <v>6</v>
      </c>
      <c r="EJ95">
        <v>1</v>
      </c>
      <c r="EK95">
        <v>15001</v>
      </c>
      <c r="EL95" t="s">
        <v>118</v>
      </c>
      <c r="EM95" t="s">
        <v>119</v>
      </c>
      <c r="EO95" t="s">
        <v>6</v>
      </c>
      <c r="EQ95">
        <v>0</v>
      </c>
      <c r="ER95">
        <v>18390.16</v>
      </c>
      <c r="ES95">
        <v>18390.16</v>
      </c>
      <c r="ET95">
        <v>0</v>
      </c>
      <c r="EU95">
        <v>0</v>
      </c>
      <c r="EV95">
        <v>0</v>
      </c>
      <c r="EW95">
        <v>0</v>
      </c>
      <c r="EX95">
        <v>0</v>
      </c>
      <c r="FQ95">
        <v>0</v>
      </c>
      <c r="FR95">
        <f t="shared" si="132"/>
        <v>0</v>
      </c>
      <c r="FS95">
        <v>0</v>
      </c>
      <c r="FT95" t="s">
        <v>22</v>
      </c>
      <c r="FU95" t="s">
        <v>23</v>
      </c>
      <c r="FX95">
        <v>94.5</v>
      </c>
      <c r="FY95">
        <v>46.75</v>
      </c>
      <c r="GA95" t="s">
        <v>6</v>
      </c>
      <c r="GD95">
        <v>0</v>
      </c>
      <c r="GF95">
        <v>-1919714308</v>
      </c>
      <c r="GG95">
        <v>1</v>
      </c>
      <c r="GH95">
        <v>1</v>
      </c>
      <c r="GI95">
        <v>4</v>
      </c>
      <c r="GJ95">
        <v>0</v>
      </c>
      <c r="GK95">
        <f>ROUND(R95*(R12)/100,2)</f>
        <v>0</v>
      </c>
      <c r="GL95">
        <f t="shared" si="133"/>
        <v>0</v>
      </c>
      <c r="GM95">
        <f t="shared" si="134"/>
        <v>10360.99</v>
      </c>
      <c r="GN95">
        <f t="shared" si="135"/>
        <v>10360.99</v>
      </c>
      <c r="GO95">
        <f t="shared" si="136"/>
        <v>0</v>
      </c>
      <c r="GP95">
        <f t="shared" si="137"/>
        <v>0</v>
      </c>
      <c r="GR95">
        <v>0</v>
      </c>
      <c r="GS95">
        <v>3</v>
      </c>
      <c r="GT95">
        <v>0</v>
      </c>
      <c r="GU95" t="s">
        <v>6</v>
      </c>
      <c r="GV95">
        <f t="shared" si="138"/>
        <v>0</v>
      </c>
      <c r="GW95">
        <v>1</v>
      </c>
      <c r="GX95">
        <f t="shared" si="139"/>
        <v>0</v>
      </c>
      <c r="HA95">
        <v>0</v>
      </c>
      <c r="HB95">
        <v>0</v>
      </c>
      <c r="HC95">
        <f t="shared" si="140"/>
        <v>0</v>
      </c>
      <c r="IK95">
        <v>0</v>
      </c>
    </row>
    <row r="96" spans="1:245" x14ac:dyDescent="0.2">
      <c r="A96">
        <v>17</v>
      </c>
      <c r="B96">
        <v>1</v>
      </c>
      <c r="C96">
        <f>ROW(SmtRes!A225)</f>
        <v>225</v>
      </c>
      <c r="D96">
        <f>ROW(EtalonRes!A234)</f>
        <v>234</v>
      </c>
      <c r="E96" t="s">
        <v>323</v>
      </c>
      <c r="F96" t="s">
        <v>324</v>
      </c>
      <c r="G96" t="s">
        <v>325</v>
      </c>
      <c r="H96" t="s">
        <v>18</v>
      </c>
      <c r="I96">
        <f>ROUND(138.39/100,9)</f>
        <v>1.3838999999999999</v>
      </c>
      <c r="J96">
        <v>0</v>
      </c>
      <c r="O96">
        <f t="shared" si="107"/>
        <v>21585.21</v>
      </c>
      <c r="P96">
        <f t="shared" si="108"/>
        <v>11153.89</v>
      </c>
      <c r="Q96">
        <f t="shared" si="109"/>
        <v>1275.1400000000001</v>
      </c>
      <c r="R96">
        <f t="shared" si="110"/>
        <v>738.86</v>
      </c>
      <c r="S96">
        <f t="shared" si="111"/>
        <v>9156.18</v>
      </c>
      <c r="T96">
        <f t="shared" si="112"/>
        <v>0</v>
      </c>
      <c r="U96">
        <f t="shared" si="113"/>
        <v>136.61307239999999</v>
      </c>
      <c r="V96">
        <f t="shared" si="114"/>
        <v>10.880913749999999</v>
      </c>
      <c r="W96">
        <f t="shared" si="115"/>
        <v>0</v>
      </c>
      <c r="X96">
        <f t="shared" si="116"/>
        <v>9400.2900000000009</v>
      </c>
      <c r="Y96">
        <f t="shared" si="117"/>
        <v>4650.67</v>
      </c>
      <c r="AA96">
        <v>16630606</v>
      </c>
      <c r="AB96">
        <f t="shared" si="118"/>
        <v>2187.5700000000002</v>
      </c>
      <c r="AC96">
        <f t="shared" si="103"/>
        <v>1130.4000000000001</v>
      </c>
      <c r="AD96">
        <f>ROUND(((((ET96*1.25))-((EU96*1.25)))+AE96),2)</f>
        <v>129.22999999999999</v>
      </c>
      <c r="AE96">
        <f>ROUND(((EU96*1.25)),2)</f>
        <v>74.88</v>
      </c>
      <c r="AF96">
        <f>ROUND(((EV96*1.15)),2)</f>
        <v>927.94</v>
      </c>
      <c r="AG96">
        <f t="shared" si="119"/>
        <v>0</v>
      </c>
      <c r="AH96">
        <f>((EW96*1.15))</f>
        <v>98.715999999999994</v>
      </c>
      <c r="AI96">
        <f>((EX96*1.25))</f>
        <v>7.8624999999999998</v>
      </c>
      <c r="AJ96">
        <f t="shared" si="120"/>
        <v>0</v>
      </c>
      <c r="AK96">
        <v>2040.68</v>
      </c>
      <c r="AL96">
        <v>1130.4000000000001</v>
      </c>
      <c r="AM96">
        <v>103.38</v>
      </c>
      <c r="AN96">
        <v>59.9</v>
      </c>
      <c r="AO96">
        <v>806.9</v>
      </c>
      <c r="AP96">
        <v>0</v>
      </c>
      <c r="AQ96">
        <v>85.84</v>
      </c>
      <c r="AR96">
        <v>6.29</v>
      </c>
      <c r="AS96">
        <v>0</v>
      </c>
      <c r="AT96">
        <v>95</v>
      </c>
      <c r="AU96">
        <v>47</v>
      </c>
      <c r="AV96">
        <v>1</v>
      </c>
      <c r="AW96">
        <v>1</v>
      </c>
      <c r="AZ96">
        <v>7.13</v>
      </c>
      <c r="BA96">
        <v>7.13</v>
      </c>
      <c r="BB96">
        <v>7.13</v>
      </c>
      <c r="BC96">
        <v>7.13</v>
      </c>
      <c r="BD96" t="s">
        <v>6</v>
      </c>
      <c r="BE96" t="s">
        <v>6</v>
      </c>
      <c r="BF96" t="s">
        <v>6</v>
      </c>
      <c r="BG96" t="s">
        <v>6</v>
      </c>
      <c r="BH96">
        <v>0</v>
      </c>
      <c r="BI96">
        <v>1</v>
      </c>
      <c r="BJ96" t="s">
        <v>326</v>
      </c>
      <c r="BM96">
        <v>15001</v>
      </c>
      <c r="BN96">
        <v>0</v>
      </c>
      <c r="BO96" t="s">
        <v>6</v>
      </c>
      <c r="BP96">
        <v>0</v>
      </c>
      <c r="BQ96">
        <v>2</v>
      </c>
      <c r="BR96">
        <v>0</v>
      </c>
      <c r="BS96">
        <v>7.13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6</v>
      </c>
      <c r="BZ96">
        <v>105</v>
      </c>
      <c r="CA96">
        <v>55</v>
      </c>
      <c r="CE96">
        <v>0</v>
      </c>
      <c r="CF96">
        <v>0</v>
      </c>
      <c r="CG96">
        <v>0</v>
      </c>
      <c r="CM96">
        <v>0</v>
      </c>
      <c r="CN96" t="s">
        <v>1758</v>
      </c>
      <c r="CO96">
        <v>0</v>
      </c>
      <c r="CP96">
        <f t="shared" si="121"/>
        <v>21585.21</v>
      </c>
      <c r="CQ96">
        <f t="shared" si="122"/>
        <v>8059.7520000000004</v>
      </c>
      <c r="CR96">
        <f t="shared" si="123"/>
        <v>921.40989999999988</v>
      </c>
      <c r="CS96">
        <f t="shared" si="124"/>
        <v>533.89439999999991</v>
      </c>
      <c r="CT96">
        <f t="shared" si="125"/>
        <v>6616.2121999999999</v>
      </c>
      <c r="CU96">
        <f t="shared" si="126"/>
        <v>0</v>
      </c>
      <c r="CV96">
        <f t="shared" si="127"/>
        <v>98.715999999999994</v>
      </c>
      <c r="CW96">
        <f t="shared" si="128"/>
        <v>7.8624999999999998</v>
      </c>
      <c r="CX96">
        <f t="shared" si="129"/>
        <v>0</v>
      </c>
      <c r="CY96">
        <f t="shared" si="130"/>
        <v>9400.2880000000005</v>
      </c>
      <c r="CZ96">
        <f t="shared" si="131"/>
        <v>4650.6688000000004</v>
      </c>
      <c r="DC96" t="s">
        <v>6</v>
      </c>
      <c r="DD96" t="s">
        <v>6</v>
      </c>
      <c r="DE96" t="s">
        <v>81</v>
      </c>
      <c r="DF96" t="s">
        <v>81</v>
      </c>
      <c r="DG96" t="s">
        <v>82</v>
      </c>
      <c r="DH96" t="s">
        <v>6</v>
      </c>
      <c r="DI96" t="s">
        <v>82</v>
      </c>
      <c r="DJ96" t="s">
        <v>81</v>
      </c>
      <c r="DK96" t="s">
        <v>6</v>
      </c>
      <c r="DL96" t="s">
        <v>6</v>
      </c>
      <c r="DM96" t="s">
        <v>6</v>
      </c>
      <c r="DN96">
        <v>0</v>
      </c>
      <c r="DO96">
        <v>0</v>
      </c>
      <c r="DP96">
        <v>1</v>
      </c>
      <c r="DQ96">
        <v>1</v>
      </c>
      <c r="DU96">
        <v>1005</v>
      </c>
      <c r="DV96" t="s">
        <v>18</v>
      </c>
      <c r="DW96" t="s">
        <v>18</v>
      </c>
      <c r="DX96">
        <v>100</v>
      </c>
      <c r="EE96">
        <v>16609130</v>
      </c>
      <c r="EF96">
        <v>2</v>
      </c>
      <c r="EG96" t="s">
        <v>14</v>
      </c>
      <c r="EH96">
        <v>0</v>
      </c>
      <c r="EI96" t="s">
        <v>6</v>
      </c>
      <c r="EJ96">
        <v>1</v>
      </c>
      <c r="EK96">
        <v>15001</v>
      </c>
      <c r="EL96" t="s">
        <v>118</v>
      </c>
      <c r="EM96" t="s">
        <v>119</v>
      </c>
      <c r="EO96" t="s">
        <v>83</v>
      </c>
      <c r="EQ96">
        <v>131072</v>
      </c>
      <c r="ER96">
        <v>2040.68</v>
      </c>
      <c r="ES96">
        <v>1130.4000000000001</v>
      </c>
      <c r="ET96">
        <v>103.38</v>
      </c>
      <c r="EU96">
        <v>59.9</v>
      </c>
      <c r="EV96">
        <v>806.9</v>
      </c>
      <c r="EW96">
        <v>85.84</v>
      </c>
      <c r="EX96">
        <v>6.29</v>
      </c>
      <c r="EY96">
        <v>0</v>
      </c>
      <c r="FQ96">
        <v>0</v>
      </c>
      <c r="FR96">
        <f t="shared" si="132"/>
        <v>0</v>
      </c>
      <c r="FS96">
        <v>0</v>
      </c>
      <c r="FT96" t="s">
        <v>22</v>
      </c>
      <c r="FU96" t="s">
        <v>23</v>
      </c>
      <c r="FX96">
        <v>94.5</v>
      </c>
      <c r="FY96">
        <v>46.75</v>
      </c>
      <c r="GA96" t="s">
        <v>6</v>
      </c>
      <c r="GD96">
        <v>0</v>
      </c>
      <c r="GF96">
        <v>2119154356</v>
      </c>
      <c r="GG96">
        <v>1</v>
      </c>
      <c r="GH96">
        <v>1</v>
      </c>
      <c r="GI96">
        <v>4</v>
      </c>
      <c r="GJ96">
        <v>0</v>
      </c>
      <c r="GK96">
        <f>ROUND(R96*(R12)/100,2)</f>
        <v>0</v>
      </c>
      <c r="GL96">
        <f t="shared" si="133"/>
        <v>0</v>
      </c>
      <c r="GM96">
        <f t="shared" si="134"/>
        <v>35636.17</v>
      </c>
      <c r="GN96">
        <f t="shared" si="135"/>
        <v>35636.17</v>
      </c>
      <c r="GO96">
        <f t="shared" si="136"/>
        <v>0</v>
      </c>
      <c r="GP96">
        <f t="shared" si="137"/>
        <v>0</v>
      </c>
      <c r="GR96">
        <v>0</v>
      </c>
      <c r="GS96">
        <v>3</v>
      </c>
      <c r="GT96">
        <v>0</v>
      </c>
      <c r="GU96" t="s">
        <v>6</v>
      </c>
      <c r="GV96">
        <f t="shared" si="138"/>
        <v>0</v>
      </c>
      <c r="GW96">
        <v>1</v>
      </c>
      <c r="GX96">
        <f t="shared" si="139"/>
        <v>0</v>
      </c>
      <c r="HA96">
        <v>0</v>
      </c>
      <c r="HB96">
        <v>0</v>
      </c>
      <c r="HC96">
        <f t="shared" si="140"/>
        <v>0</v>
      </c>
      <c r="IK96">
        <v>0</v>
      </c>
    </row>
    <row r="97" spans="1:245" x14ac:dyDescent="0.2">
      <c r="A97">
        <v>18</v>
      </c>
      <c r="B97">
        <v>1</v>
      </c>
      <c r="C97">
        <v>223</v>
      </c>
      <c r="E97" t="s">
        <v>327</v>
      </c>
      <c r="F97" t="s">
        <v>328</v>
      </c>
      <c r="G97" t="s">
        <v>329</v>
      </c>
      <c r="H97" t="s">
        <v>203</v>
      </c>
      <c r="I97">
        <f>I96*J97</f>
        <v>-2.5878930000000002</v>
      </c>
      <c r="J97">
        <v>-1.8700000000000003</v>
      </c>
      <c r="O97">
        <f t="shared" si="107"/>
        <v>-9556.31</v>
      </c>
      <c r="P97">
        <f t="shared" si="108"/>
        <v>-9556.31</v>
      </c>
      <c r="Q97">
        <f t="shared" si="109"/>
        <v>0</v>
      </c>
      <c r="R97">
        <f t="shared" si="110"/>
        <v>0</v>
      </c>
      <c r="S97">
        <f t="shared" si="111"/>
        <v>0</v>
      </c>
      <c r="T97">
        <f t="shared" si="112"/>
        <v>0</v>
      </c>
      <c r="U97">
        <f t="shared" si="113"/>
        <v>0</v>
      </c>
      <c r="V97">
        <f t="shared" si="114"/>
        <v>0</v>
      </c>
      <c r="W97">
        <f t="shared" si="115"/>
        <v>0</v>
      </c>
      <c r="X97">
        <f t="shared" si="116"/>
        <v>0</v>
      </c>
      <c r="Y97">
        <f t="shared" si="117"/>
        <v>0</v>
      </c>
      <c r="AA97">
        <v>16630606</v>
      </c>
      <c r="AB97">
        <f t="shared" si="118"/>
        <v>517.91</v>
      </c>
      <c r="AC97">
        <f t="shared" si="103"/>
        <v>517.91</v>
      </c>
      <c r="AD97">
        <f>ROUND((((ET97)-(EU97))+AE97),2)</f>
        <v>0</v>
      </c>
      <c r="AE97">
        <f>ROUND((EU97),2)</f>
        <v>0</v>
      </c>
      <c r="AF97">
        <f>ROUND((EV97),2)</f>
        <v>0</v>
      </c>
      <c r="AG97">
        <f t="shared" si="119"/>
        <v>0</v>
      </c>
      <c r="AH97">
        <f>(EW97)</f>
        <v>0</v>
      </c>
      <c r="AI97">
        <f>(EX97)</f>
        <v>0</v>
      </c>
      <c r="AJ97">
        <f t="shared" si="120"/>
        <v>0</v>
      </c>
      <c r="AK97">
        <v>517.91</v>
      </c>
      <c r="AL97">
        <v>517.91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95</v>
      </c>
      <c r="AU97">
        <v>47</v>
      </c>
      <c r="AV97">
        <v>1</v>
      </c>
      <c r="AW97">
        <v>1</v>
      </c>
      <c r="AZ97">
        <v>7.13</v>
      </c>
      <c r="BA97">
        <v>1</v>
      </c>
      <c r="BB97">
        <v>1</v>
      </c>
      <c r="BC97">
        <v>7.13</v>
      </c>
      <c r="BD97" t="s">
        <v>6</v>
      </c>
      <c r="BE97" t="s">
        <v>6</v>
      </c>
      <c r="BF97" t="s">
        <v>6</v>
      </c>
      <c r="BG97" t="s">
        <v>6</v>
      </c>
      <c r="BH97">
        <v>3</v>
      </c>
      <c r="BI97">
        <v>1</v>
      </c>
      <c r="BJ97" t="s">
        <v>330</v>
      </c>
      <c r="BM97">
        <v>15001</v>
      </c>
      <c r="BN97">
        <v>0</v>
      </c>
      <c r="BO97" t="s">
        <v>6</v>
      </c>
      <c r="BP97">
        <v>0</v>
      </c>
      <c r="BQ97">
        <v>2</v>
      </c>
      <c r="BR97">
        <v>1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105</v>
      </c>
      <c r="CA97">
        <v>55</v>
      </c>
      <c r="CE97">
        <v>0</v>
      </c>
      <c r="CF97">
        <v>0</v>
      </c>
      <c r="CG97">
        <v>0</v>
      </c>
      <c r="CM97">
        <v>0</v>
      </c>
      <c r="CN97" t="s">
        <v>6</v>
      </c>
      <c r="CO97">
        <v>0</v>
      </c>
      <c r="CP97">
        <f t="shared" si="121"/>
        <v>-9556.31</v>
      </c>
      <c r="CQ97">
        <f t="shared" si="122"/>
        <v>3692.6982999999996</v>
      </c>
      <c r="CR97">
        <f t="shared" si="123"/>
        <v>0</v>
      </c>
      <c r="CS97">
        <f t="shared" si="124"/>
        <v>0</v>
      </c>
      <c r="CT97">
        <f t="shared" si="125"/>
        <v>0</v>
      </c>
      <c r="CU97">
        <f t="shared" si="126"/>
        <v>0</v>
      </c>
      <c r="CV97">
        <f t="shared" si="127"/>
        <v>0</v>
      </c>
      <c r="CW97">
        <f t="shared" si="128"/>
        <v>0</v>
      </c>
      <c r="CX97">
        <f t="shared" si="129"/>
        <v>0</v>
      </c>
      <c r="CY97">
        <f t="shared" si="130"/>
        <v>0</v>
      </c>
      <c r="CZ97">
        <f t="shared" si="131"/>
        <v>0</v>
      </c>
      <c r="DC97" t="s">
        <v>6</v>
      </c>
      <c r="DD97" t="s">
        <v>6</v>
      </c>
      <c r="DE97" t="s">
        <v>6</v>
      </c>
      <c r="DF97" t="s">
        <v>6</v>
      </c>
      <c r="DG97" t="s">
        <v>6</v>
      </c>
      <c r="DH97" t="s">
        <v>6</v>
      </c>
      <c r="DI97" t="s">
        <v>6</v>
      </c>
      <c r="DJ97" t="s">
        <v>6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1007</v>
      </c>
      <c r="DV97" t="s">
        <v>203</v>
      </c>
      <c r="DW97" t="s">
        <v>203</v>
      </c>
      <c r="DX97">
        <v>1</v>
      </c>
      <c r="EE97">
        <v>16609130</v>
      </c>
      <c r="EF97">
        <v>2</v>
      </c>
      <c r="EG97" t="s">
        <v>14</v>
      </c>
      <c r="EH97">
        <v>0</v>
      </c>
      <c r="EI97" t="s">
        <v>6</v>
      </c>
      <c r="EJ97">
        <v>1</v>
      </c>
      <c r="EK97">
        <v>15001</v>
      </c>
      <c r="EL97" t="s">
        <v>118</v>
      </c>
      <c r="EM97" t="s">
        <v>119</v>
      </c>
      <c r="EO97" t="s">
        <v>6</v>
      </c>
      <c r="EQ97">
        <v>32768</v>
      </c>
      <c r="ER97">
        <v>517.91</v>
      </c>
      <c r="ES97">
        <v>517.91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32"/>
        <v>0</v>
      </c>
      <c r="FS97">
        <v>0</v>
      </c>
      <c r="FT97" t="s">
        <v>22</v>
      </c>
      <c r="FU97" t="s">
        <v>23</v>
      </c>
      <c r="FX97">
        <v>94.5</v>
      </c>
      <c r="FY97">
        <v>46.75</v>
      </c>
      <c r="GA97" t="s">
        <v>6</v>
      </c>
      <c r="GD97">
        <v>0</v>
      </c>
      <c r="GF97">
        <v>-1001479081</v>
      </c>
      <c r="GG97">
        <v>1</v>
      </c>
      <c r="GH97">
        <v>1</v>
      </c>
      <c r="GI97">
        <v>4</v>
      </c>
      <c r="GJ97">
        <v>0</v>
      </c>
      <c r="GK97">
        <f>ROUND(R97*(R12)/100,2)</f>
        <v>0</v>
      </c>
      <c r="GL97">
        <f t="shared" si="133"/>
        <v>0</v>
      </c>
      <c r="GM97">
        <f t="shared" si="134"/>
        <v>-9556.31</v>
      </c>
      <c r="GN97">
        <f t="shared" si="135"/>
        <v>-9556.31</v>
      </c>
      <c r="GO97">
        <f t="shared" si="136"/>
        <v>0</v>
      </c>
      <c r="GP97">
        <f t="shared" si="137"/>
        <v>0</v>
      </c>
      <c r="GR97">
        <v>0</v>
      </c>
      <c r="GS97">
        <v>3</v>
      </c>
      <c r="GT97">
        <v>0</v>
      </c>
      <c r="GU97" t="s">
        <v>6</v>
      </c>
      <c r="GV97">
        <f t="shared" si="138"/>
        <v>0</v>
      </c>
      <c r="GW97">
        <v>1</v>
      </c>
      <c r="GX97">
        <f t="shared" si="139"/>
        <v>0</v>
      </c>
      <c r="HA97">
        <v>0</v>
      </c>
      <c r="HB97">
        <v>0</v>
      </c>
      <c r="HC97">
        <f t="shared" si="140"/>
        <v>0</v>
      </c>
      <c r="IK97">
        <v>0</v>
      </c>
    </row>
    <row r="98" spans="1:245" x14ac:dyDescent="0.2">
      <c r="A98">
        <v>18</v>
      </c>
      <c r="B98">
        <v>1</v>
      </c>
      <c r="C98">
        <v>224</v>
      </c>
      <c r="E98" t="s">
        <v>331</v>
      </c>
      <c r="F98" t="s">
        <v>309</v>
      </c>
      <c r="G98" t="s">
        <v>332</v>
      </c>
      <c r="H98" t="s">
        <v>98</v>
      </c>
      <c r="I98">
        <f>I96*J98</f>
        <v>1.8959399999999997</v>
      </c>
      <c r="J98">
        <v>1.3699978322133102</v>
      </c>
      <c r="O98">
        <f t="shared" si="107"/>
        <v>12590.31</v>
      </c>
      <c r="P98">
        <f t="shared" si="108"/>
        <v>12590.31</v>
      </c>
      <c r="Q98">
        <f t="shared" si="109"/>
        <v>0</v>
      </c>
      <c r="R98">
        <f t="shared" si="110"/>
        <v>0</v>
      </c>
      <c r="S98">
        <f t="shared" si="111"/>
        <v>0</v>
      </c>
      <c r="T98">
        <f t="shared" si="112"/>
        <v>0</v>
      </c>
      <c r="U98">
        <f t="shared" si="113"/>
        <v>0</v>
      </c>
      <c r="V98">
        <f t="shared" si="114"/>
        <v>0</v>
      </c>
      <c r="W98">
        <f t="shared" si="115"/>
        <v>0</v>
      </c>
      <c r="X98">
        <f t="shared" si="116"/>
        <v>0</v>
      </c>
      <c r="Y98">
        <f t="shared" si="117"/>
        <v>0</v>
      </c>
      <c r="AA98">
        <v>16630606</v>
      </c>
      <c r="AB98">
        <f t="shared" si="118"/>
        <v>931.37</v>
      </c>
      <c r="AC98">
        <f t="shared" si="103"/>
        <v>931.37</v>
      </c>
      <c r="AD98">
        <f>ROUND((((ET98)-(EU98))+AE98),2)</f>
        <v>0</v>
      </c>
      <c r="AE98">
        <f>ROUND((EU98),2)</f>
        <v>0</v>
      </c>
      <c r="AF98">
        <f>ROUND((EV98),2)</f>
        <v>0</v>
      </c>
      <c r="AG98">
        <f t="shared" si="119"/>
        <v>0</v>
      </c>
      <c r="AH98">
        <f>(EW98)</f>
        <v>0</v>
      </c>
      <c r="AI98">
        <f>(EX98)</f>
        <v>0</v>
      </c>
      <c r="AJ98">
        <f t="shared" si="120"/>
        <v>0</v>
      </c>
      <c r="AK98">
        <v>931.37</v>
      </c>
      <c r="AL98">
        <v>931.37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95</v>
      </c>
      <c r="AU98">
        <v>47</v>
      </c>
      <c r="AV98">
        <v>1</v>
      </c>
      <c r="AW98">
        <v>1</v>
      </c>
      <c r="AZ98">
        <v>7.13</v>
      </c>
      <c r="BA98">
        <v>1</v>
      </c>
      <c r="BB98">
        <v>1</v>
      </c>
      <c r="BC98">
        <v>7.13</v>
      </c>
      <c r="BD98" t="s">
        <v>6</v>
      </c>
      <c r="BE98" t="s">
        <v>6</v>
      </c>
      <c r="BF98" t="s">
        <v>6</v>
      </c>
      <c r="BG98" t="s">
        <v>6</v>
      </c>
      <c r="BH98">
        <v>3</v>
      </c>
      <c r="BI98">
        <v>1</v>
      </c>
      <c r="BJ98" t="s">
        <v>311</v>
      </c>
      <c r="BM98">
        <v>15001</v>
      </c>
      <c r="BN98">
        <v>0</v>
      </c>
      <c r="BO98" t="s">
        <v>6</v>
      </c>
      <c r="BP98">
        <v>0</v>
      </c>
      <c r="BQ98">
        <v>2</v>
      </c>
      <c r="BR98">
        <v>0</v>
      </c>
      <c r="BS98">
        <v>1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6</v>
      </c>
      <c r="BZ98">
        <v>105</v>
      </c>
      <c r="CA98">
        <v>55</v>
      </c>
      <c r="CE98">
        <v>0</v>
      </c>
      <c r="CF98">
        <v>0</v>
      </c>
      <c r="CG98">
        <v>0</v>
      </c>
      <c r="CM98">
        <v>0</v>
      </c>
      <c r="CN98" t="s">
        <v>6</v>
      </c>
      <c r="CO98">
        <v>0</v>
      </c>
      <c r="CP98">
        <f t="shared" si="121"/>
        <v>12590.31</v>
      </c>
      <c r="CQ98">
        <f t="shared" si="122"/>
        <v>6640.6680999999999</v>
      </c>
      <c r="CR98">
        <f t="shared" si="123"/>
        <v>0</v>
      </c>
      <c r="CS98">
        <f t="shared" si="124"/>
        <v>0</v>
      </c>
      <c r="CT98">
        <f t="shared" si="125"/>
        <v>0</v>
      </c>
      <c r="CU98">
        <f t="shared" si="126"/>
        <v>0</v>
      </c>
      <c r="CV98">
        <f t="shared" si="127"/>
        <v>0</v>
      </c>
      <c r="CW98">
        <f t="shared" si="128"/>
        <v>0</v>
      </c>
      <c r="CX98">
        <f t="shared" si="129"/>
        <v>0</v>
      </c>
      <c r="CY98">
        <f t="shared" si="130"/>
        <v>0</v>
      </c>
      <c r="CZ98">
        <f t="shared" si="131"/>
        <v>0</v>
      </c>
      <c r="DC98" t="s">
        <v>6</v>
      </c>
      <c r="DD98" t="s">
        <v>6</v>
      </c>
      <c r="DE98" t="s">
        <v>6</v>
      </c>
      <c r="DF98" t="s">
        <v>6</v>
      </c>
      <c r="DG98" t="s">
        <v>6</v>
      </c>
      <c r="DH98" t="s">
        <v>6</v>
      </c>
      <c r="DI98" t="s">
        <v>6</v>
      </c>
      <c r="DJ98" t="s">
        <v>6</v>
      </c>
      <c r="DK98" t="s">
        <v>6</v>
      </c>
      <c r="DL98" t="s">
        <v>6</v>
      </c>
      <c r="DM98" t="s">
        <v>6</v>
      </c>
      <c r="DN98">
        <v>0</v>
      </c>
      <c r="DO98">
        <v>0</v>
      </c>
      <c r="DP98">
        <v>1</v>
      </c>
      <c r="DQ98">
        <v>1</v>
      </c>
      <c r="DU98">
        <v>1009</v>
      </c>
      <c r="DV98" t="s">
        <v>98</v>
      </c>
      <c r="DW98" t="s">
        <v>98</v>
      </c>
      <c r="DX98">
        <v>1000</v>
      </c>
      <c r="EE98">
        <v>16609130</v>
      </c>
      <c r="EF98">
        <v>2</v>
      </c>
      <c r="EG98" t="s">
        <v>14</v>
      </c>
      <c r="EH98">
        <v>0</v>
      </c>
      <c r="EI98" t="s">
        <v>6</v>
      </c>
      <c r="EJ98">
        <v>1</v>
      </c>
      <c r="EK98">
        <v>15001</v>
      </c>
      <c r="EL98" t="s">
        <v>118</v>
      </c>
      <c r="EM98" t="s">
        <v>119</v>
      </c>
      <c r="EO98" t="s">
        <v>6</v>
      </c>
      <c r="EQ98">
        <v>0</v>
      </c>
      <c r="ER98">
        <v>931.37</v>
      </c>
      <c r="ES98">
        <v>931.37</v>
      </c>
      <c r="ET98">
        <v>0</v>
      </c>
      <c r="EU98">
        <v>0</v>
      </c>
      <c r="EV98">
        <v>0</v>
      </c>
      <c r="EW98">
        <v>0</v>
      </c>
      <c r="EX98">
        <v>0</v>
      </c>
      <c r="FQ98">
        <v>0</v>
      </c>
      <c r="FR98">
        <f t="shared" si="132"/>
        <v>0</v>
      </c>
      <c r="FS98">
        <v>0</v>
      </c>
      <c r="FT98" t="s">
        <v>22</v>
      </c>
      <c r="FU98" t="s">
        <v>23</v>
      </c>
      <c r="FX98">
        <v>94.5</v>
      </c>
      <c r="FY98">
        <v>46.75</v>
      </c>
      <c r="GA98" t="s">
        <v>6</v>
      </c>
      <c r="GD98">
        <v>0</v>
      </c>
      <c r="GF98">
        <v>-791558573</v>
      </c>
      <c r="GG98">
        <v>1</v>
      </c>
      <c r="GH98">
        <v>1</v>
      </c>
      <c r="GI98">
        <v>4</v>
      </c>
      <c r="GJ98">
        <v>0</v>
      </c>
      <c r="GK98">
        <f>ROUND(R98*(R12)/100,2)</f>
        <v>0</v>
      </c>
      <c r="GL98">
        <f t="shared" si="133"/>
        <v>0</v>
      </c>
      <c r="GM98">
        <f t="shared" si="134"/>
        <v>12590.31</v>
      </c>
      <c r="GN98">
        <f t="shared" si="135"/>
        <v>12590.31</v>
      </c>
      <c r="GO98">
        <f t="shared" si="136"/>
        <v>0</v>
      </c>
      <c r="GP98">
        <f t="shared" si="137"/>
        <v>0</v>
      </c>
      <c r="GR98">
        <v>0</v>
      </c>
      <c r="GS98">
        <v>3</v>
      </c>
      <c r="GT98">
        <v>0</v>
      </c>
      <c r="GU98" t="s">
        <v>6</v>
      </c>
      <c r="GV98">
        <f t="shared" si="138"/>
        <v>0</v>
      </c>
      <c r="GW98">
        <v>1</v>
      </c>
      <c r="GX98">
        <f t="shared" si="139"/>
        <v>0</v>
      </c>
      <c r="HA98">
        <v>0</v>
      </c>
      <c r="HB98">
        <v>0</v>
      </c>
      <c r="HC98">
        <f t="shared" si="140"/>
        <v>0</v>
      </c>
      <c r="IK98">
        <v>0</v>
      </c>
    </row>
    <row r="99" spans="1:245" x14ac:dyDescent="0.2">
      <c r="A99">
        <v>17</v>
      </c>
      <c r="B99">
        <v>1</v>
      </c>
      <c r="C99">
        <f>ROW(SmtRes!A235)</f>
        <v>235</v>
      </c>
      <c r="D99">
        <f>ROW(EtalonRes!A244)</f>
        <v>244</v>
      </c>
      <c r="E99" t="s">
        <v>333</v>
      </c>
      <c r="F99" t="s">
        <v>334</v>
      </c>
      <c r="G99" t="s">
        <v>335</v>
      </c>
      <c r="H99" t="s">
        <v>18</v>
      </c>
      <c r="I99">
        <f>ROUND(166.39/100,9)</f>
        <v>1.6638999999999999</v>
      </c>
      <c r="J99">
        <v>0</v>
      </c>
      <c r="O99">
        <f t="shared" si="107"/>
        <v>38103.42</v>
      </c>
      <c r="P99">
        <f t="shared" si="108"/>
        <v>9105.44</v>
      </c>
      <c r="Q99">
        <f t="shared" si="109"/>
        <v>442.28</v>
      </c>
      <c r="R99">
        <f t="shared" si="110"/>
        <v>169.65</v>
      </c>
      <c r="S99">
        <f t="shared" si="111"/>
        <v>28555.7</v>
      </c>
      <c r="T99">
        <f t="shared" si="112"/>
        <v>0</v>
      </c>
      <c r="U99">
        <f t="shared" si="113"/>
        <v>436.27457999999996</v>
      </c>
      <c r="V99">
        <f t="shared" si="114"/>
        <v>1.7886924999999998</v>
      </c>
      <c r="W99">
        <f t="shared" si="115"/>
        <v>0</v>
      </c>
      <c r="X99">
        <f t="shared" si="116"/>
        <v>27289.08</v>
      </c>
      <c r="Y99">
        <f t="shared" si="117"/>
        <v>13500.91</v>
      </c>
      <c r="AA99">
        <v>16630606</v>
      </c>
      <c r="AB99">
        <f t="shared" si="118"/>
        <v>3211.79</v>
      </c>
      <c r="AC99">
        <f t="shared" si="103"/>
        <v>767.51</v>
      </c>
      <c r="AD99">
        <f>ROUND(((((ET99*1.25))-((EU99*1.25)))+AE99),2)</f>
        <v>37.28</v>
      </c>
      <c r="AE99">
        <f>ROUND(((EU99*1.25)),2)</f>
        <v>14.3</v>
      </c>
      <c r="AF99">
        <f>ROUND(((EV99*1.15)),2)</f>
        <v>2407</v>
      </c>
      <c r="AG99">
        <f t="shared" si="119"/>
        <v>0</v>
      </c>
      <c r="AH99">
        <f>((EW99*1.15))</f>
        <v>262.2</v>
      </c>
      <c r="AI99">
        <f>((EX99*1.25))</f>
        <v>1.075</v>
      </c>
      <c r="AJ99">
        <f t="shared" si="120"/>
        <v>0</v>
      </c>
      <c r="AK99">
        <v>2890.37</v>
      </c>
      <c r="AL99">
        <v>767.51</v>
      </c>
      <c r="AM99">
        <v>29.82</v>
      </c>
      <c r="AN99">
        <v>11.44</v>
      </c>
      <c r="AO99">
        <v>2093.04</v>
      </c>
      <c r="AP99">
        <v>0</v>
      </c>
      <c r="AQ99">
        <v>228</v>
      </c>
      <c r="AR99">
        <v>0.86</v>
      </c>
      <c r="AS99">
        <v>0</v>
      </c>
      <c r="AT99">
        <v>95</v>
      </c>
      <c r="AU99">
        <v>47</v>
      </c>
      <c r="AV99">
        <v>1</v>
      </c>
      <c r="AW99">
        <v>1</v>
      </c>
      <c r="AZ99">
        <v>7.13</v>
      </c>
      <c r="BA99">
        <v>7.13</v>
      </c>
      <c r="BB99">
        <v>7.13</v>
      </c>
      <c r="BC99">
        <v>7.13</v>
      </c>
      <c r="BD99" t="s">
        <v>6</v>
      </c>
      <c r="BE99" t="s">
        <v>6</v>
      </c>
      <c r="BF99" t="s">
        <v>6</v>
      </c>
      <c r="BG99" t="s">
        <v>6</v>
      </c>
      <c r="BH99">
        <v>0</v>
      </c>
      <c r="BI99">
        <v>1</v>
      </c>
      <c r="BJ99" t="s">
        <v>336</v>
      </c>
      <c r="BM99">
        <v>15001</v>
      </c>
      <c r="BN99">
        <v>0</v>
      </c>
      <c r="BO99" t="s">
        <v>6</v>
      </c>
      <c r="BP99">
        <v>0</v>
      </c>
      <c r="BQ99">
        <v>2</v>
      </c>
      <c r="BR99">
        <v>0</v>
      </c>
      <c r="BS99">
        <v>7.13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105</v>
      </c>
      <c r="CA99">
        <v>55</v>
      </c>
      <c r="CE99">
        <v>0</v>
      </c>
      <c r="CF99">
        <v>0</v>
      </c>
      <c r="CG99">
        <v>0</v>
      </c>
      <c r="CM99">
        <v>0</v>
      </c>
      <c r="CN99" t="s">
        <v>1758</v>
      </c>
      <c r="CO99">
        <v>0</v>
      </c>
      <c r="CP99">
        <f t="shared" si="121"/>
        <v>38103.42</v>
      </c>
      <c r="CQ99">
        <f t="shared" si="122"/>
        <v>5472.3463000000002</v>
      </c>
      <c r="CR99">
        <f t="shared" si="123"/>
        <v>265.8064</v>
      </c>
      <c r="CS99">
        <f t="shared" si="124"/>
        <v>101.959</v>
      </c>
      <c r="CT99">
        <f t="shared" si="125"/>
        <v>17161.91</v>
      </c>
      <c r="CU99">
        <f t="shared" si="126"/>
        <v>0</v>
      </c>
      <c r="CV99">
        <f t="shared" si="127"/>
        <v>262.2</v>
      </c>
      <c r="CW99">
        <f t="shared" si="128"/>
        <v>1.075</v>
      </c>
      <c r="CX99">
        <f t="shared" si="129"/>
        <v>0</v>
      </c>
      <c r="CY99">
        <f t="shared" si="130"/>
        <v>27289.0825</v>
      </c>
      <c r="CZ99">
        <f t="shared" si="131"/>
        <v>13500.914500000003</v>
      </c>
      <c r="DC99" t="s">
        <v>6</v>
      </c>
      <c r="DD99" t="s">
        <v>6</v>
      </c>
      <c r="DE99" t="s">
        <v>81</v>
      </c>
      <c r="DF99" t="s">
        <v>81</v>
      </c>
      <c r="DG99" t="s">
        <v>82</v>
      </c>
      <c r="DH99" t="s">
        <v>6</v>
      </c>
      <c r="DI99" t="s">
        <v>82</v>
      </c>
      <c r="DJ99" t="s">
        <v>81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1005</v>
      </c>
      <c r="DV99" t="s">
        <v>18</v>
      </c>
      <c r="DW99" t="s">
        <v>18</v>
      </c>
      <c r="DX99">
        <v>100</v>
      </c>
      <c r="EE99">
        <v>16609130</v>
      </c>
      <c r="EF99">
        <v>2</v>
      </c>
      <c r="EG99" t="s">
        <v>14</v>
      </c>
      <c r="EH99">
        <v>0</v>
      </c>
      <c r="EI99" t="s">
        <v>6</v>
      </c>
      <c r="EJ99">
        <v>1</v>
      </c>
      <c r="EK99">
        <v>15001</v>
      </c>
      <c r="EL99" t="s">
        <v>118</v>
      </c>
      <c r="EM99" t="s">
        <v>119</v>
      </c>
      <c r="EO99" t="s">
        <v>83</v>
      </c>
      <c r="EQ99">
        <v>131072</v>
      </c>
      <c r="ER99">
        <v>2890.37</v>
      </c>
      <c r="ES99">
        <v>767.51</v>
      </c>
      <c r="ET99">
        <v>29.82</v>
      </c>
      <c r="EU99">
        <v>11.44</v>
      </c>
      <c r="EV99">
        <v>2093.04</v>
      </c>
      <c r="EW99">
        <v>228</v>
      </c>
      <c r="EX99">
        <v>0.86</v>
      </c>
      <c r="EY99">
        <v>0</v>
      </c>
      <c r="FQ99">
        <v>0</v>
      </c>
      <c r="FR99">
        <f t="shared" si="132"/>
        <v>0</v>
      </c>
      <c r="FS99">
        <v>0</v>
      </c>
      <c r="FT99" t="s">
        <v>22</v>
      </c>
      <c r="FU99" t="s">
        <v>23</v>
      </c>
      <c r="FX99">
        <v>94.5</v>
      </c>
      <c r="FY99">
        <v>46.75</v>
      </c>
      <c r="GA99" t="s">
        <v>6</v>
      </c>
      <c r="GD99">
        <v>0</v>
      </c>
      <c r="GF99">
        <v>-1551800524</v>
      </c>
      <c r="GG99">
        <v>1</v>
      </c>
      <c r="GH99">
        <v>1</v>
      </c>
      <c r="GI99">
        <v>4</v>
      </c>
      <c r="GJ99">
        <v>0</v>
      </c>
      <c r="GK99">
        <f>ROUND(R99*(R12)/100,2)</f>
        <v>0</v>
      </c>
      <c r="GL99">
        <f t="shared" si="133"/>
        <v>0</v>
      </c>
      <c r="GM99">
        <f t="shared" si="134"/>
        <v>78893.41</v>
      </c>
      <c r="GN99">
        <f t="shared" si="135"/>
        <v>78893.41</v>
      </c>
      <c r="GO99">
        <f t="shared" si="136"/>
        <v>0</v>
      </c>
      <c r="GP99">
        <f t="shared" si="137"/>
        <v>0</v>
      </c>
      <c r="GR99">
        <v>0</v>
      </c>
      <c r="GS99">
        <v>3</v>
      </c>
      <c r="GT99">
        <v>0</v>
      </c>
      <c r="GU99" t="s">
        <v>6</v>
      </c>
      <c r="GV99">
        <f t="shared" si="138"/>
        <v>0</v>
      </c>
      <c r="GW99">
        <v>1</v>
      </c>
      <c r="GX99">
        <f t="shared" si="139"/>
        <v>0</v>
      </c>
      <c r="HA99">
        <v>0</v>
      </c>
      <c r="HB99">
        <v>0</v>
      </c>
      <c r="HC99">
        <f t="shared" si="140"/>
        <v>0</v>
      </c>
      <c r="IK99">
        <v>0</v>
      </c>
    </row>
    <row r="100" spans="1:245" x14ac:dyDescent="0.2">
      <c r="A100">
        <v>18</v>
      </c>
      <c r="B100">
        <v>1</v>
      </c>
      <c r="C100">
        <v>235</v>
      </c>
      <c r="E100" t="s">
        <v>337</v>
      </c>
      <c r="F100" t="s">
        <v>338</v>
      </c>
      <c r="G100" t="s">
        <v>339</v>
      </c>
      <c r="H100" t="s">
        <v>87</v>
      </c>
      <c r="I100">
        <f>I99*J100</f>
        <v>166.39</v>
      </c>
      <c r="J100">
        <v>100</v>
      </c>
      <c r="O100">
        <f t="shared" si="107"/>
        <v>101682.98</v>
      </c>
      <c r="P100">
        <f t="shared" si="108"/>
        <v>101682.98</v>
      </c>
      <c r="Q100">
        <f t="shared" si="109"/>
        <v>0</v>
      </c>
      <c r="R100">
        <f t="shared" si="110"/>
        <v>0</v>
      </c>
      <c r="S100">
        <f t="shared" si="111"/>
        <v>0</v>
      </c>
      <c r="T100">
        <f t="shared" si="112"/>
        <v>0</v>
      </c>
      <c r="U100">
        <f t="shared" si="113"/>
        <v>0</v>
      </c>
      <c r="V100">
        <f t="shared" si="114"/>
        <v>0</v>
      </c>
      <c r="W100">
        <f t="shared" si="115"/>
        <v>0</v>
      </c>
      <c r="X100">
        <f t="shared" si="116"/>
        <v>0</v>
      </c>
      <c r="Y100">
        <f t="shared" si="117"/>
        <v>0</v>
      </c>
      <c r="AA100">
        <v>16630606</v>
      </c>
      <c r="AB100">
        <f t="shared" si="118"/>
        <v>85.71</v>
      </c>
      <c r="AC100">
        <f t="shared" si="103"/>
        <v>85.71</v>
      </c>
      <c r="AD100">
        <f t="shared" ref="AD100:AD106" si="141">ROUND((((ET100)-(EU100))+AE100),2)</f>
        <v>0</v>
      </c>
      <c r="AE100">
        <f t="shared" ref="AE100:AF106" si="142">ROUND((EU100),2)</f>
        <v>0</v>
      </c>
      <c r="AF100">
        <f t="shared" si="142"/>
        <v>0</v>
      </c>
      <c r="AG100">
        <f t="shared" si="119"/>
        <v>0</v>
      </c>
      <c r="AH100">
        <f t="shared" ref="AH100:AI106" si="143">(EW100)</f>
        <v>0</v>
      </c>
      <c r="AI100">
        <f t="shared" si="143"/>
        <v>0</v>
      </c>
      <c r="AJ100">
        <f t="shared" si="120"/>
        <v>0</v>
      </c>
      <c r="AK100">
        <v>85.71</v>
      </c>
      <c r="AL100">
        <v>85.71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95</v>
      </c>
      <c r="AU100">
        <v>47</v>
      </c>
      <c r="AV100">
        <v>1</v>
      </c>
      <c r="AW100">
        <v>1</v>
      </c>
      <c r="AZ100">
        <v>7.13</v>
      </c>
      <c r="BA100">
        <v>1</v>
      </c>
      <c r="BB100">
        <v>1</v>
      </c>
      <c r="BC100">
        <v>7.13</v>
      </c>
      <c r="BD100" t="s">
        <v>6</v>
      </c>
      <c r="BE100" t="s">
        <v>6</v>
      </c>
      <c r="BF100" t="s">
        <v>6</v>
      </c>
      <c r="BG100" t="s">
        <v>6</v>
      </c>
      <c r="BH100">
        <v>3</v>
      </c>
      <c r="BI100">
        <v>1</v>
      </c>
      <c r="BJ100" t="s">
        <v>340</v>
      </c>
      <c r="BM100">
        <v>15001</v>
      </c>
      <c r="BN100">
        <v>0</v>
      </c>
      <c r="BO100" t="s">
        <v>6</v>
      </c>
      <c r="BP100">
        <v>0</v>
      </c>
      <c r="BQ100">
        <v>2</v>
      </c>
      <c r="BR100">
        <v>0</v>
      </c>
      <c r="BS100">
        <v>1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6</v>
      </c>
      <c r="BZ100">
        <v>105</v>
      </c>
      <c r="CA100">
        <v>55</v>
      </c>
      <c r="CE100">
        <v>0</v>
      </c>
      <c r="CF100">
        <v>0</v>
      </c>
      <c r="CG100">
        <v>0</v>
      </c>
      <c r="CM100">
        <v>0</v>
      </c>
      <c r="CN100" t="s">
        <v>6</v>
      </c>
      <c r="CO100">
        <v>0</v>
      </c>
      <c r="CP100">
        <f t="shared" si="121"/>
        <v>101682.98</v>
      </c>
      <c r="CQ100">
        <f t="shared" si="122"/>
        <v>611.11229999999989</v>
      </c>
      <c r="CR100">
        <f t="shared" si="123"/>
        <v>0</v>
      </c>
      <c r="CS100">
        <f t="shared" si="124"/>
        <v>0</v>
      </c>
      <c r="CT100">
        <f t="shared" si="125"/>
        <v>0</v>
      </c>
      <c r="CU100">
        <f t="shared" si="126"/>
        <v>0</v>
      </c>
      <c r="CV100">
        <f t="shared" si="127"/>
        <v>0</v>
      </c>
      <c r="CW100">
        <f t="shared" si="128"/>
        <v>0</v>
      </c>
      <c r="CX100">
        <f t="shared" si="129"/>
        <v>0</v>
      </c>
      <c r="CY100">
        <f t="shared" si="130"/>
        <v>0</v>
      </c>
      <c r="CZ100">
        <f t="shared" si="131"/>
        <v>0</v>
      </c>
      <c r="DC100" t="s">
        <v>6</v>
      </c>
      <c r="DD100" t="s">
        <v>6</v>
      </c>
      <c r="DE100" t="s">
        <v>6</v>
      </c>
      <c r="DF100" t="s">
        <v>6</v>
      </c>
      <c r="DG100" t="s">
        <v>6</v>
      </c>
      <c r="DH100" t="s">
        <v>6</v>
      </c>
      <c r="DI100" t="s">
        <v>6</v>
      </c>
      <c r="DJ100" t="s">
        <v>6</v>
      </c>
      <c r="DK100" t="s">
        <v>6</v>
      </c>
      <c r="DL100" t="s">
        <v>6</v>
      </c>
      <c r="DM100" t="s">
        <v>6</v>
      </c>
      <c r="DN100">
        <v>0</v>
      </c>
      <c r="DO100">
        <v>0</v>
      </c>
      <c r="DP100">
        <v>1</v>
      </c>
      <c r="DQ100">
        <v>1</v>
      </c>
      <c r="DU100">
        <v>1005</v>
      </c>
      <c r="DV100" t="s">
        <v>87</v>
      </c>
      <c r="DW100" t="s">
        <v>87</v>
      </c>
      <c r="DX100">
        <v>1</v>
      </c>
      <c r="EE100">
        <v>16609130</v>
      </c>
      <c r="EF100">
        <v>2</v>
      </c>
      <c r="EG100" t="s">
        <v>14</v>
      </c>
      <c r="EH100">
        <v>0</v>
      </c>
      <c r="EI100" t="s">
        <v>6</v>
      </c>
      <c r="EJ100">
        <v>1</v>
      </c>
      <c r="EK100">
        <v>15001</v>
      </c>
      <c r="EL100" t="s">
        <v>118</v>
      </c>
      <c r="EM100" t="s">
        <v>119</v>
      </c>
      <c r="EO100" t="s">
        <v>6</v>
      </c>
      <c r="EQ100">
        <v>0</v>
      </c>
      <c r="ER100">
        <v>85.71</v>
      </c>
      <c r="ES100">
        <v>85.71</v>
      </c>
      <c r="ET100">
        <v>0</v>
      </c>
      <c r="EU100">
        <v>0</v>
      </c>
      <c r="EV100">
        <v>0</v>
      </c>
      <c r="EW100">
        <v>0</v>
      </c>
      <c r="EX100">
        <v>0</v>
      </c>
      <c r="FQ100">
        <v>0</v>
      </c>
      <c r="FR100">
        <f t="shared" si="132"/>
        <v>0</v>
      </c>
      <c r="FS100">
        <v>0</v>
      </c>
      <c r="FT100" t="s">
        <v>22</v>
      </c>
      <c r="FU100" t="s">
        <v>23</v>
      </c>
      <c r="FX100">
        <v>94.5</v>
      </c>
      <c r="FY100">
        <v>46.75</v>
      </c>
      <c r="GA100" t="s">
        <v>6</v>
      </c>
      <c r="GD100">
        <v>0</v>
      </c>
      <c r="GF100">
        <v>1249654036</v>
      </c>
      <c r="GG100">
        <v>1</v>
      </c>
      <c r="GH100">
        <v>1</v>
      </c>
      <c r="GI100">
        <v>4</v>
      </c>
      <c r="GJ100">
        <v>0</v>
      </c>
      <c r="GK100">
        <f>ROUND(R100*(R12)/100,2)</f>
        <v>0</v>
      </c>
      <c r="GL100">
        <f t="shared" si="133"/>
        <v>0</v>
      </c>
      <c r="GM100">
        <f t="shared" si="134"/>
        <v>101682.98</v>
      </c>
      <c r="GN100">
        <f t="shared" si="135"/>
        <v>101682.98</v>
      </c>
      <c r="GO100">
        <f t="shared" si="136"/>
        <v>0</v>
      </c>
      <c r="GP100">
        <f t="shared" si="137"/>
        <v>0</v>
      </c>
      <c r="GR100">
        <v>0</v>
      </c>
      <c r="GS100">
        <v>3</v>
      </c>
      <c r="GT100">
        <v>0</v>
      </c>
      <c r="GU100" t="s">
        <v>6</v>
      </c>
      <c r="GV100">
        <f t="shared" si="138"/>
        <v>0</v>
      </c>
      <c r="GW100">
        <v>1</v>
      </c>
      <c r="GX100">
        <f t="shared" si="139"/>
        <v>0</v>
      </c>
      <c r="HA100">
        <v>0</v>
      </c>
      <c r="HB100">
        <v>0</v>
      </c>
      <c r="HC100">
        <f t="shared" si="140"/>
        <v>0</v>
      </c>
      <c r="IK100">
        <v>0</v>
      </c>
    </row>
    <row r="101" spans="1:245" x14ac:dyDescent="0.2">
      <c r="A101">
        <v>17</v>
      </c>
      <c r="B101">
        <v>1</v>
      </c>
      <c r="C101">
        <f>ROW(SmtRes!A248)</f>
        <v>248</v>
      </c>
      <c r="D101">
        <f>ROW(EtalonRes!A256)</f>
        <v>256</v>
      </c>
      <c r="E101" t="s">
        <v>341</v>
      </c>
      <c r="F101" t="s">
        <v>342</v>
      </c>
      <c r="G101" t="s">
        <v>343</v>
      </c>
      <c r="H101" t="s">
        <v>18</v>
      </c>
      <c r="I101">
        <f>ROUND(393.19/100,9)</f>
        <v>3.9319000000000002</v>
      </c>
      <c r="J101">
        <v>0</v>
      </c>
      <c r="O101">
        <f t="shared" si="107"/>
        <v>22318.22</v>
      </c>
      <c r="P101">
        <f t="shared" si="108"/>
        <v>13911.25</v>
      </c>
      <c r="Q101">
        <f t="shared" si="109"/>
        <v>198.2</v>
      </c>
      <c r="R101">
        <f t="shared" si="110"/>
        <v>57.47</v>
      </c>
      <c r="S101">
        <f t="shared" si="111"/>
        <v>8208.77</v>
      </c>
      <c r="T101">
        <f t="shared" si="112"/>
        <v>0</v>
      </c>
      <c r="U101">
        <f t="shared" si="113"/>
        <v>133.25209100000001</v>
      </c>
      <c r="V101">
        <f t="shared" si="114"/>
        <v>0.629104</v>
      </c>
      <c r="W101">
        <f t="shared" si="115"/>
        <v>0</v>
      </c>
      <c r="X101">
        <f t="shared" si="116"/>
        <v>6612.99</v>
      </c>
      <c r="Y101">
        <f t="shared" si="117"/>
        <v>4133.12</v>
      </c>
      <c r="AA101">
        <v>16630606</v>
      </c>
      <c r="AB101">
        <f t="shared" si="118"/>
        <v>796.1</v>
      </c>
      <c r="AC101">
        <f t="shared" si="103"/>
        <v>496.22</v>
      </c>
      <c r="AD101">
        <f t="shared" si="141"/>
        <v>7.07</v>
      </c>
      <c r="AE101">
        <f t="shared" si="142"/>
        <v>2.0499999999999998</v>
      </c>
      <c r="AF101">
        <f t="shared" si="142"/>
        <v>292.81</v>
      </c>
      <c r="AG101">
        <f t="shared" si="119"/>
        <v>0</v>
      </c>
      <c r="AH101">
        <f t="shared" si="143"/>
        <v>33.89</v>
      </c>
      <c r="AI101">
        <f t="shared" si="143"/>
        <v>0.16</v>
      </c>
      <c r="AJ101">
        <f t="shared" si="120"/>
        <v>0</v>
      </c>
      <c r="AK101">
        <v>796.1</v>
      </c>
      <c r="AL101">
        <v>496.22</v>
      </c>
      <c r="AM101">
        <v>7.07</v>
      </c>
      <c r="AN101">
        <v>2.0499999999999998</v>
      </c>
      <c r="AO101">
        <v>292.81</v>
      </c>
      <c r="AP101">
        <v>0</v>
      </c>
      <c r="AQ101">
        <v>33.89</v>
      </c>
      <c r="AR101">
        <v>0.16</v>
      </c>
      <c r="AS101">
        <v>0</v>
      </c>
      <c r="AT101">
        <v>80</v>
      </c>
      <c r="AU101">
        <v>50</v>
      </c>
      <c r="AV101">
        <v>1</v>
      </c>
      <c r="AW101">
        <v>1</v>
      </c>
      <c r="AZ101">
        <v>7.13</v>
      </c>
      <c r="BA101">
        <v>7.13</v>
      </c>
      <c r="BB101">
        <v>7.13</v>
      </c>
      <c r="BC101">
        <v>7.13</v>
      </c>
      <c r="BD101" t="s">
        <v>6</v>
      </c>
      <c r="BE101" t="s">
        <v>6</v>
      </c>
      <c r="BF101" t="s">
        <v>6</v>
      </c>
      <c r="BG101" t="s">
        <v>6</v>
      </c>
      <c r="BH101">
        <v>0</v>
      </c>
      <c r="BI101">
        <v>1</v>
      </c>
      <c r="BJ101" t="s">
        <v>344</v>
      </c>
      <c r="BM101">
        <v>62001</v>
      </c>
      <c r="BN101">
        <v>0</v>
      </c>
      <c r="BO101" t="s">
        <v>6</v>
      </c>
      <c r="BP101">
        <v>0</v>
      </c>
      <c r="BQ101">
        <v>6</v>
      </c>
      <c r="BR101">
        <v>0</v>
      </c>
      <c r="BS101">
        <v>7.13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80</v>
      </c>
      <c r="CA101">
        <v>50</v>
      </c>
      <c r="CE101">
        <v>0</v>
      </c>
      <c r="CF101">
        <v>0</v>
      </c>
      <c r="CG101">
        <v>0</v>
      </c>
      <c r="CM101">
        <v>0</v>
      </c>
      <c r="CN101" t="s">
        <v>6</v>
      </c>
      <c r="CO101">
        <v>0</v>
      </c>
      <c r="CP101">
        <f t="shared" si="121"/>
        <v>22318.22</v>
      </c>
      <c r="CQ101">
        <f t="shared" si="122"/>
        <v>3538.0486000000001</v>
      </c>
      <c r="CR101">
        <f t="shared" si="123"/>
        <v>50.409100000000002</v>
      </c>
      <c r="CS101">
        <f t="shared" si="124"/>
        <v>14.616499999999998</v>
      </c>
      <c r="CT101">
        <f t="shared" si="125"/>
        <v>2087.7352999999998</v>
      </c>
      <c r="CU101">
        <f t="shared" si="126"/>
        <v>0</v>
      </c>
      <c r="CV101">
        <f t="shared" si="127"/>
        <v>33.89</v>
      </c>
      <c r="CW101">
        <f t="shared" si="128"/>
        <v>0.16</v>
      </c>
      <c r="CX101">
        <f t="shared" si="129"/>
        <v>0</v>
      </c>
      <c r="CY101">
        <f t="shared" si="130"/>
        <v>6612.9919999999993</v>
      </c>
      <c r="CZ101">
        <f t="shared" si="131"/>
        <v>4133.12</v>
      </c>
      <c r="DC101" t="s">
        <v>6</v>
      </c>
      <c r="DD101" t="s">
        <v>6</v>
      </c>
      <c r="DE101" t="s">
        <v>6</v>
      </c>
      <c r="DF101" t="s">
        <v>6</v>
      </c>
      <c r="DG101" t="s">
        <v>6</v>
      </c>
      <c r="DH101" t="s">
        <v>6</v>
      </c>
      <c r="DI101" t="s">
        <v>6</v>
      </c>
      <c r="DJ101" t="s">
        <v>6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1005</v>
      </c>
      <c r="DV101" t="s">
        <v>18</v>
      </c>
      <c r="DW101" t="s">
        <v>18</v>
      </c>
      <c r="DX101">
        <v>100</v>
      </c>
      <c r="EE101">
        <v>16609187</v>
      </c>
      <c r="EF101">
        <v>6</v>
      </c>
      <c r="EG101" t="s">
        <v>39</v>
      </c>
      <c r="EH101">
        <v>0</v>
      </c>
      <c r="EI101" t="s">
        <v>6</v>
      </c>
      <c r="EJ101">
        <v>1</v>
      </c>
      <c r="EK101">
        <v>62001</v>
      </c>
      <c r="EL101" t="s">
        <v>93</v>
      </c>
      <c r="EM101" t="s">
        <v>94</v>
      </c>
      <c r="EO101" t="s">
        <v>6</v>
      </c>
      <c r="EQ101">
        <v>0</v>
      </c>
      <c r="ER101">
        <v>796.1</v>
      </c>
      <c r="ES101">
        <v>496.22</v>
      </c>
      <c r="ET101">
        <v>7.07</v>
      </c>
      <c r="EU101">
        <v>2.0499999999999998</v>
      </c>
      <c r="EV101">
        <v>292.81</v>
      </c>
      <c r="EW101">
        <v>33.89</v>
      </c>
      <c r="EX101">
        <v>0.16</v>
      </c>
      <c r="EY101">
        <v>0</v>
      </c>
      <c r="FQ101">
        <v>0</v>
      </c>
      <c r="FR101">
        <f t="shared" si="132"/>
        <v>0</v>
      </c>
      <c r="FS101">
        <v>0</v>
      </c>
      <c r="FX101">
        <v>80</v>
      </c>
      <c r="FY101">
        <v>50</v>
      </c>
      <c r="GA101" t="s">
        <v>6</v>
      </c>
      <c r="GD101">
        <v>0</v>
      </c>
      <c r="GF101">
        <v>1256979024</v>
      </c>
      <c r="GG101">
        <v>1</v>
      </c>
      <c r="GH101">
        <v>1</v>
      </c>
      <c r="GI101">
        <v>4</v>
      </c>
      <c r="GJ101">
        <v>0</v>
      </c>
      <c r="GK101">
        <f>ROUND(R101*(R12)/100,2)</f>
        <v>0</v>
      </c>
      <c r="GL101">
        <f t="shared" si="133"/>
        <v>0</v>
      </c>
      <c r="GM101">
        <f t="shared" si="134"/>
        <v>33064.33</v>
      </c>
      <c r="GN101">
        <f t="shared" si="135"/>
        <v>33064.33</v>
      </c>
      <c r="GO101">
        <f t="shared" si="136"/>
        <v>0</v>
      </c>
      <c r="GP101">
        <f t="shared" si="137"/>
        <v>0</v>
      </c>
      <c r="GR101">
        <v>0</v>
      </c>
      <c r="GS101">
        <v>3</v>
      </c>
      <c r="GT101">
        <v>0</v>
      </c>
      <c r="GU101" t="s">
        <v>6</v>
      </c>
      <c r="GV101">
        <f t="shared" si="138"/>
        <v>0</v>
      </c>
      <c r="GW101">
        <v>1</v>
      </c>
      <c r="GX101">
        <f t="shared" si="139"/>
        <v>0</v>
      </c>
      <c r="HA101">
        <v>0</v>
      </c>
      <c r="HB101">
        <v>0</v>
      </c>
      <c r="HC101">
        <f t="shared" si="140"/>
        <v>0</v>
      </c>
      <c r="IK101">
        <v>0</v>
      </c>
    </row>
    <row r="102" spans="1:245" x14ac:dyDescent="0.2">
      <c r="A102">
        <v>18</v>
      </c>
      <c r="B102">
        <v>1</v>
      </c>
      <c r="C102">
        <v>246</v>
      </c>
      <c r="E102" t="s">
        <v>345</v>
      </c>
      <c r="F102" t="s">
        <v>346</v>
      </c>
      <c r="G102" t="s">
        <v>347</v>
      </c>
      <c r="H102" t="s">
        <v>98</v>
      </c>
      <c r="I102">
        <f>I101*J102</f>
        <v>0.279165</v>
      </c>
      <c r="J102">
        <v>7.1000025432996772E-2</v>
      </c>
      <c r="O102">
        <f t="shared" si="107"/>
        <v>0</v>
      </c>
      <c r="P102">
        <f t="shared" si="108"/>
        <v>0</v>
      </c>
      <c r="Q102">
        <f t="shared" si="109"/>
        <v>0</v>
      </c>
      <c r="R102">
        <f t="shared" si="110"/>
        <v>0</v>
      </c>
      <c r="S102">
        <f t="shared" si="111"/>
        <v>0</v>
      </c>
      <c r="T102">
        <f t="shared" si="112"/>
        <v>0</v>
      </c>
      <c r="U102">
        <f t="shared" si="113"/>
        <v>0</v>
      </c>
      <c r="V102">
        <f t="shared" si="114"/>
        <v>0</v>
      </c>
      <c r="W102">
        <f t="shared" si="115"/>
        <v>0</v>
      </c>
      <c r="X102">
        <f t="shared" si="116"/>
        <v>0</v>
      </c>
      <c r="Y102">
        <f t="shared" si="117"/>
        <v>0</v>
      </c>
      <c r="AA102">
        <v>16630606</v>
      </c>
      <c r="AB102">
        <f t="shared" si="118"/>
        <v>0</v>
      </c>
      <c r="AC102">
        <f t="shared" si="103"/>
        <v>0</v>
      </c>
      <c r="AD102">
        <f t="shared" si="141"/>
        <v>0</v>
      </c>
      <c r="AE102">
        <f t="shared" si="142"/>
        <v>0</v>
      </c>
      <c r="AF102">
        <f t="shared" si="142"/>
        <v>0</v>
      </c>
      <c r="AG102">
        <f t="shared" si="119"/>
        <v>0</v>
      </c>
      <c r="AH102">
        <f t="shared" si="143"/>
        <v>0</v>
      </c>
      <c r="AI102">
        <f t="shared" si="143"/>
        <v>0</v>
      </c>
      <c r="AJ102">
        <f t="shared" si="120"/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80</v>
      </c>
      <c r="AU102">
        <v>50</v>
      </c>
      <c r="AV102">
        <v>1</v>
      </c>
      <c r="AW102">
        <v>1</v>
      </c>
      <c r="AZ102">
        <v>7.13</v>
      </c>
      <c r="BA102">
        <v>1</v>
      </c>
      <c r="BB102">
        <v>1</v>
      </c>
      <c r="BC102">
        <v>7.13</v>
      </c>
      <c r="BD102" t="s">
        <v>6</v>
      </c>
      <c r="BE102" t="s">
        <v>6</v>
      </c>
      <c r="BF102" t="s">
        <v>6</v>
      </c>
      <c r="BG102" t="s">
        <v>6</v>
      </c>
      <c r="BH102">
        <v>3</v>
      </c>
      <c r="BI102">
        <v>1</v>
      </c>
      <c r="BJ102" t="s">
        <v>6</v>
      </c>
      <c r="BM102">
        <v>62001</v>
      </c>
      <c r="BN102">
        <v>0</v>
      </c>
      <c r="BO102" t="s">
        <v>6</v>
      </c>
      <c r="BP102">
        <v>0</v>
      </c>
      <c r="BQ102">
        <v>6</v>
      </c>
      <c r="BR102">
        <v>0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6</v>
      </c>
      <c r="BZ102">
        <v>80</v>
      </c>
      <c r="CA102">
        <v>50</v>
      </c>
      <c r="CE102">
        <v>0</v>
      </c>
      <c r="CF102">
        <v>0</v>
      </c>
      <c r="CG102">
        <v>0</v>
      </c>
      <c r="CM102">
        <v>0</v>
      </c>
      <c r="CN102" t="s">
        <v>6</v>
      </c>
      <c r="CO102">
        <v>0</v>
      </c>
      <c r="CP102">
        <f t="shared" si="121"/>
        <v>0</v>
      </c>
      <c r="CQ102">
        <f t="shared" si="122"/>
        <v>0</v>
      </c>
      <c r="CR102">
        <f t="shared" si="123"/>
        <v>0</v>
      </c>
      <c r="CS102">
        <f t="shared" si="124"/>
        <v>0</v>
      </c>
      <c r="CT102">
        <f t="shared" si="125"/>
        <v>0</v>
      </c>
      <c r="CU102">
        <f t="shared" si="126"/>
        <v>0</v>
      </c>
      <c r="CV102">
        <f t="shared" si="127"/>
        <v>0</v>
      </c>
      <c r="CW102">
        <f t="shared" si="128"/>
        <v>0</v>
      </c>
      <c r="CX102">
        <f t="shared" si="129"/>
        <v>0</v>
      </c>
      <c r="CY102">
        <f t="shared" si="130"/>
        <v>0</v>
      </c>
      <c r="CZ102">
        <f t="shared" si="131"/>
        <v>0</v>
      </c>
      <c r="DC102" t="s">
        <v>6</v>
      </c>
      <c r="DD102" t="s">
        <v>6</v>
      </c>
      <c r="DE102" t="s">
        <v>6</v>
      </c>
      <c r="DF102" t="s">
        <v>6</v>
      </c>
      <c r="DG102" t="s">
        <v>6</v>
      </c>
      <c r="DH102" t="s">
        <v>6</v>
      </c>
      <c r="DI102" t="s">
        <v>6</v>
      </c>
      <c r="DJ102" t="s">
        <v>6</v>
      </c>
      <c r="DK102" t="s">
        <v>6</v>
      </c>
      <c r="DL102" t="s">
        <v>6</v>
      </c>
      <c r="DM102" t="s">
        <v>6</v>
      </c>
      <c r="DN102">
        <v>0</v>
      </c>
      <c r="DO102">
        <v>0</v>
      </c>
      <c r="DP102">
        <v>1</v>
      </c>
      <c r="DQ102">
        <v>1</v>
      </c>
      <c r="DU102">
        <v>1009</v>
      </c>
      <c r="DV102" t="s">
        <v>98</v>
      </c>
      <c r="DW102" t="s">
        <v>98</v>
      </c>
      <c r="DX102">
        <v>1000</v>
      </c>
      <c r="EE102">
        <v>16609187</v>
      </c>
      <c r="EF102">
        <v>6</v>
      </c>
      <c r="EG102" t="s">
        <v>39</v>
      </c>
      <c r="EH102">
        <v>0</v>
      </c>
      <c r="EI102" t="s">
        <v>6</v>
      </c>
      <c r="EJ102">
        <v>1</v>
      </c>
      <c r="EK102">
        <v>62001</v>
      </c>
      <c r="EL102" t="s">
        <v>93</v>
      </c>
      <c r="EM102" t="s">
        <v>94</v>
      </c>
      <c r="EO102" t="s">
        <v>6</v>
      </c>
      <c r="EQ102">
        <v>0</v>
      </c>
      <c r="ER102">
        <v>0</v>
      </c>
      <c r="ES102">
        <v>0</v>
      </c>
      <c r="ET102">
        <v>0</v>
      </c>
      <c r="EU102">
        <v>0</v>
      </c>
      <c r="EV102">
        <v>0</v>
      </c>
      <c r="EW102">
        <v>0</v>
      </c>
      <c r="EX102">
        <v>0</v>
      </c>
      <c r="FQ102">
        <v>0</v>
      </c>
      <c r="FR102">
        <f t="shared" si="132"/>
        <v>0</v>
      </c>
      <c r="FS102">
        <v>0</v>
      </c>
      <c r="FX102">
        <v>80</v>
      </c>
      <c r="FY102">
        <v>50</v>
      </c>
      <c r="GA102" t="s">
        <v>6</v>
      </c>
      <c r="GD102">
        <v>0</v>
      </c>
      <c r="GF102">
        <v>1891904026</v>
      </c>
      <c r="GG102">
        <v>1</v>
      </c>
      <c r="GH102">
        <v>1</v>
      </c>
      <c r="GI102">
        <v>4</v>
      </c>
      <c r="GJ102">
        <v>0</v>
      </c>
      <c r="GK102">
        <f>ROUND(R102*(R12)/100,2)</f>
        <v>0</v>
      </c>
      <c r="GL102">
        <f t="shared" si="133"/>
        <v>0</v>
      </c>
      <c r="GM102">
        <f t="shared" si="134"/>
        <v>0</v>
      </c>
      <c r="GN102">
        <f t="shared" si="135"/>
        <v>0</v>
      </c>
      <c r="GO102">
        <f t="shared" si="136"/>
        <v>0</v>
      </c>
      <c r="GP102">
        <f t="shared" si="137"/>
        <v>0</v>
      </c>
      <c r="GR102">
        <v>0</v>
      </c>
      <c r="GS102">
        <v>3</v>
      </c>
      <c r="GT102">
        <v>0</v>
      </c>
      <c r="GU102" t="s">
        <v>6</v>
      </c>
      <c r="GV102">
        <f t="shared" si="138"/>
        <v>0</v>
      </c>
      <c r="GW102">
        <v>1</v>
      </c>
      <c r="GX102">
        <f t="shared" si="139"/>
        <v>0</v>
      </c>
      <c r="HA102">
        <v>0</v>
      </c>
      <c r="HB102">
        <v>0</v>
      </c>
      <c r="HC102">
        <f t="shared" si="140"/>
        <v>0</v>
      </c>
      <c r="IK102">
        <v>0</v>
      </c>
    </row>
    <row r="103" spans="1:245" x14ac:dyDescent="0.2">
      <c r="A103">
        <v>18</v>
      </c>
      <c r="B103">
        <v>1</v>
      </c>
      <c r="C103">
        <v>247</v>
      </c>
      <c r="E103" t="s">
        <v>348</v>
      </c>
      <c r="F103" t="s">
        <v>349</v>
      </c>
      <c r="G103" t="s">
        <v>350</v>
      </c>
      <c r="H103" t="s">
        <v>98</v>
      </c>
      <c r="I103">
        <f>I101*J103</f>
        <v>0.279165</v>
      </c>
      <c r="J103">
        <v>7.1000025432996772E-2</v>
      </c>
      <c r="O103">
        <f t="shared" si="107"/>
        <v>15181.87</v>
      </c>
      <c r="P103">
        <f t="shared" si="108"/>
        <v>15181.87</v>
      </c>
      <c r="Q103">
        <f t="shared" si="109"/>
        <v>0</v>
      </c>
      <c r="R103">
        <f t="shared" si="110"/>
        <v>0</v>
      </c>
      <c r="S103">
        <f t="shared" si="111"/>
        <v>0</v>
      </c>
      <c r="T103">
        <f t="shared" si="112"/>
        <v>0</v>
      </c>
      <c r="U103">
        <f t="shared" si="113"/>
        <v>0</v>
      </c>
      <c r="V103">
        <f t="shared" si="114"/>
        <v>0</v>
      </c>
      <c r="W103">
        <f t="shared" si="115"/>
        <v>0</v>
      </c>
      <c r="X103">
        <f t="shared" si="116"/>
        <v>0</v>
      </c>
      <c r="Y103">
        <f t="shared" si="117"/>
        <v>0</v>
      </c>
      <c r="AA103">
        <v>16630606</v>
      </c>
      <c r="AB103">
        <f t="shared" si="118"/>
        <v>7627.37</v>
      </c>
      <c r="AC103">
        <f t="shared" ref="AC103:AC119" si="144">ROUND((ES103),2)</f>
        <v>7627.37</v>
      </c>
      <c r="AD103">
        <f t="shared" si="141"/>
        <v>0</v>
      </c>
      <c r="AE103">
        <f t="shared" si="142"/>
        <v>0</v>
      </c>
      <c r="AF103">
        <f t="shared" si="142"/>
        <v>0</v>
      </c>
      <c r="AG103">
        <f t="shared" si="119"/>
        <v>0</v>
      </c>
      <c r="AH103">
        <f t="shared" si="143"/>
        <v>0</v>
      </c>
      <c r="AI103">
        <f t="shared" si="143"/>
        <v>0</v>
      </c>
      <c r="AJ103">
        <f t="shared" si="120"/>
        <v>0</v>
      </c>
      <c r="AK103">
        <v>7627.37</v>
      </c>
      <c r="AL103">
        <v>7627.37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95</v>
      </c>
      <c r="AU103">
        <v>47</v>
      </c>
      <c r="AV103">
        <v>1</v>
      </c>
      <c r="AW103">
        <v>1</v>
      </c>
      <c r="AZ103">
        <v>7.13</v>
      </c>
      <c r="BA103">
        <v>1</v>
      </c>
      <c r="BB103">
        <v>1</v>
      </c>
      <c r="BC103">
        <v>7.13</v>
      </c>
      <c r="BD103" t="s">
        <v>6</v>
      </c>
      <c r="BE103" t="s">
        <v>6</v>
      </c>
      <c r="BF103" t="s">
        <v>6</v>
      </c>
      <c r="BG103" t="s">
        <v>6</v>
      </c>
      <c r="BH103">
        <v>3</v>
      </c>
      <c r="BI103">
        <v>1</v>
      </c>
      <c r="BJ103" t="s">
        <v>351</v>
      </c>
      <c r="BM103">
        <v>15001</v>
      </c>
      <c r="BN103">
        <v>0</v>
      </c>
      <c r="BO103" t="s">
        <v>6</v>
      </c>
      <c r="BP103">
        <v>0</v>
      </c>
      <c r="BQ103">
        <v>2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105</v>
      </c>
      <c r="CA103">
        <v>55</v>
      </c>
      <c r="CE103">
        <v>0</v>
      </c>
      <c r="CF103">
        <v>0</v>
      </c>
      <c r="CG103">
        <v>0</v>
      </c>
      <c r="CM103">
        <v>0</v>
      </c>
      <c r="CN103" t="s">
        <v>6</v>
      </c>
      <c r="CO103">
        <v>0</v>
      </c>
      <c r="CP103">
        <f t="shared" si="121"/>
        <v>15181.87</v>
      </c>
      <c r="CQ103">
        <f t="shared" si="122"/>
        <v>54383.148099999999</v>
      </c>
      <c r="CR103">
        <f t="shared" si="123"/>
        <v>0</v>
      </c>
      <c r="CS103">
        <f t="shared" si="124"/>
        <v>0</v>
      </c>
      <c r="CT103">
        <f t="shared" si="125"/>
        <v>0</v>
      </c>
      <c r="CU103">
        <f t="shared" si="126"/>
        <v>0</v>
      </c>
      <c r="CV103">
        <f t="shared" si="127"/>
        <v>0</v>
      </c>
      <c r="CW103">
        <f t="shared" si="128"/>
        <v>0</v>
      </c>
      <c r="CX103">
        <f t="shared" si="129"/>
        <v>0</v>
      </c>
      <c r="CY103">
        <f t="shared" si="130"/>
        <v>0</v>
      </c>
      <c r="CZ103">
        <f t="shared" si="131"/>
        <v>0</v>
      </c>
      <c r="DC103" t="s">
        <v>6</v>
      </c>
      <c r="DD103" t="s">
        <v>6</v>
      </c>
      <c r="DE103" t="s">
        <v>6</v>
      </c>
      <c r="DF103" t="s">
        <v>6</v>
      </c>
      <c r="DG103" t="s">
        <v>6</v>
      </c>
      <c r="DH103" t="s">
        <v>6</v>
      </c>
      <c r="DI103" t="s">
        <v>6</v>
      </c>
      <c r="DJ103" t="s">
        <v>6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1009</v>
      </c>
      <c r="DV103" t="s">
        <v>98</v>
      </c>
      <c r="DW103" t="s">
        <v>98</v>
      </c>
      <c r="DX103">
        <v>1000</v>
      </c>
      <c r="EE103">
        <v>16609130</v>
      </c>
      <c r="EF103">
        <v>2</v>
      </c>
      <c r="EG103" t="s">
        <v>14</v>
      </c>
      <c r="EH103">
        <v>0</v>
      </c>
      <c r="EI103" t="s">
        <v>6</v>
      </c>
      <c r="EJ103">
        <v>1</v>
      </c>
      <c r="EK103">
        <v>15001</v>
      </c>
      <c r="EL103" t="s">
        <v>118</v>
      </c>
      <c r="EM103" t="s">
        <v>119</v>
      </c>
      <c r="EO103" t="s">
        <v>6</v>
      </c>
      <c r="EQ103">
        <v>0</v>
      </c>
      <c r="ER103">
        <v>7627.37</v>
      </c>
      <c r="ES103">
        <v>7627.37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32"/>
        <v>0</v>
      </c>
      <c r="FS103">
        <v>0</v>
      </c>
      <c r="FT103" t="s">
        <v>22</v>
      </c>
      <c r="FU103" t="s">
        <v>23</v>
      </c>
      <c r="FX103">
        <v>94.5</v>
      </c>
      <c r="FY103">
        <v>46.75</v>
      </c>
      <c r="GA103" t="s">
        <v>6</v>
      </c>
      <c r="GD103">
        <v>0</v>
      </c>
      <c r="GF103">
        <v>601561644</v>
      </c>
      <c r="GG103">
        <v>1</v>
      </c>
      <c r="GH103">
        <v>1</v>
      </c>
      <c r="GI103">
        <v>4</v>
      </c>
      <c r="GJ103">
        <v>0</v>
      </c>
      <c r="GK103">
        <f>ROUND(R103*(R12)/100,2)</f>
        <v>0</v>
      </c>
      <c r="GL103">
        <f t="shared" si="133"/>
        <v>0</v>
      </c>
      <c r="GM103">
        <f t="shared" si="134"/>
        <v>15181.87</v>
      </c>
      <c r="GN103">
        <f t="shared" si="135"/>
        <v>15181.87</v>
      </c>
      <c r="GO103">
        <f t="shared" si="136"/>
        <v>0</v>
      </c>
      <c r="GP103">
        <f t="shared" si="137"/>
        <v>0</v>
      </c>
      <c r="GR103">
        <v>0</v>
      </c>
      <c r="GS103">
        <v>3</v>
      </c>
      <c r="GT103">
        <v>0</v>
      </c>
      <c r="GU103" t="s">
        <v>6</v>
      </c>
      <c r="GV103">
        <f t="shared" si="138"/>
        <v>0</v>
      </c>
      <c r="GW103">
        <v>1</v>
      </c>
      <c r="GX103">
        <f t="shared" si="139"/>
        <v>0</v>
      </c>
      <c r="HA103">
        <v>0</v>
      </c>
      <c r="HB103">
        <v>0</v>
      </c>
      <c r="HC103">
        <f t="shared" si="140"/>
        <v>0</v>
      </c>
      <c r="IK103">
        <v>0</v>
      </c>
    </row>
    <row r="104" spans="1:245" x14ac:dyDescent="0.2">
      <c r="A104">
        <v>17</v>
      </c>
      <c r="B104">
        <v>1</v>
      </c>
      <c r="C104">
        <f>ROW(SmtRes!A261)</f>
        <v>261</v>
      </c>
      <c r="D104">
        <f>ROW(EtalonRes!A268)</f>
        <v>268</v>
      </c>
      <c r="E104" t="s">
        <v>352</v>
      </c>
      <c r="F104" t="s">
        <v>353</v>
      </c>
      <c r="G104" t="s">
        <v>354</v>
      </c>
      <c r="H104" t="s">
        <v>18</v>
      </c>
      <c r="I104">
        <f>ROUND(263.6/100,9)</f>
        <v>2.6360000000000001</v>
      </c>
      <c r="J104">
        <v>0</v>
      </c>
      <c r="O104">
        <f t="shared" si="107"/>
        <v>15267.3</v>
      </c>
      <c r="P104">
        <f t="shared" si="108"/>
        <v>9649</v>
      </c>
      <c r="Q104">
        <f t="shared" si="109"/>
        <v>132.88</v>
      </c>
      <c r="R104">
        <f t="shared" si="110"/>
        <v>38.53</v>
      </c>
      <c r="S104">
        <f t="shared" si="111"/>
        <v>5485.42</v>
      </c>
      <c r="T104">
        <f t="shared" si="112"/>
        <v>0</v>
      </c>
      <c r="U104">
        <f t="shared" si="113"/>
        <v>89.044080000000008</v>
      </c>
      <c r="V104">
        <f t="shared" si="114"/>
        <v>0.42176000000000002</v>
      </c>
      <c r="W104">
        <f t="shared" si="115"/>
        <v>0</v>
      </c>
      <c r="X104">
        <f t="shared" si="116"/>
        <v>4419.16</v>
      </c>
      <c r="Y104">
        <f t="shared" si="117"/>
        <v>2761.98</v>
      </c>
      <c r="AA104">
        <v>16630606</v>
      </c>
      <c r="AB104">
        <f t="shared" si="118"/>
        <v>812.32</v>
      </c>
      <c r="AC104">
        <f t="shared" si="144"/>
        <v>513.39</v>
      </c>
      <c r="AD104">
        <f t="shared" si="141"/>
        <v>7.07</v>
      </c>
      <c r="AE104">
        <f t="shared" si="142"/>
        <v>2.0499999999999998</v>
      </c>
      <c r="AF104">
        <f t="shared" si="142"/>
        <v>291.86</v>
      </c>
      <c r="AG104">
        <f t="shared" si="119"/>
        <v>0</v>
      </c>
      <c r="AH104">
        <f t="shared" si="143"/>
        <v>33.78</v>
      </c>
      <c r="AI104">
        <f t="shared" si="143"/>
        <v>0.16</v>
      </c>
      <c r="AJ104">
        <f t="shared" si="120"/>
        <v>0</v>
      </c>
      <c r="AK104">
        <v>812.32</v>
      </c>
      <c r="AL104">
        <v>513.39</v>
      </c>
      <c r="AM104">
        <v>7.07</v>
      </c>
      <c r="AN104">
        <v>2.0499999999999998</v>
      </c>
      <c r="AO104">
        <v>291.86</v>
      </c>
      <c r="AP104">
        <v>0</v>
      </c>
      <c r="AQ104">
        <v>33.78</v>
      </c>
      <c r="AR104">
        <v>0.16</v>
      </c>
      <c r="AS104">
        <v>0</v>
      </c>
      <c r="AT104">
        <v>80</v>
      </c>
      <c r="AU104">
        <v>50</v>
      </c>
      <c r="AV104">
        <v>1</v>
      </c>
      <c r="AW104">
        <v>1</v>
      </c>
      <c r="AZ104">
        <v>7.13</v>
      </c>
      <c r="BA104">
        <v>7.13</v>
      </c>
      <c r="BB104">
        <v>7.13</v>
      </c>
      <c r="BC104">
        <v>7.13</v>
      </c>
      <c r="BD104" t="s">
        <v>6</v>
      </c>
      <c r="BE104" t="s">
        <v>6</v>
      </c>
      <c r="BF104" t="s">
        <v>6</v>
      </c>
      <c r="BG104" t="s">
        <v>6</v>
      </c>
      <c r="BH104">
        <v>0</v>
      </c>
      <c r="BI104">
        <v>1</v>
      </c>
      <c r="BJ104" t="s">
        <v>355</v>
      </c>
      <c r="BM104">
        <v>62001</v>
      </c>
      <c r="BN104">
        <v>0</v>
      </c>
      <c r="BO104" t="s">
        <v>6</v>
      </c>
      <c r="BP104">
        <v>0</v>
      </c>
      <c r="BQ104">
        <v>6</v>
      </c>
      <c r="BR104">
        <v>0</v>
      </c>
      <c r="BS104">
        <v>7.13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6</v>
      </c>
      <c r="BZ104">
        <v>80</v>
      </c>
      <c r="CA104">
        <v>50</v>
      </c>
      <c r="CE104">
        <v>0</v>
      </c>
      <c r="CF104">
        <v>0</v>
      </c>
      <c r="CG104">
        <v>0</v>
      </c>
      <c r="CM104">
        <v>0</v>
      </c>
      <c r="CN104" t="s">
        <v>6</v>
      </c>
      <c r="CO104">
        <v>0</v>
      </c>
      <c r="CP104">
        <f t="shared" si="121"/>
        <v>15267.3</v>
      </c>
      <c r="CQ104">
        <f t="shared" si="122"/>
        <v>3660.4706999999999</v>
      </c>
      <c r="CR104">
        <f t="shared" si="123"/>
        <v>50.409100000000002</v>
      </c>
      <c r="CS104">
        <f t="shared" si="124"/>
        <v>14.616499999999998</v>
      </c>
      <c r="CT104">
        <f t="shared" si="125"/>
        <v>2080.9618</v>
      </c>
      <c r="CU104">
        <f t="shared" si="126"/>
        <v>0</v>
      </c>
      <c r="CV104">
        <f t="shared" si="127"/>
        <v>33.78</v>
      </c>
      <c r="CW104">
        <f t="shared" si="128"/>
        <v>0.16</v>
      </c>
      <c r="CX104">
        <f t="shared" si="129"/>
        <v>0</v>
      </c>
      <c r="CY104">
        <f t="shared" si="130"/>
        <v>4419.16</v>
      </c>
      <c r="CZ104">
        <f t="shared" si="131"/>
        <v>2761.9749999999999</v>
      </c>
      <c r="DC104" t="s">
        <v>6</v>
      </c>
      <c r="DD104" t="s">
        <v>6</v>
      </c>
      <c r="DE104" t="s">
        <v>6</v>
      </c>
      <c r="DF104" t="s">
        <v>6</v>
      </c>
      <c r="DG104" t="s">
        <v>6</v>
      </c>
      <c r="DH104" t="s">
        <v>6</v>
      </c>
      <c r="DI104" t="s">
        <v>6</v>
      </c>
      <c r="DJ104" t="s">
        <v>6</v>
      </c>
      <c r="DK104" t="s">
        <v>6</v>
      </c>
      <c r="DL104" t="s">
        <v>6</v>
      </c>
      <c r="DM104" t="s">
        <v>6</v>
      </c>
      <c r="DN104">
        <v>0</v>
      </c>
      <c r="DO104">
        <v>0</v>
      </c>
      <c r="DP104">
        <v>1</v>
      </c>
      <c r="DQ104">
        <v>1</v>
      </c>
      <c r="DU104">
        <v>1005</v>
      </c>
      <c r="DV104" t="s">
        <v>18</v>
      </c>
      <c r="DW104" t="s">
        <v>18</v>
      </c>
      <c r="DX104">
        <v>100</v>
      </c>
      <c r="EE104">
        <v>16609187</v>
      </c>
      <c r="EF104">
        <v>6</v>
      </c>
      <c r="EG104" t="s">
        <v>39</v>
      </c>
      <c r="EH104">
        <v>0</v>
      </c>
      <c r="EI104" t="s">
        <v>6</v>
      </c>
      <c r="EJ104">
        <v>1</v>
      </c>
      <c r="EK104">
        <v>62001</v>
      </c>
      <c r="EL104" t="s">
        <v>93</v>
      </c>
      <c r="EM104" t="s">
        <v>94</v>
      </c>
      <c r="EO104" t="s">
        <v>6</v>
      </c>
      <c r="EQ104">
        <v>0</v>
      </c>
      <c r="ER104">
        <v>812.32</v>
      </c>
      <c r="ES104">
        <v>513.39</v>
      </c>
      <c r="ET104">
        <v>7.07</v>
      </c>
      <c r="EU104">
        <v>2.0499999999999998</v>
      </c>
      <c r="EV104">
        <v>291.86</v>
      </c>
      <c r="EW104">
        <v>33.78</v>
      </c>
      <c r="EX104">
        <v>0.16</v>
      </c>
      <c r="EY104">
        <v>0</v>
      </c>
      <c r="FQ104">
        <v>0</v>
      </c>
      <c r="FR104">
        <f t="shared" si="132"/>
        <v>0</v>
      </c>
      <c r="FS104">
        <v>0</v>
      </c>
      <c r="FX104">
        <v>80</v>
      </c>
      <c r="FY104">
        <v>50</v>
      </c>
      <c r="GA104" t="s">
        <v>6</v>
      </c>
      <c r="GD104">
        <v>0</v>
      </c>
      <c r="GF104">
        <v>-311457377</v>
      </c>
      <c r="GG104">
        <v>1</v>
      </c>
      <c r="GH104">
        <v>1</v>
      </c>
      <c r="GI104">
        <v>4</v>
      </c>
      <c r="GJ104">
        <v>0</v>
      </c>
      <c r="GK104">
        <f>ROUND(R104*(R12)/100,2)</f>
        <v>0</v>
      </c>
      <c r="GL104">
        <f t="shared" si="133"/>
        <v>0</v>
      </c>
      <c r="GM104">
        <f t="shared" si="134"/>
        <v>22448.44</v>
      </c>
      <c r="GN104">
        <f t="shared" si="135"/>
        <v>22448.44</v>
      </c>
      <c r="GO104">
        <f t="shared" si="136"/>
        <v>0</v>
      </c>
      <c r="GP104">
        <f t="shared" si="137"/>
        <v>0</v>
      </c>
      <c r="GR104">
        <v>0</v>
      </c>
      <c r="GS104">
        <v>3</v>
      </c>
      <c r="GT104">
        <v>0</v>
      </c>
      <c r="GU104" t="s">
        <v>6</v>
      </c>
      <c r="GV104">
        <f t="shared" si="138"/>
        <v>0</v>
      </c>
      <c r="GW104">
        <v>1</v>
      </c>
      <c r="GX104">
        <f t="shared" si="139"/>
        <v>0</v>
      </c>
      <c r="HA104">
        <v>0</v>
      </c>
      <c r="HB104">
        <v>0</v>
      </c>
      <c r="HC104">
        <f t="shared" si="140"/>
        <v>0</v>
      </c>
      <c r="IK104">
        <v>0</v>
      </c>
    </row>
    <row r="105" spans="1:245" x14ac:dyDescent="0.2">
      <c r="A105">
        <v>18</v>
      </c>
      <c r="B105">
        <v>1</v>
      </c>
      <c r="C105">
        <v>259</v>
      </c>
      <c r="E105" t="s">
        <v>356</v>
      </c>
      <c r="F105" t="s">
        <v>346</v>
      </c>
      <c r="G105" t="s">
        <v>347</v>
      </c>
      <c r="H105" t="s">
        <v>98</v>
      </c>
      <c r="I105">
        <f>I104*J105</f>
        <v>0.18715599999999999</v>
      </c>
      <c r="J105">
        <v>7.0999999999999994E-2</v>
      </c>
      <c r="O105">
        <f t="shared" si="107"/>
        <v>0</v>
      </c>
      <c r="P105">
        <f t="shared" si="108"/>
        <v>0</v>
      </c>
      <c r="Q105">
        <f t="shared" si="109"/>
        <v>0</v>
      </c>
      <c r="R105">
        <f t="shared" si="110"/>
        <v>0</v>
      </c>
      <c r="S105">
        <f t="shared" si="111"/>
        <v>0</v>
      </c>
      <c r="T105">
        <f t="shared" si="112"/>
        <v>0</v>
      </c>
      <c r="U105">
        <f t="shared" si="113"/>
        <v>0</v>
      </c>
      <c r="V105">
        <f t="shared" si="114"/>
        <v>0</v>
      </c>
      <c r="W105">
        <f t="shared" si="115"/>
        <v>0</v>
      </c>
      <c r="X105">
        <f t="shared" si="116"/>
        <v>0</v>
      </c>
      <c r="Y105">
        <f t="shared" si="117"/>
        <v>0</v>
      </c>
      <c r="AA105">
        <v>16630606</v>
      </c>
      <c r="AB105">
        <f t="shared" si="118"/>
        <v>0</v>
      </c>
      <c r="AC105">
        <f t="shared" si="144"/>
        <v>0</v>
      </c>
      <c r="AD105">
        <f t="shared" si="141"/>
        <v>0</v>
      </c>
      <c r="AE105">
        <f t="shared" si="142"/>
        <v>0</v>
      </c>
      <c r="AF105">
        <f t="shared" si="142"/>
        <v>0</v>
      </c>
      <c r="AG105">
        <f t="shared" si="119"/>
        <v>0</v>
      </c>
      <c r="AH105">
        <f t="shared" si="143"/>
        <v>0</v>
      </c>
      <c r="AI105">
        <f t="shared" si="143"/>
        <v>0</v>
      </c>
      <c r="AJ105">
        <f t="shared" si="120"/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80</v>
      </c>
      <c r="AU105">
        <v>50</v>
      </c>
      <c r="AV105">
        <v>1</v>
      </c>
      <c r="AW105">
        <v>1</v>
      </c>
      <c r="AZ105">
        <v>7.13</v>
      </c>
      <c r="BA105">
        <v>1</v>
      </c>
      <c r="BB105">
        <v>1</v>
      </c>
      <c r="BC105">
        <v>7.13</v>
      </c>
      <c r="BD105" t="s">
        <v>6</v>
      </c>
      <c r="BE105" t="s">
        <v>6</v>
      </c>
      <c r="BF105" t="s">
        <v>6</v>
      </c>
      <c r="BG105" t="s">
        <v>6</v>
      </c>
      <c r="BH105">
        <v>3</v>
      </c>
      <c r="BI105">
        <v>1</v>
      </c>
      <c r="BJ105" t="s">
        <v>6</v>
      </c>
      <c r="BM105">
        <v>62001</v>
      </c>
      <c r="BN105">
        <v>0</v>
      </c>
      <c r="BO105" t="s">
        <v>6</v>
      </c>
      <c r="BP105">
        <v>0</v>
      </c>
      <c r="BQ105">
        <v>6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80</v>
      </c>
      <c r="CA105">
        <v>50</v>
      </c>
      <c r="CE105">
        <v>0</v>
      </c>
      <c r="CF105">
        <v>0</v>
      </c>
      <c r="CG105">
        <v>0</v>
      </c>
      <c r="CM105">
        <v>0</v>
      </c>
      <c r="CN105" t="s">
        <v>6</v>
      </c>
      <c r="CO105">
        <v>0</v>
      </c>
      <c r="CP105">
        <f t="shared" si="121"/>
        <v>0</v>
      </c>
      <c r="CQ105">
        <f t="shared" si="122"/>
        <v>0</v>
      </c>
      <c r="CR105">
        <f t="shared" si="123"/>
        <v>0</v>
      </c>
      <c r="CS105">
        <f t="shared" si="124"/>
        <v>0</v>
      </c>
      <c r="CT105">
        <f t="shared" si="125"/>
        <v>0</v>
      </c>
      <c r="CU105">
        <f t="shared" si="126"/>
        <v>0</v>
      </c>
      <c r="CV105">
        <f t="shared" si="127"/>
        <v>0</v>
      </c>
      <c r="CW105">
        <f t="shared" si="128"/>
        <v>0</v>
      </c>
      <c r="CX105">
        <f t="shared" si="129"/>
        <v>0</v>
      </c>
      <c r="CY105">
        <f t="shared" si="130"/>
        <v>0</v>
      </c>
      <c r="CZ105">
        <f t="shared" si="131"/>
        <v>0</v>
      </c>
      <c r="DC105" t="s">
        <v>6</v>
      </c>
      <c r="DD105" t="s">
        <v>6</v>
      </c>
      <c r="DE105" t="s">
        <v>6</v>
      </c>
      <c r="DF105" t="s">
        <v>6</v>
      </c>
      <c r="DG105" t="s">
        <v>6</v>
      </c>
      <c r="DH105" t="s">
        <v>6</v>
      </c>
      <c r="DI105" t="s">
        <v>6</v>
      </c>
      <c r="DJ105" t="s">
        <v>6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1009</v>
      </c>
      <c r="DV105" t="s">
        <v>98</v>
      </c>
      <c r="DW105" t="s">
        <v>98</v>
      </c>
      <c r="DX105">
        <v>1000</v>
      </c>
      <c r="EE105">
        <v>16609187</v>
      </c>
      <c r="EF105">
        <v>6</v>
      </c>
      <c r="EG105" t="s">
        <v>39</v>
      </c>
      <c r="EH105">
        <v>0</v>
      </c>
      <c r="EI105" t="s">
        <v>6</v>
      </c>
      <c r="EJ105">
        <v>1</v>
      </c>
      <c r="EK105">
        <v>62001</v>
      </c>
      <c r="EL105" t="s">
        <v>93</v>
      </c>
      <c r="EM105" t="s">
        <v>94</v>
      </c>
      <c r="EO105" t="s">
        <v>6</v>
      </c>
      <c r="EQ105">
        <v>0</v>
      </c>
      <c r="ER105">
        <v>0</v>
      </c>
      <c r="ES105">
        <v>0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132"/>
        <v>0</v>
      </c>
      <c r="FS105">
        <v>0</v>
      </c>
      <c r="FX105">
        <v>80</v>
      </c>
      <c r="FY105">
        <v>50</v>
      </c>
      <c r="GA105" t="s">
        <v>6</v>
      </c>
      <c r="GD105">
        <v>0</v>
      </c>
      <c r="GF105">
        <v>1891904026</v>
      </c>
      <c r="GG105">
        <v>1</v>
      </c>
      <c r="GH105">
        <v>1</v>
      </c>
      <c r="GI105">
        <v>4</v>
      </c>
      <c r="GJ105">
        <v>0</v>
      </c>
      <c r="GK105">
        <f>ROUND(R105*(R12)/100,2)</f>
        <v>0</v>
      </c>
      <c r="GL105">
        <f t="shared" si="133"/>
        <v>0</v>
      </c>
      <c r="GM105">
        <f t="shared" si="134"/>
        <v>0</v>
      </c>
      <c r="GN105">
        <f t="shared" si="135"/>
        <v>0</v>
      </c>
      <c r="GO105">
        <f t="shared" si="136"/>
        <v>0</v>
      </c>
      <c r="GP105">
        <f t="shared" si="137"/>
        <v>0</v>
      </c>
      <c r="GR105">
        <v>0</v>
      </c>
      <c r="GS105">
        <v>3</v>
      </c>
      <c r="GT105">
        <v>0</v>
      </c>
      <c r="GU105" t="s">
        <v>6</v>
      </c>
      <c r="GV105">
        <f t="shared" si="138"/>
        <v>0</v>
      </c>
      <c r="GW105">
        <v>1</v>
      </c>
      <c r="GX105">
        <f t="shared" si="139"/>
        <v>0</v>
      </c>
      <c r="HA105">
        <v>0</v>
      </c>
      <c r="HB105">
        <v>0</v>
      </c>
      <c r="HC105">
        <f t="shared" si="140"/>
        <v>0</v>
      </c>
      <c r="IK105">
        <v>0</v>
      </c>
    </row>
    <row r="106" spans="1:245" x14ac:dyDescent="0.2">
      <c r="A106">
        <v>18</v>
      </c>
      <c r="B106">
        <v>1</v>
      </c>
      <c r="C106">
        <v>260</v>
      </c>
      <c r="E106" t="s">
        <v>357</v>
      </c>
      <c r="F106" t="s">
        <v>349</v>
      </c>
      <c r="G106" t="s">
        <v>358</v>
      </c>
      <c r="H106" t="s">
        <v>98</v>
      </c>
      <c r="I106">
        <f>I104*J106</f>
        <v>0.18715599999999999</v>
      </c>
      <c r="J106">
        <v>7.0999999999999994E-2</v>
      </c>
      <c r="O106">
        <f t="shared" si="107"/>
        <v>10178.129999999999</v>
      </c>
      <c r="P106">
        <f t="shared" si="108"/>
        <v>10178.129999999999</v>
      </c>
      <c r="Q106">
        <f t="shared" si="109"/>
        <v>0</v>
      </c>
      <c r="R106">
        <f t="shared" si="110"/>
        <v>0</v>
      </c>
      <c r="S106">
        <f t="shared" si="111"/>
        <v>0</v>
      </c>
      <c r="T106">
        <f t="shared" si="112"/>
        <v>0</v>
      </c>
      <c r="U106">
        <f t="shared" si="113"/>
        <v>0</v>
      </c>
      <c r="V106">
        <f t="shared" si="114"/>
        <v>0</v>
      </c>
      <c r="W106">
        <f t="shared" si="115"/>
        <v>0</v>
      </c>
      <c r="X106">
        <f t="shared" si="116"/>
        <v>0</v>
      </c>
      <c r="Y106">
        <f t="shared" si="117"/>
        <v>0</v>
      </c>
      <c r="AA106">
        <v>16630606</v>
      </c>
      <c r="AB106">
        <f t="shared" si="118"/>
        <v>7627.37</v>
      </c>
      <c r="AC106">
        <f t="shared" si="144"/>
        <v>7627.37</v>
      </c>
      <c r="AD106">
        <f t="shared" si="141"/>
        <v>0</v>
      </c>
      <c r="AE106">
        <f t="shared" si="142"/>
        <v>0</v>
      </c>
      <c r="AF106">
        <f t="shared" si="142"/>
        <v>0</v>
      </c>
      <c r="AG106">
        <f t="shared" si="119"/>
        <v>0</v>
      </c>
      <c r="AH106">
        <f t="shared" si="143"/>
        <v>0</v>
      </c>
      <c r="AI106">
        <f t="shared" si="143"/>
        <v>0</v>
      </c>
      <c r="AJ106">
        <f t="shared" si="120"/>
        <v>0</v>
      </c>
      <c r="AK106">
        <v>7627.37</v>
      </c>
      <c r="AL106">
        <v>7627.37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95</v>
      </c>
      <c r="AU106">
        <v>47</v>
      </c>
      <c r="AV106">
        <v>1</v>
      </c>
      <c r="AW106">
        <v>1</v>
      </c>
      <c r="AZ106">
        <v>7.13</v>
      </c>
      <c r="BA106">
        <v>1</v>
      </c>
      <c r="BB106">
        <v>1</v>
      </c>
      <c r="BC106">
        <v>7.13</v>
      </c>
      <c r="BD106" t="s">
        <v>6</v>
      </c>
      <c r="BE106" t="s">
        <v>6</v>
      </c>
      <c r="BF106" t="s">
        <v>6</v>
      </c>
      <c r="BG106" t="s">
        <v>6</v>
      </c>
      <c r="BH106">
        <v>3</v>
      </c>
      <c r="BI106">
        <v>1</v>
      </c>
      <c r="BJ106" t="s">
        <v>351</v>
      </c>
      <c r="BM106">
        <v>15001</v>
      </c>
      <c r="BN106">
        <v>0</v>
      </c>
      <c r="BO106" t="s">
        <v>6</v>
      </c>
      <c r="BP106">
        <v>0</v>
      </c>
      <c r="BQ106">
        <v>2</v>
      </c>
      <c r="BR106">
        <v>0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6</v>
      </c>
      <c r="BZ106">
        <v>105</v>
      </c>
      <c r="CA106">
        <v>55</v>
      </c>
      <c r="CE106">
        <v>0</v>
      </c>
      <c r="CF106">
        <v>0</v>
      </c>
      <c r="CG106">
        <v>0</v>
      </c>
      <c r="CM106">
        <v>0</v>
      </c>
      <c r="CN106" t="s">
        <v>6</v>
      </c>
      <c r="CO106">
        <v>0</v>
      </c>
      <c r="CP106">
        <f t="shared" si="121"/>
        <v>10178.129999999999</v>
      </c>
      <c r="CQ106">
        <f t="shared" si="122"/>
        <v>54383.148099999999</v>
      </c>
      <c r="CR106">
        <f t="shared" si="123"/>
        <v>0</v>
      </c>
      <c r="CS106">
        <f t="shared" si="124"/>
        <v>0</v>
      </c>
      <c r="CT106">
        <f t="shared" si="125"/>
        <v>0</v>
      </c>
      <c r="CU106">
        <f t="shared" si="126"/>
        <v>0</v>
      </c>
      <c r="CV106">
        <f t="shared" si="127"/>
        <v>0</v>
      </c>
      <c r="CW106">
        <f t="shared" si="128"/>
        <v>0</v>
      </c>
      <c r="CX106">
        <f t="shared" si="129"/>
        <v>0</v>
      </c>
      <c r="CY106">
        <f t="shared" si="130"/>
        <v>0</v>
      </c>
      <c r="CZ106">
        <f t="shared" si="131"/>
        <v>0</v>
      </c>
      <c r="DC106" t="s">
        <v>6</v>
      </c>
      <c r="DD106" t="s">
        <v>6</v>
      </c>
      <c r="DE106" t="s">
        <v>6</v>
      </c>
      <c r="DF106" t="s">
        <v>6</v>
      </c>
      <c r="DG106" t="s">
        <v>6</v>
      </c>
      <c r="DH106" t="s">
        <v>6</v>
      </c>
      <c r="DI106" t="s">
        <v>6</v>
      </c>
      <c r="DJ106" t="s">
        <v>6</v>
      </c>
      <c r="DK106" t="s">
        <v>6</v>
      </c>
      <c r="DL106" t="s">
        <v>6</v>
      </c>
      <c r="DM106" t="s">
        <v>6</v>
      </c>
      <c r="DN106">
        <v>0</v>
      </c>
      <c r="DO106">
        <v>0</v>
      </c>
      <c r="DP106">
        <v>1</v>
      </c>
      <c r="DQ106">
        <v>1</v>
      </c>
      <c r="DU106">
        <v>1009</v>
      </c>
      <c r="DV106" t="s">
        <v>98</v>
      </c>
      <c r="DW106" t="s">
        <v>98</v>
      </c>
      <c r="DX106">
        <v>1000</v>
      </c>
      <c r="EE106">
        <v>16609130</v>
      </c>
      <c r="EF106">
        <v>2</v>
      </c>
      <c r="EG106" t="s">
        <v>14</v>
      </c>
      <c r="EH106">
        <v>0</v>
      </c>
      <c r="EI106" t="s">
        <v>6</v>
      </c>
      <c r="EJ106">
        <v>1</v>
      </c>
      <c r="EK106">
        <v>15001</v>
      </c>
      <c r="EL106" t="s">
        <v>118</v>
      </c>
      <c r="EM106" t="s">
        <v>119</v>
      </c>
      <c r="EO106" t="s">
        <v>6</v>
      </c>
      <c r="EQ106">
        <v>0</v>
      </c>
      <c r="ER106">
        <v>7627.37</v>
      </c>
      <c r="ES106">
        <v>7627.37</v>
      </c>
      <c r="ET106">
        <v>0</v>
      </c>
      <c r="EU106">
        <v>0</v>
      </c>
      <c r="EV106">
        <v>0</v>
      </c>
      <c r="EW106">
        <v>0</v>
      </c>
      <c r="EX106">
        <v>0</v>
      </c>
      <c r="FQ106">
        <v>0</v>
      </c>
      <c r="FR106">
        <f t="shared" si="132"/>
        <v>0</v>
      </c>
      <c r="FS106">
        <v>0</v>
      </c>
      <c r="FT106" t="s">
        <v>22</v>
      </c>
      <c r="FU106" t="s">
        <v>23</v>
      </c>
      <c r="FX106">
        <v>94.5</v>
      </c>
      <c r="FY106">
        <v>46.75</v>
      </c>
      <c r="GA106" t="s">
        <v>6</v>
      </c>
      <c r="GD106">
        <v>0</v>
      </c>
      <c r="GF106">
        <v>1715615790</v>
      </c>
      <c r="GG106">
        <v>1</v>
      </c>
      <c r="GH106">
        <v>1</v>
      </c>
      <c r="GI106">
        <v>4</v>
      </c>
      <c r="GJ106">
        <v>0</v>
      </c>
      <c r="GK106">
        <f>ROUND(R106*(R12)/100,2)</f>
        <v>0</v>
      </c>
      <c r="GL106">
        <f t="shared" si="133"/>
        <v>0</v>
      </c>
      <c r="GM106">
        <f t="shared" si="134"/>
        <v>10178.129999999999</v>
      </c>
      <c r="GN106">
        <f t="shared" si="135"/>
        <v>10178.129999999999</v>
      </c>
      <c r="GO106">
        <f t="shared" si="136"/>
        <v>0</v>
      </c>
      <c r="GP106">
        <f t="shared" si="137"/>
        <v>0</v>
      </c>
      <c r="GR106">
        <v>0</v>
      </c>
      <c r="GS106">
        <v>3</v>
      </c>
      <c r="GT106">
        <v>0</v>
      </c>
      <c r="GU106" t="s">
        <v>6</v>
      </c>
      <c r="GV106">
        <f t="shared" si="138"/>
        <v>0</v>
      </c>
      <c r="GW106">
        <v>1</v>
      </c>
      <c r="GX106">
        <f t="shared" si="139"/>
        <v>0</v>
      </c>
      <c r="HA106">
        <v>0</v>
      </c>
      <c r="HB106">
        <v>0</v>
      </c>
      <c r="HC106">
        <f t="shared" si="140"/>
        <v>0</v>
      </c>
      <c r="IK106">
        <v>0</v>
      </c>
    </row>
    <row r="107" spans="1:245" x14ac:dyDescent="0.2">
      <c r="A107">
        <v>17</v>
      </c>
      <c r="B107">
        <v>1</v>
      </c>
      <c r="C107">
        <f>ROW(SmtRes!A272)</f>
        <v>272</v>
      </c>
      <c r="D107">
        <f>ROW(EtalonRes!A279)</f>
        <v>279</v>
      </c>
      <c r="E107" t="s">
        <v>359</v>
      </c>
      <c r="F107" t="s">
        <v>360</v>
      </c>
      <c r="G107" t="s">
        <v>361</v>
      </c>
      <c r="H107" t="s">
        <v>18</v>
      </c>
      <c r="I107">
        <f>ROUND(48.25/100,9)</f>
        <v>0.48249999999999998</v>
      </c>
      <c r="J107">
        <v>0</v>
      </c>
      <c r="O107">
        <f t="shared" si="107"/>
        <v>1599.05</v>
      </c>
      <c r="P107">
        <f t="shared" si="108"/>
        <v>416.06</v>
      </c>
      <c r="Q107">
        <f t="shared" si="109"/>
        <v>4.2</v>
      </c>
      <c r="R107">
        <f t="shared" si="110"/>
        <v>1.1399999999999999</v>
      </c>
      <c r="S107">
        <f t="shared" si="111"/>
        <v>1178.79</v>
      </c>
      <c r="T107">
        <f t="shared" si="112"/>
        <v>0</v>
      </c>
      <c r="U107">
        <f t="shared" si="113"/>
        <v>18.66044625</v>
      </c>
      <c r="V107">
        <f t="shared" si="114"/>
        <v>1.20625E-2</v>
      </c>
      <c r="W107">
        <f t="shared" si="115"/>
        <v>0</v>
      </c>
      <c r="X107">
        <f t="shared" si="116"/>
        <v>1120.93</v>
      </c>
      <c r="Y107">
        <f t="shared" si="117"/>
        <v>554.57000000000005</v>
      </c>
      <c r="AA107">
        <v>16630606</v>
      </c>
      <c r="AB107">
        <f t="shared" si="118"/>
        <v>464.81</v>
      </c>
      <c r="AC107">
        <f t="shared" si="144"/>
        <v>120.94</v>
      </c>
      <c r="AD107">
        <f>ROUND(((((ET107*1.25))-((EU107*1.25)))+AE107),2)</f>
        <v>1.22</v>
      </c>
      <c r="AE107">
        <f>ROUND(((EU107*1.25)),2)</f>
        <v>0.33</v>
      </c>
      <c r="AF107">
        <f>ROUND(((EV107*1.15)),2)</f>
        <v>342.65</v>
      </c>
      <c r="AG107">
        <f t="shared" si="119"/>
        <v>0</v>
      </c>
      <c r="AH107">
        <f>((EW107*1.15))</f>
        <v>38.674500000000002</v>
      </c>
      <c r="AI107">
        <f>((EX107*1.25))</f>
        <v>2.5000000000000001E-2</v>
      </c>
      <c r="AJ107">
        <f t="shared" si="120"/>
        <v>0</v>
      </c>
      <c r="AK107">
        <v>419.87</v>
      </c>
      <c r="AL107">
        <v>120.94</v>
      </c>
      <c r="AM107">
        <v>0.97</v>
      </c>
      <c r="AN107">
        <v>0.26</v>
      </c>
      <c r="AO107">
        <v>297.95999999999998</v>
      </c>
      <c r="AP107">
        <v>0</v>
      </c>
      <c r="AQ107">
        <v>33.630000000000003</v>
      </c>
      <c r="AR107">
        <v>0.02</v>
      </c>
      <c r="AS107">
        <v>0</v>
      </c>
      <c r="AT107">
        <v>95</v>
      </c>
      <c r="AU107">
        <v>47</v>
      </c>
      <c r="AV107">
        <v>1</v>
      </c>
      <c r="AW107">
        <v>1</v>
      </c>
      <c r="AZ107">
        <v>7.13</v>
      </c>
      <c r="BA107">
        <v>7.13</v>
      </c>
      <c r="BB107">
        <v>7.13</v>
      </c>
      <c r="BC107">
        <v>7.13</v>
      </c>
      <c r="BD107" t="s">
        <v>6</v>
      </c>
      <c r="BE107" t="s">
        <v>6</v>
      </c>
      <c r="BF107" t="s">
        <v>6</v>
      </c>
      <c r="BG107" t="s">
        <v>6</v>
      </c>
      <c r="BH107">
        <v>0</v>
      </c>
      <c r="BI107">
        <v>1</v>
      </c>
      <c r="BJ107" t="s">
        <v>362</v>
      </c>
      <c r="BM107">
        <v>15001</v>
      </c>
      <c r="BN107">
        <v>0</v>
      </c>
      <c r="BO107" t="s">
        <v>6</v>
      </c>
      <c r="BP107">
        <v>0</v>
      </c>
      <c r="BQ107">
        <v>2</v>
      </c>
      <c r="BR107">
        <v>0</v>
      </c>
      <c r="BS107">
        <v>7.13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105</v>
      </c>
      <c r="CA107">
        <v>55</v>
      </c>
      <c r="CE107">
        <v>0</v>
      </c>
      <c r="CF107">
        <v>0</v>
      </c>
      <c r="CG107">
        <v>0</v>
      </c>
      <c r="CM107">
        <v>0</v>
      </c>
      <c r="CN107" t="s">
        <v>1758</v>
      </c>
      <c r="CO107">
        <v>0</v>
      </c>
      <c r="CP107">
        <f t="shared" si="121"/>
        <v>1599.05</v>
      </c>
      <c r="CQ107">
        <f t="shared" si="122"/>
        <v>862.30219999999997</v>
      </c>
      <c r="CR107">
        <f t="shared" si="123"/>
        <v>8.698599999999999</v>
      </c>
      <c r="CS107">
        <f t="shared" si="124"/>
        <v>2.3529</v>
      </c>
      <c r="CT107">
        <f t="shared" si="125"/>
        <v>2443.0944999999997</v>
      </c>
      <c r="CU107">
        <f t="shared" si="126"/>
        <v>0</v>
      </c>
      <c r="CV107">
        <f t="shared" si="127"/>
        <v>38.674500000000002</v>
      </c>
      <c r="CW107">
        <f t="shared" si="128"/>
        <v>2.5000000000000001E-2</v>
      </c>
      <c r="CX107">
        <f t="shared" si="129"/>
        <v>0</v>
      </c>
      <c r="CY107">
        <f t="shared" si="130"/>
        <v>1120.9335000000001</v>
      </c>
      <c r="CZ107">
        <f t="shared" si="131"/>
        <v>554.5671000000001</v>
      </c>
      <c r="DC107" t="s">
        <v>6</v>
      </c>
      <c r="DD107" t="s">
        <v>6</v>
      </c>
      <c r="DE107" t="s">
        <v>81</v>
      </c>
      <c r="DF107" t="s">
        <v>81</v>
      </c>
      <c r="DG107" t="s">
        <v>82</v>
      </c>
      <c r="DH107" t="s">
        <v>6</v>
      </c>
      <c r="DI107" t="s">
        <v>82</v>
      </c>
      <c r="DJ107" t="s">
        <v>81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1005</v>
      </c>
      <c r="DV107" t="s">
        <v>18</v>
      </c>
      <c r="DW107" t="s">
        <v>18</v>
      </c>
      <c r="DX107">
        <v>100</v>
      </c>
      <c r="EE107">
        <v>16609130</v>
      </c>
      <c r="EF107">
        <v>2</v>
      </c>
      <c r="EG107" t="s">
        <v>14</v>
      </c>
      <c r="EH107">
        <v>0</v>
      </c>
      <c r="EI107" t="s">
        <v>6</v>
      </c>
      <c r="EJ107">
        <v>1</v>
      </c>
      <c r="EK107">
        <v>15001</v>
      </c>
      <c r="EL107" t="s">
        <v>118</v>
      </c>
      <c r="EM107" t="s">
        <v>119</v>
      </c>
      <c r="EO107" t="s">
        <v>83</v>
      </c>
      <c r="EQ107">
        <v>131072</v>
      </c>
      <c r="ER107">
        <v>419.87</v>
      </c>
      <c r="ES107">
        <v>120.94</v>
      </c>
      <c r="ET107">
        <v>0.97</v>
      </c>
      <c r="EU107">
        <v>0.26</v>
      </c>
      <c r="EV107">
        <v>297.95999999999998</v>
      </c>
      <c r="EW107">
        <v>33.630000000000003</v>
      </c>
      <c r="EX107">
        <v>0.02</v>
      </c>
      <c r="EY107">
        <v>0</v>
      </c>
      <c r="FQ107">
        <v>0</v>
      </c>
      <c r="FR107">
        <f t="shared" si="132"/>
        <v>0</v>
      </c>
      <c r="FS107">
        <v>0</v>
      </c>
      <c r="FT107" t="s">
        <v>22</v>
      </c>
      <c r="FU107" t="s">
        <v>23</v>
      </c>
      <c r="FX107">
        <v>94.5</v>
      </c>
      <c r="FY107">
        <v>46.75</v>
      </c>
      <c r="GA107" t="s">
        <v>6</v>
      </c>
      <c r="GD107">
        <v>0</v>
      </c>
      <c r="GF107">
        <v>33197345</v>
      </c>
      <c r="GG107">
        <v>1</v>
      </c>
      <c r="GH107">
        <v>1</v>
      </c>
      <c r="GI107">
        <v>4</v>
      </c>
      <c r="GJ107">
        <v>0</v>
      </c>
      <c r="GK107">
        <f>ROUND(R107*(R12)/100,2)</f>
        <v>0</v>
      </c>
      <c r="GL107">
        <f t="shared" si="133"/>
        <v>0</v>
      </c>
      <c r="GM107">
        <f t="shared" si="134"/>
        <v>3274.55</v>
      </c>
      <c r="GN107">
        <f t="shared" si="135"/>
        <v>3274.55</v>
      </c>
      <c r="GO107">
        <f t="shared" si="136"/>
        <v>0</v>
      </c>
      <c r="GP107">
        <f t="shared" si="137"/>
        <v>0</v>
      </c>
      <c r="GR107">
        <v>0</v>
      </c>
      <c r="GS107">
        <v>3</v>
      </c>
      <c r="GT107">
        <v>0</v>
      </c>
      <c r="GU107" t="s">
        <v>6</v>
      </c>
      <c r="GV107">
        <f t="shared" si="138"/>
        <v>0</v>
      </c>
      <c r="GW107">
        <v>1</v>
      </c>
      <c r="GX107">
        <f t="shared" si="139"/>
        <v>0</v>
      </c>
      <c r="HA107">
        <v>0</v>
      </c>
      <c r="HB107">
        <v>0</v>
      </c>
      <c r="HC107">
        <f t="shared" si="140"/>
        <v>0</v>
      </c>
      <c r="IK107">
        <v>0</v>
      </c>
    </row>
    <row r="108" spans="1:245" x14ac:dyDescent="0.2">
      <c r="A108">
        <v>18</v>
      </c>
      <c r="B108">
        <v>1</v>
      </c>
      <c r="C108">
        <v>266</v>
      </c>
      <c r="E108" t="s">
        <v>363</v>
      </c>
      <c r="F108" t="s">
        <v>364</v>
      </c>
      <c r="G108" t="s">
        <v>365</v>
      </c>
      <c r="H108" t="s">
        <v>366</v>
      </c>
      <c r="I108">
        <f>I107*J108</f>
        <v>0.54522499999999996</v>
      </c>
      <c r="J108">
        <v>1.1299999999999999</v>
      </c>
      <c r="O108">
        <f t="shared" si="107"/>
        <v>428.98</v>
      </c>
      <c r="P108">
        <f t="shared" si="108"/>
        <v>428.98</v>
      </c>
      <c r="Q108">
        <f t="shared" si="109"/>
        <v>0</v>
      </c>
      <c r="R108">
        <f t="shared" si="110"/>
        <v>0</v>
      </c>
      <c r="S108">
        <f t="shared" si="111"/>
        <v>0</v>
      </c>
      <c r="T108">
        <f t="shared" si="112"/>
        <v>0</v>
      </c>
      <c r="U108">
        <f t="shared" si="113"/>
        <v>0</v>
      </c>
      <c r="V108">
        <f t="shared" si="114"/>
        <v>0</v>
      </c>
      <c r="W108">
        <f t="shared" si="115"/>
        <v>0</v>
      </c>
      <c r="X108">
        <f t="shared" si="116"/>
        <v>0</v>
      </c>
      <c r="Y108">
        <f t="shared" si="117"/>
        <v>0</v>
      </c>
      <c r="AA108">
        <v>16630606</v>
      </c>
      <c r="AB108">
        <f t="shared" si="118"/>
        <v>110.35</v>
      </c>
      <c r="AC108">
        <f t="shared" si="144"/>
        <v>110.35</v>
      </c>
      <c r="AD108">
        <f>ROUND((((ET108)-(EU108))+AE108),2)</f>
        <v>0</v>
      </c>
      <c r="AE108">
        <f>ROUND((EU108),2)</f>
        <v>0</v>
      </c>
      <c r="AF108">
        <f>ROUND((EV108),2)</f>
        <v>0</v>
      </c>
      <c r="AG108">
        <f t="shared" si="119"/>
        <v>0</v>
      </c>
      <c r="AH108">
        <f>(EW108)</f>
        <v>0</v>
      </c>
      <c r="AI108">
        <f>(EX108)</f>
        <v>0</v>
      </c>
      <c r="AJ108">
        <f t="shared" si="120"/>
        <v>0</v>
      </c>
      <c r="AK108">
        <v>110.35</v>
      </c>
      <c r="AL108">
        <v>110.35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95</v>
      </c>
      <c r="AU108">
        <v>47</v>
      </c>
      <c r="AV108">
        <v>1</v>
      </c>
      <c r="AW108">
        <v>1</v>
      </c>
      <c r="AZ108">
        <v>7.13</v>
      </c>
      <c r="BA108">
        <v>1</v>
      </c>
      <c r="BB108">
        <v>1</v>
      </c>
      <c r="BC108">
        <v>7.13</v>
      </c>
      <c r="BD108" t="s">
        <v>6</v>
      </c>
      <c r="BE108" t="s">
        <v>6</v>
      </c>
      <c r="BF108" t="s">
        <v>6</v>
      </c>
      <c r="BG108" t="s">
        <v>6</v>
      </c>
      <c r="BH108">
        <v>3</v>
      </c>
      <c r="BI108">
        <v>1</v>
      </c>
      <c r="BJ108" t="s">
        <v>367</v>
      </c>
      <c r="BM108">
        <v>15001</v>
      </c>
      <c r="BN108">
        <v>0</v>
      </c>
      <c r="BO108" t="s">
        <v>6</v>
      </c>
      <c r="BP108">
        <v>0</v>
      </c>
      <c r="BQ108">
        <v>2</v>
      </c>
      <c r="BR108">
        <v>0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6</v>
      </c>
      <c r="BZ108">
        <v>105</v>
      </c>
      <c r="CA108">
        <v>55</v>
      </c>
      <c r="CE108">
        <v>0</v>
      </c>
      <c r="CF108">
        <v>0</v>
      </c>
      <c r="CG108">
        <v>0</v>
      </c>
      <c r="CM108">
        <v>0</v>
      </c>
      <c r="CN108" t="s">
        <v>6</v>
      </c>
      <c r="CO108">
        <v>0</v>
      </c>
      <c r="CP108">
        <f t="shared" si="121"/>
        <v>428.98</v>
      </c>
      <c r="CQ108">
        <f t="shared" si="122"/>
        <v>786.79549999999995</v>
      </c>
      <c r="CR108">
        <f t="shared" si="123"/>
        <v>0</v>
      </c>
      <c r="CS108">
        <f t="shared" si="124"/>
        <v>0</v>
      </c>
      <c r="CT108">
        <f t="shared" si="125"/>
        <v>0</v>
      </c>
      <c r="CU108">
        <f t="shared" si="126"/>
        <v>0</v>
      </c>
      <c r="CV108">
        <f t="shared" si="127"/>
        <v>0</v>
      </c>
      <c r="CW108">
        <f t="shared" si="128"/>
        <v>0</v>
      </c>
      <c r="CX108">
        <f t="shared" si="129"/>
        <v>0</v>
      </c>
      <c r="CY108">
        <f t="shared" si="130"/>
        <v>0</v>
      </c>
      <c r="CZ108">
        <f t="shared" si="131"/>
        <v>0</v>
      </c>
      <c r="DC108" t="s">
        <v>6</v>
      </c>
      <c r="DD108" t="s">
        <v>6</v>
      </c>
      <c r="DE108" t="s">
        <v>6</v>
      </c>
      <c r="DF108" t="s">
        <v>6</v>
      </c>
      <c r="DG108" t="s">
        <v>6</v>
      </c>
      <c r="DH108" t="s">
        <v>6</v>
      </c>
      <c r="DI108" t="s">
        <v>6</v>
      </c>
      <c r="DJ108" t="s">
        <v>6</v>
      </c>
      <c r="DK108" t="s">
        <v>6</v>
      </c>
      <c r="DL108" t="s">
        <v>6</v>
      </c>
      <c r="DM108" t="s">
        <v>6</v>
      </c>
      <c r="DN108">
        <v>0</v>
      </c>
      <c r="DO108">
        <v>0</v>
      </c>
      <c r="DP108">
        <v>1</v>
      </c>
      <c r="DQ108">
        <v>1</v>
      </c>
      <c r="DU108">
        <v>1005</v>
      </c>
      <c r="DV108" t="s">
        <v>366</v>
      </c>
      <c r="DW108" t="s">
        <v>366</v>
      </c>
      <c r="DX108">
        <v>10</v>
      </c>
      <c r="EE108">
        <v>16609130</v>
      </c>
      <c r="EF108">
        <v>2</v>
      </c>
      <c r="EG108" t="s">
        <v>14</v>
      </c>
      <c r="EH108">
        <v>0</v>
      </c>
      <c r="EI108" t="s">
        <v>6</v>
      </c>
      <c r="EJ108">
        <v>1</v>
      </c>
      <c r="EK108">
        <v>15001</v>
      </c>
      <c r="EL108" t="s">
        <v>118</v>
      </c>
      <c r="EM108" t="s">
        <v>119</v>
      </c>
      <c r="EO108" t="s">
        <v>6</v>
      </c>
      <c r="EQ108">
        <v>0</v>
      </c>
      <c r="ER108">
        <v>110.35</v>
      </c>
      <c r="ES108">
        <v>110.35</v>
      </c>
      <c r="ET108">
        <v>0</v>
      </c>
      <c r="EU108">
        <v>0</v>
      </c>
      <c r="EV108">
        <v>0</v>
      </c>
      <c r="EW108">
        <v>0</v>
      </c>
      <c r="EX108">
        <v>0</v>
      </c>
      <c r="FQ108">
        <v>0</v>
      </c>
      <c r="FR108">
        <f t="shared" si="132"/>
        <v>0</v>
      </c>
      <c r="FS108">
        <v>0</v>
      </c>
      <c r="FT108" t="s">
        <v>22</v>
      </c>
      <c r="FU108" t="s">
        <v>23</v>
      </c>
      <c r="FX108">
        <v>94.5</v>
      </c>
      <c r="FY108">
        <v>46.75</v>
      </c>
      <c r="GA108" t="s">
        <v>6</v>
      </c>
      <c r="GD108">
        <v>0</v>
      </c>
      <c r="GF108">
        <v>-1663288052</v>
      </c>
      <c r="GG108">
        <v>1</v>
      </c>
      <c r="GH108">
        <v>1</v>
      </c>
      <c r="GI108">
        <v>4</v>
      </c>
      <c r="GJ108">
        <v>0</v>
      </c>
      <c r="GK108">
        <f>ROUND(R108*(R12)/100,2)</f>
        <v>0</v>
      </c>
      <c r="GL108">
        <f t="shared" si="133"/>
        <v>0</v>
      </c>
      <c r="GM108">
        <f t="shared" si="134"/>
        <v>428.98</v>
      </c>
      <c r="GN108">
        <f t="shared" si="135"/>
        <v>428.98</v>
      </c>
      <c r="GO108">
        <f t="shared" si="136"/>
        <v>0</v>
      </c>
      <c r="GP108">
        <f t="shared" si="137"/>
        <v>0</v>
      </c>
      <c r="GR108">
        <v>0</v>
      </c>
      <c r="GS108">
        <v>3</v>
      </c>
      <c r="GT108">
        <v>0</v>
      </c>
      <c r="GU108" t="s">
        <v>6</v>
      </c>
      <c r="GV108">
        <f t="shared" si="138"/>
        <v>0</v>
      </c>
      <c r="GW108">
        <v>1</v>
      </c>
      <c r="GX108">
        <f t="shared" si="139"/>
        <v>0</v>
      </c>
      <c r="HA108">
        <v>0</v>
      </c>
      <c r="HB108">
        <v>0</v>
      </c>
      <c r="HC108">
        <f t="shared" si="140"/>
        <v>0</v>
      </c>
      <c r="IK108">
        <v>0</v>
      </c>
    </row>
    <row r="109" spans="1:245" x14ac:dyDescent="0.2">
      <c r="A109">
        <v>17</v>
      </c>
      <c r="B109">
        <v>1</v>
      </c>
      <c r="C109">
        <f>ROW(SmtRes!A274)</f>
        <v>274</v>
      </c>
      <c r="D109">
        <f>ROW(EtalonRes!A281)</f>
        <v>281</v>
      </c>
      <c r="E109" t="s">
        <v>368</v>
      </c>
      <c r="F109" t="s">
        <v>369</v>
      </c>
      <c r="G109" t="s">
        <v>370</v>
      </c>
      <c r="H109" t="s">
        <v>18</v>
      </c>
      <c r="I109">
        <f>ROUND(48.25/100,9)</f>
        <v>0.48249999999999998</v>
      </c>
      <c r="J109">
        <v>0</v>
      </c>
      <c r="O109">
        <f t="shared" si="107"/>
        <v>318.94</v>
      </c>
      <c r="P109">
        <f t="shared" si="108"/>
        <v>0</v>
      </c>
      <c r="Q109">
        <f t="shared" si="109"/>
        <v>0</v>
      </c>
      <c r="R109">
        <f t="shared" si="110"/>
        <v>0</v>
      </c>
      <c r="S109">
        <f t="shared" si="111"/>
        <v>318.94</v>
      </c>
      <c r="T109">
        <f t="shared" si="112"/>
        <v>0</v>
      </c>
      <c r="U109">
        <f t="shared" si="113"/>
        <v>4.6498524999999997</v>
      </c>
      <c r="V109">
        <f t="shared" si="114"/>
        <v>0</v>
      </c>
      <c r="W109">
        <f t="shared" si="115"/>
        <v>0</v>
      </c>
      <c r="X109">
        <f t="shared" si="116"/>
        <v>302.99</v>
      </c>
      <c r="Y109">
        <f t="shared" si="117"/>
        <v>149.9</v>
      </c>
      <c r="AA109">
        <v>16630606</v>
      </c>
      <c r="AB109">
        <f t="shared" si="118"/>
        <v>92.71</v>
      </c>
      <c r="AC109">
        <f t="shared" si="144"/>
        <v>0</v>
      </c>
      <c r="AD109">
        <f>ROUND(((((ET109*1.25))-((EU109*1.25)))+AE109),2)</f>
        <v>0</v>
      </c>
      <c r="AE109">
        <f>ROUND(((EU109*1.25)),2)</f>
        <v>0</v>
      </c>
      <c r="AF109">
        <f>ROUND(((EV109*1.15)),2)</f>
        <v>92.71</v>
      </c>
      <c r="AG109">
        <f t="shared" si="119"/>
        <v>0</v>
      </c>
      <c r="AH109">
        <f>((EW109*1.15))</f>
        <v>9.6370000000000005</v>
      </c>
      <c r="AI109">
        <f>((EX109*1.25))</f>
        <v>0</v>
      </c>
      <c r="AJ109">
        <f t="shared" si="120"/>
        <v>0</v>
      </c>
      <c r="AK109">
        <v>80.62</v>
      </c>
      <c r="AL109">
        <v>0</v>
      </c>
      <c r="AM109">
        <v>0</v>
      </c>
      <c r="AN109">
        <v>0</v>
      </c>
      <c r="AO109">
        <v>80.62</v>
      </c>
      <c r="AP109">
        <v>0</v>
      </c>
      <c r="AQ109">
        <v>8.3800000000000008</v>
      </c>
      <c r="AR109">
        <v>0</v>
      </c>
      <c r="AS109">
        <v>0</v>
      </c>
      <c r="AT109">
        <v>95</v>
      </c>
      <c r="AU109">
        <v>47</v>
      </c>
      <c r="AV109">
        <v>1</v>
      </c>
      <c r="AW109">
        <v>1</v>
      </c>
      <c r="AZ109">
        <v>7.13</v>
      </c>
      <c r="BA109">
        <v>7.13</v>
      </c>
      <c r="BB109">
        <v>7.13</v>
      </c>
      <c r="BC109">
        <v>7.13</v>
      </c>
      <c r="BD109" t="s">
        <v>6</v>
      </c>
      <c r="BE109" t="s">
        <v>6</v>
      </c>
      <c r="BF109" t="s">
        <v>6</v>
      </c>
      <c r="BG109" t="s">
        <v>6</v>
      </c>
      <c r="BH109">
        <v>0</v>
      </c>
      <c r="BI109">
        <v>1</v>
      </c>
      <c r="BJ109" t="s">
        <v>371</v>
      </c>
      <c r="BM109">
        <v>15001</v>
      </c>
      <c r="BN109">
        <v>0</v>
      </c>
      <c r="BO109" t="s">
        <v>6</v>
      </c>
      <c r="BP109">
        <v>0</v>
      </c>
      <c r="BQ109">
        <v>2</v>
      </c>
      <c r="BR109">
        <v>0</v>
      </c>
      <c r="BS109">
        <v>7.13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105</v>
      </c>
      <c r="CA109">
        <v>55</v>
      </c>
      <c r="CE109">
        <v>0</v>
      </c>
      <c r="CF109">
        <v>0</v>
      </c>
      <c r="CG109">
        <v>0</v>
      </c>
      <c r="CM109">
        <v>0</v>
      </c>
      <c r="CN109" t="s">
        <v>1758</v>
      </c>
      <c r="CO109">
        <v>0</v>
      </c>
      <c r="CP109">
        <f t="shared" si="121"/>
        <v>318.94</v>
      </c>
      <c r="CQ109">
        <f t="shared" si="122"/>
        <v>0</v>
      </c>
      <c r="CR109">
        <f t="shared" si="123"/>
        <v>0</v>
      </c>
      <c r="CS109">
        <f t="shared" si="124"/>
        <v>0</v>
      </c>
      <c r="CT109">
        <f t="shared" si="125"/>
        <v>661.02229999999997</v>
      </c>
      <c r="CU109">
        <f t="shared" si="126"/>
        <v>0</v>
      </c>
      <c r="CV109">
        <f t="shared" si="127"/>
        <v>9.6370000000000005</v>
      </c>
      <c r="CW109">
        <f t="shared" si="128"/>
        <v>0</v>
      </c>
      <c r="CX109">
        <f t="shared" si="129"/>
        <v>0</v>
      </c>
      <c r="CY109">
        <f t="shared" si="130"/>
        <v>302.99299999999999</v>
      </c>
      <c r="CZ109">
        <f t="shared" si="131"/>
        <v>149.90180000000001</v>
      </c>
      <c r="DC109" t="s">
        <v>6</v>
      </c>
      <c r="DD109" t="s">
        <v>6</v>
      </c>
      <c r="DE109" t="s">
        <v>81</v>
      </c>
      <c r="DF109" t="s">
        <v>81</v>
      </c>
      <c r="DG109" t="s">
        <v>82</v>
      </c>
      <c r="DH109" t="s">
        <v>6</v>
      </c>
      <c r="DI109" t="s">
        <v>82</v>
      </c>
      <c r="DJ109" t="s">
        <v>81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1005</v>
      </c>
      <c r="DV109" t="s">
        <v>18</v>
      </c>
      <c r="DW109" t="s">
        <v>18</v>
      </c>
      <c r="DX109">
        <v>100</v>
      </c>
      <c r="EE109">
        <v>16609130</v>
      </c>
      <c r="EF109">
        <v>2</v>
      </c>
      <c r="EG109" t="s">
        <v>14</v>
      </c>
      <c r="EH109">
        <v>0</v>
      </c>
      <c r="EI109" t="s">
        <v>6</v>
      </c>
      <c r="EJ109">
        <v>1</v>
      </c>
      <c r="EK109">
        <v>15001</v>
      </c>
      <c r="EL109" t="s">
        <v>118</v>
      </c>
      <c r="EM109" t="s">
        <v>119</v>
      </c>
      <c r="EO109" t="s">
        <v>83</v>
      </c>
      <c r="EQ109">
        <v>131072</v>
      </c>
      <c r="ER109">
        <v>80.62</v>
      </c>
      <c r="ES109">
        <v>0</v>
      </c>
      <c r="ET109">
        <v>0</v>
      </c>
      <c r="EU109">
        <v>0</v>
      </c>
      <c r="EV109">
        <v>80.62</v>
      </c>
      <c r="EW109">
        <v>8.3800000000000008</v>
      </c>
      <c r="EX109">
        <v>0</v>
      </c>
      <c r="EY109">
        <v>0</v>
      </c>
      <c r="FQ109">
        <v>0</v>
      </c>
      <c r="FR109">
        <f t="shared" si="132"/>
        <v>0</v>
      </c>
      <c r="FS109">
        <v>0</v>
      </c>
      <c r="FT109" t="s">
        <v>22</v>
      </c>
      <c r="FU109" t="s">
        <v>23</v>
      </c>
      <c r="FX109">
        <v>94.5</v>
      </c>
      <c r="FY109">
        <v>46.75</v>
      </c>
      <c r="GA109" t="s">
        <v>6</v>
      </c>
      <c r="GD109">
        <v>0</v>
      </c>
      <c r="GF109">
        <v>-1713052478</v>
      </c>
      <c r="GG109">
        <v>1</v>
      </c>
      <c r="GH109">
        <v>1</v>
      </c>
      <c r="GI109">
        <v>4</v>
      </c>
      <c r="GJ109">
        <v>0</v>
      </c>
      <c r="GK109">
        <f>ROUND(R109*(R12)/100,2)</f>
        <v>0</v>
      </c>
      <c r="GL109">
        <f t="shared" si="133"/>
        <v>0</v>
      </c>
      <c r="GM109">
        <f t="shared" si="134"/>
        <v>771.83</v>
      </c>
      <c r="GN109">
        <f t="shared" si="135"/>
        <v>771.83</v>
      </c>
      <c r="GO109">
        <f t="shared" si="136"/>
        <v>0</v>
      </c>
      <c r="GP109">
        <f t="shared" si="137"/>
        <v>0</v>
      </c>
      <c r="GR109">
        <v>0</v>
      </c>
      <c r="GS109">
        <v>3</v>
      </c>
      <c r="GT109">
        <v>0</v>
      </c>
      <c r="GU109" t="s">
        <v>6</v>
      </c>
      <c r="GV109">
        <f t="shared" si="138"/>
        <v>0</v>
      </c>
      <c r="GW109">
        <v>1</v>
      </c>
      <c r="GX109">
        <f t="shared" si="139"/>
        <v>0</v>
      </c>
      <c r="HA109">
        <v>0</v>
      </c>
      <c r="HB109">
        <v>0</v>
      </c>
      <c r="HC109">
        <f t="shared" si="140"/>
        <v>0</v>
      </c>
      <c r="IK109">
        <v>0</v>
      </c>
    </row>
    <row r="110" spans="1:245" x14ac:dyDescent="0.2">
      <c r="A110">
        <v>18</v>
      </c>
      <c r="B110">
        <v>1</v>
      </c>
      <c r="C110">
        <v>274</v>
      </c>
      <c r="E110" t="s">
        <v>372</v>
      </c>
      <c r="F110" t="s">
        <v>373</v>
      </c>
      <c r="G110" t="s">
        <v>374</v>
      </c>
      <c r="H110" t="s">
        <v>98</v>
      </c>
      <c r="I110">
        <f>I109*J110</f>
        <v>7.7200000000000003E-3</v>
      </c>
      <c r="J110">
        <v>1.6E-2</v>
      </c>
      <c r="O110">
        <f t="shared" si="107"/>
        <v>261.54000000000002</v>
      </c>
      <c r="P110">
        <f t="shared" si="108"/>
        <v>261.54000000000002</v>
      </c>
      <c r="Q110">
        <f t="shared" si="109"/>
        <v>0</v>
      </c>
      <c r="R110">
        <f t="shared" si="110"/>
        <v>0</v>
      </c>
      <c r="S110">
        <f t="shared" si="111"/>
        <v>0</v>
      </c>
      <c r="T110">
        <f t="shared" si="112"/>
        <v>0</v>
      </c>
      <c r="U110">
        <f t="shared" si="113"/>
        <v>0</v>
      </c>
      <c r="V110">
        <f t="shared" si="114"/>
        <v>0</v>
      </c>
      <c r="W110">
        <f t="shared" si="115"/>
        <v>0</v>
      </c>
      <c r="X110">
        <f t="shared" si="116"/>
        <v>0</v>
      </c>
      <c r="Y110">
        <f t="shared" si="117"/>
        <v>0</v>
      </c>
      <c r="AA110">
        <v>16630606</v>
      </c>
      <c r="AB110">
        <f t="shared" si="118"/>
        <v>4751.46</v>
      </c>
      <c r="AC110">
        <f t="shared" si="144"/>
        <v>4751.46</v>
      </c>
      <c r="AD110">
        <f>ROUND((((ET110)-(EU110))+AE110),2)</f>
        <v>0</v>
      </c>
      <c r="AE110">
        <f>ROUND((EU110),2)</f>
        <v>0</v>
      </c>
      <c r="AF110">
        <f>ROUND((EV110),2)</f>
        <v>0</v>
      </c>
      <c r="AG110">
        <f t="shared" si="119"/>
        <v>0</v>
      </c>
      <c r="AH110">
        <f>(EW110)</f>
        <v>0</v>
      </c>
      <c r="AI110">
        <f>(EX110)</f>
        <v>0</v>
      </c>
      <c r="AJ110">
        <f t="shared" si="120"/>
        <v>0</v>
      </c>
      <c r="AK110">
        <v>4751.46</v>
      </c>
      <c r="AL110">
        <v>4751.46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95</v>
      </c>
      <c r="AU110">
        <v>47</v>
      </c>
      <c r="AV110">
        <v>1</v>
      </c>
      <c r="AW110">
        <v>1</v>
      </c>
      <c r="AZ110">
        <v>7.13</v>
      </c>
      <c r="BA110">
        <v>1</v>
      </c>
      <c r="BB110">
        <v>1</v>
      </c>
      <c r="BC110">
        <v>7.13</v>
      </c>
      <c r="BD110" t="s">
        <v>6</v>
      </c>
      <c r="BE110" t="s">
        <v>6</v>
      </c>
      <c r="BF110" t="s">
        <v>6</v>
      </c>
      <c r="BG110" t="s">
        <v>6</v>
      </c>
      <c r="BH110">
        <v>3</v>
      </c>
      <c r="BI110">
        <v>1</v>
      </c>
      <c r="BJ110" t="s">
        <v>375</v>
      </c>
      <c r="BM110">
        <v>15001</v>
      </c>
      <c r="BN110">
        <v>0</v>
      </c>
      <c r="BO110" t="s">
        <v>6</v>
      </c>
      <c r="BP110">
        <v>0</v>
      </c>
      <c r="BQ110">
        <v>2</v>
      </c>
      <c r="BR110">
        <v>0</v>
      </c>
      <c r="BS110">
        <v>1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6</v>
      </c>
      <c r="BZ110">
        <v>105</v>
      </c>
      <c r="CA110">
        <v>55</v>
      </c>
      <c r="CE110">
        <v>0</v>
      </c>
      <c r="CF110">
        <v>0</v>
      </c>
      <c r="CG110">
        <v>0</v>
      </c>
      <c r="CM110">
        <v>0</v>
      </c>
      <c r="CN110" t="s">
        <v>6</v>
      </c>
      <c r="CO110">
        <v>0</v>
      </c>
      <c r="CP110">
        <f t="shared" si="121"/>
        <v>261.54000000000002</v>
      </c>
      <c r="CQ110">
        <f t="shared" si="122"/>
        <v>33877.909800000001</v>
      </c>
      <c r="CR110">
        <f t="shared" si="123"/>
        <v>0</v>
      </c>
      <c r="CS110">
        <f t="shared" si="124"/>
        <v>0</v>
      </c>
      <c r="CT110">
        <f t="shared" si="125"/>
        <v>0</v>
      </c>
      <c r="CU110">
        <f t="shared" si="126"/>
        <v>0</v>
      </c>
      <c r="CV110">
        <f t="shared" si="127"/>
        <v>0</v>
      </c>
      <c r="CW110">
        <f t="shared" si="128"/>
        <v>0</v>
      </c>
      <c r="CX110">
        <f t="shared" si="129"/>
        <v>0</v>
      </c>
      <c r="CY110">
        <f t="shared" si="130"/>
        <v>0</v>
      </c>
      <c r="CZ110">
        <f t="shared" si="131"/>
        <v>0</v>
      </c>
      <c r="DC110" t="s">
        <v>6</v>
      </c>
      <c r="DD110" t="s">
        <v>6</v>
      </c>
      <c r="DE110" t="s">
        <v>6</v>
      </c>
      <c r="DF110" t="s">
        <v>6</v>
      </c>
      <c r="DG110" t="s">
        <v>6</v>
      </c>
      <c r="DH110" t="s">
        <v>6</v>
      </c>
      <c r="DI110" t="s">
        <v>6</v>
      </c>
      <c r="DJ110" t="s">
        <v>6</v>
      </c>
      <c r="DK110" t="s">
        <v>6</v>
      </c>
      <c r="DL110" t="s">
        <v>6</v>
      </c>
      <c r="DM110" t="s">
        <v>6</v>
      </c>
      <c r="DN110">
        <v>0</v>
      </c>
      <c r="DO110">
        <v>0</v>
      </c>
      <c r="DP110">
        <v>1</v>
      </c>
      <c r="DQ110">
        <v>1</v>
      </c>
      <c r="DU110">
        <v>1009</v>
      </c>
      <c r="DV110" t="s">
        <v>98</v>
      </c>
      <c r="DW110" t="s">
        <v>98</v>
      </c>
      <c r="DX110">
        <v>1000</v>
      </c>
      <c r="EE110">
        <v>16609130</v>
      </c>
      <c r="EF110">
        <v>2</v>
      </c>
      <c r="EG110" t="s">
        <v>14</v>
      </c>
      <c r="EH110">
        <v>0</v>
      </c>
      <c r="EI110" t="s">
        <v>6</v>
      </c>
      <c r="EJ110">
        <v>1</v>
      </c>
      <c r="EK110">
        <v>15001</v>
      </c>
      <c r="EL110" t="s">
        <v>118</v>
      </c>
      <c r="EM110" t="s">
        <v>119</v>
      </c>
      <c r="EO110" t="s">
        <v>6</v>
      </c>
      <c r="EQ110">
        <v>0</v>
      </c>
      <c r="ER110">
        <v>4751.46</v>
      </c>
      <c r="ES110">
        <v>4751.46</v>
      </c>
      <c r="ET110">
        <v>0</v>
      </c>
      <c r="EU110">
        <v>0</v>
      </c>
      <c r="EV110">
        <v>0</v>
      </c>
      <c r="EW110">
        <v>0</v>
      </c>
      <c r="EX110">
        <v>0</v>
      </c>
      <c r="FQ110">
        <v>0</v>
      </c>
      <c r="FR110">
        <f t="shared" si="132"/>
        <v>0</v>
      </c>
      <c r="FS110">
        <v>0</v>
      </c>
      <c r="FT110" t="s">
        <v>22</v>
      </c>
      <c r="FU110" t="s">
        <v>23</v>
      </c>
      <c r="FX110">
        <v>94.5</v>
      </c>
      <c r="FY110">
        <v>46.75</v>
      </c>
      <c r="GA110" t="s">
        <v>6</v>
      </c>
      <c r="GD110">
        <v>0</v>
      </c>
      <c r="GF110">
        <v>219954523</v>
      </c>
      <c r="GG110">
        <v>1</v>
      </c>
      <c r="GH110">
        <v>1</v>
      </c>
      <c r="GI110">
        <v>4</v>
      </c>
      <c r="GJ110">
        <v>0</v>
      </c>
      <c r="GK110">
        <f>ROUND(R110*(R12)/100,2)</f>
        <v>0</v>
      </c>
      <c r="GL110">
        <f t="shared" si="133"/>
        <v>0</v>
      </c>
      <c r="GM110">
        <f t="shared" si="134"/>
        <v>261.54000000000002</v>
      </c>
      <c r="GN110">
        <f t="shared" si="135"/>
        <v>261.54000000000002</v>
      </c>
      <c r="GO110">
        <f t="shared" si="136"/>
        <v>0</v>
      </c>
      <c r="GP110">
        <f t="shared" si="137"/>
        <v>0</v>
      </c>
      <c r="GR110">
        <v>0</v>
      </c>
      <c r="GS110">
        <v>3</v>
      </c>
      <c r="GT110">
        <v>0</v>
      </c>
      <c r="GU110" t="s">
        <v>6</v>
      </c>
      <c r="GV110">
        <f t="shared" si="138"/>
        <v>0</v>
      </c>
      <c r="GW110">
        <v>1</v>
      </c>
      <c r="GX110">
        <f t="shared" si="139"/>
        <v>0</v>
      </c>
      <c r="HA110">
        <v>0</v>
      </c>
      <c r="HB110">
        <v>0</v>
      </c>
      <c r="HC110">
        <f t="shared" si="140"/>
        <v>0</v>
      </c>
      <c r="IK110">
        <v>0</v>
      </c>
    </row>
    <row r="111" spans="1:245" x14ac:dyDescent="0.2">
      <c r="A111">
        <v>17</v>
      </c>
      <c r="B111">
        <v>1</v>
      </c>
      <c r="C111">
        <f>ROW(SmtRes!A281)</f>
        <v>281</v>
      </c>
      <c r="D111">
        <f>ROW(EtalonRes!A287)</f>
        <v>287</v>
      </c>
      <c r="E111" t="s">
        <v>376</v>
      </c>
      <c r="F111" t="s">
        <v>377</v>
      </c>
      <c r="G111" t="s">
        <v>378</v>
      </c>
      <c r="H111" t="s">
        <v>18</v>
      </c>
      <c r="I111">
        <f>ROUND(263.6/100,9)</f>
        <v>2.6360000000000001</v>
      </c>
      <c r="J111">
        <v>0</v>
      </c>
      <c r="O111">
        <f t="shared" si="107"/>
        <v>1710.5</v>
      </c>
      <c r="P111">
        <f t="shared" si="108"/>
        <v>3.38</v>
      </c>
      <c r="Q111">
        <f t="shared" si="109"/>
        <v>22.93</v>
      </c>
      <c r="R111">
        <f t="shared" si="110"/>
        <v>6.2</v>
      </c>
      <c r="S111">
        <f t="shared" si="111"/>
        <v>1684.19</v>
      </c>
      <c r="T111">
        <f t="shared" si="112"/>
        <v>0</v>
      </c>
      <c r="U111">
        <f t="shared" si="113"/>
        <v>24.55434</v>
      </c>
      <c r="V111">
        <f t="shared" si="114"/>
        <v>6.59E-2</v>
      </c>
      <c r="W111">
        <f t="shared" si="115"/>
        <v>0</v>
      </c>
      <c r="X111">
        <f t="shared" si="116"/>
        <v>1605.87</v>
      </c>
      <c r="Y111">
        <f t="shared" si="117"/>
        <v>794.48</v>
      </c>
      <c r="AA111">
        <v>16630606</v>
      </c>
      <c r="AB111">
        <f t="shared" si="118"/>
        <v>91.01</v>
      </c>
      <c r="AC111">
        <f t="shared" si="144"/>
        <v>0.18</v>
      </c>
      <c r="AD111">
        <f>ROUND(((((ET111*1.25))-((EU111*1.25)))+AE111),2)</f>
        <v>1.22</v>
      </c>
      <c r="AE111">
        <f>ROUND(((EU111*1.25)),2)</f>
        <v>0.33</v>
      </c>
      <c r="AF111">
        <f>ROUND(((EV111*1.15)),2)</f>
        <v>89.61</v>
      </c>
      <c r="AG111">
        <f t="shared" si="119"/>
        <v>0</v>
      </c>
      <c r="AH111">
        <f>((EW111*1.15))</f>
        <v>9.3149999999999995</v>
      </c>
      <c r="AI111">
        <f>((EX111*1.25))</f>
        <v>2.5000000000000001E-2</v>
      </c>
      <c r="AJ111">
        <f t="shared" si="120"/>
        <v>0</v>
      </c>
      <c r="AK111">
        <v>79.069999999999993</v>
      </c>
      <c r="AL111">
        <v>0.18</v>
      </c>
      <c r="AM111">
        <v>0.97</v>
      </c>
      <c r="AN111">
        <v>0.26</v>
      </c>
      <c r="AO111">
        <v>77.92</v>
      </c>
      <c r="AP111">
        <v>0</v>
      </c>
      <c r="AQ111">
        <v>8.1</v>
      </c>
      <c r="AR111">
        <v>0.02</v>
      </c>
      <c r="AS111">
        <v>0</v>
      </c>
      <c r="AT111">
        <v>95</v>
      </c>
      <c r="AU111">
        <v>47</v>
      </c>
      <c r="AV111">
        <v>1</v>
      </c>
      <c r="AW111">
        <v>1</v>
      </c>
      <c r="AZ111">
        <v>7.13</v>
      </c>
      <c r="BA111">
        <v>7.13</v>
      </c>
      <c r="BB111">
        <v>7.13</v>
      </c>
      <c r="BC111">
        <v>7.13</v>
      </c>
      <c r="BD111" t="s">
        <v>6</v>
      </c>
      <c r="BE111" t="s">
        <v>6</v>
      </c>
      <c r="BF111" t="s">
        <v>6</v>
      </c>
      <c r="BG111" t="s">
        <v>6</v>
      </c>
      <c r="BH111">
        <v>0</v>
      </c>
      <c r="BI111">
        <v>1</v>
      </c>
      <c r="BJ111" t="s">
        <v>379</v>
      </c>
      <c r="BM111">
        <v>15001</v>
      </c>
      <c r="BN111">
        <v>0</v>
      </c>
      <c r="BO111" t="s">
        <v>6</v>
      </c>
      <c r="BP111">
        <v>0</v>
      </c>
      <c r="BQ111">
        <v>2</v>
      </c>
      <c r="BR111">
        <v>0</v>
      </c>
      <c r="BS111">
        <v>7.13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</v>
      </c>
      <c r="BZ111">
        <v>105</v>
      </c>
      <c r="CA111">
        <v>55</v>
      </c>
      <c r="CE111">
        <v>0</v>
      </c>
      <c r="CF111">
        <v>0</v>
      </c>
      <c r="CG111">
        <v>0</v>
      </c>
      <c r="CM111">
        <v>0</v>
      </c>
      <c r="CN111" t="s">
        <v>1758</v>
      </c>
      <c r="CO111">
        <v>0</v>
      </c>
      <c r="CP111">
        <f t="shared" si="121"/>
        <v>1710.5</v>
      </c>
      <c r="CQ111">
        <f t="shared" si="122"/>
        <v>1.2833999999999999</v>
      </c>
      <c r="CR111">
        <f t="shared" si="123"/>
        <v>8.698599999999999</v>
      </c>
      <c r="CS111">
        <f t="shared" si="124"/>
        <v>2.3529</v>
      </c>
      <c r="CT111">
        <f t="shared" si="125"/>
        <v>638.91930000000002</v>
      </c>
      <c r="CU111">
        <f t="shared" si="126"/>
        <v>0</v>
      </c>
      <c r="CV111">
        <f t="shared" si="127"/>
        <v>9.3149999999999995</v>
      </c>
      <c r="CW111">
        <f t="shared" si="128"/>
        <v>2.5000000000000001E-2</v>
      </c>
      <c r="CX111">
        <f t="shared" si="129"/>
        <v>0</v>
      </c>
      <c r="CY111">
        <f t="shared" si="130"/>
        <v>1605.8705000000002</v>
      </c>
      <c r="CZ111">
        <f t="shared" si="131"/>
        <v>794.48329999999999</v>
      </c>
      <c r="DC111" t="s">
        <v>6</v>
      </c>
      <c r="DD111" t="s">
        <v>6</v>
      </c>
      <c r="DE111" t="s">
        <v>81</v>
      </c>
      <c r="DF111" t="s">
        <v>81</v>
      </c>
      <c r="DG111" t="s">
        <v>82</v>
      </c>
      <c r="DH111" t="s">
        <v>6</v>
      </c>
      <c r="DI111" t="s">
        <v>82</v>
      </c>
      <c r="DJ111" t="s">
        <v>81</v>
      </c>
      <c r="DK111" t="s">
        <v>6</v>
      </c>
      <c r="DL111" t="s">
        <v>6</v>
      </c>
      <c r="DM111" t="s">
        <v>6</v>
      </c>
      <c r="DN111">
        <v>0</v>
      </c>
      <c r="DO111">
        <v>0</v>
      </c>
      <c r="DP111">
        <v>1</v>
      </c>
      <c r="DQ111">
        <v>1</v>
      </c>
      <c r="DU111">
        <v>1005</v>
      </c>
      <c r="DV111" t="s">
        <v>18</v>
      </c>
      <c r="DW111" t="s">
        <v>18</v>
      </c>
      <c r="DX111">
        <v>100</v>
      </c>
      <c r="EE111">
        <v>16609130</v>
      </c>
      <c r="EF111">
        <v>2</v>
      </c>
      <c r="EG111" t="s">
        <v>14</v>
      </c>
      <c r="EH111">
        <v>0</v>
      </c>
      <c r="EI111" t="s">
        <v>6</v>
      </c>
      <c r="EJ111">
        <v>1</v>
      </c>
      <c r="EK111">
        <v>15001</v>
      </c>
      <c r="EL111" t="s">
        <v>118</v>
      </c>
      <c r="EM111" t="s">
        <v>119</v>
      </c>
      <c r="EO111" t="s">
        <v>83</v>
      </c>
      <c r="EQ111">
        <v>0</v>
      </c>
      <c r="ER111">
        <v>79.069999999999993</v>
      </c>
      <c r="ES111">
        <v>0.18</v>
      </c>
      <c r="ET111">
        <v>0.97</v>
      </c>
      <c r="EU111">
        <v>0.26</v>
      </c>
      <c r="EV111">
        <v>77.92</v>
      </c>
      <c r="EW111">
        <v>8.1</v>
      </c>
      <c r="EX111">
        <v>0.02</v>
      </c>
      <c r="EY111">
        <v>0</v>
      </c>
      <c r="FQ111">
        <v>0</v>
      </c>
      <c r="FR111">
        <f t="shared" si="132"/>
        <v>0</v>
      </c>
      <c r="FS111">
        <v>0</v>
      </c>
      <c r="FT111" t="s">
        <v>22</v>
      </c>
      <c r="FU111" t="s">
        <v>23</v>
      </c>
      <c r="FX111">
        <v>94.5</v>
      </c>
      <c r="FY111">
        <v>46.75</v>
      </c>
      <c r="GA111" t="s">
        <v>6</v>
      </c>
      <c r="GD111">
        <v>0</v>
      </c>
      <c r="GF111">
        <v>1138646690</v>
      </c>
      <c r="GG111">
        <v>1</v>
      </c>
      <c r="GH111">
        <v>1</v>
      </c>
      <c r="GI111">
        <v>4</v>
      </c>
      <c r="GJ111">
        <v>0</v>
      </c>
      <c r="GK111">
        <f>ROUND(R111*(R12)/100,2)</f>
        <v>0</v>
      </c>
      <c r="GL111">
        <f t="shared" si="133"/>
        <v>0</v>
      </c>
      <c r="GM111">
        <f t="shared" si="134"/>
        <v>4110.8500000000004</v>
      </c>
      <c r="GN111">
        <f t="shared" si="135"/>
        <v>4110.8500000000004</v>
      </c>
      <c r="GO111">
        <f t="shared" si="136"/>
        <v>0</v>
      </c>
      <c r="GP111">
        <f t="shared" si="137"/>
        <v>0</v>
      </c>
      <c r="GR111">
        <v>0</v>
      </c>
      <c r="GS111">
        <v>3</v>
      </c>
      <c r="GT111">
        <v>0</v>
      </c>
      <c r="GU111" t="s">
        <v>6</v>
      </c>
      <c r="GV111">
        <f t="shared" si="138"/>
        <v>0</v>
      </c>
      <c r="GW111">
        <v>1</v>
      </c>
      <c r="GX111">
        <f t="shared" si="139"/>
        <v>0</v>
      </c>
      <c r="HA111">
        <v>0</v>
      </c>
      <c r="HB111">
        <v>0</v>
      </c>
      <c r="HC111">
        <f t="shared" si="140"/>
        <v>0</v>
      </c>
      <c r="IK111">
        <v>0</v>
      </c>
    </row>
    <row r="112" spans="1:245" x14ac:dyDescent="0.2">
      <c r="A112">
        <v>18</v>
      </c>
      <c r="B112">
        <v>1</v>
      </c>
      <c r="C112">
        <v>281</v>
      </c>
      <c r="E112" t="s">
        <v>380</v>
      </c>
      <c r="F112" t="s">
        <v>317</v>
      </c>
      <c r="G112" t="s">
        <v>318</v>
      </c>
      <c r="H112" t="s">
        <v>98</v>
      </c>
      <c r="I112">
        <f>I111*J112</f>
        <v>3.4268E-2</v>
      </c>
      <c r="J112">
        <v>1.2999999999999999E-2</v>
      </c>
      <c r="O112">
        <f t="shared" si="107"/>
        <v>0</v>
      </c>
      <c r="P112">
        <f t="shared" si="108"/>
        <v>0</v>
      </c>
      <c r="Q112">
        <f t="shared" si="109"/>
        <v>0</v>
      </c>
      <c r="R112">
        <f t="shared" si="110"/>
        <v>0</v>
      </c>
      <c r="S112">
        <f t="shared" si="111"/>
        <v>0</v>
      </c>
      <c r="T112">
        <f t="shared" si="112"/>
        <v>0</v>
      </c>
      <c r="U112">
        <f t="shared" si="113"/>
        <v>0</v>
      </c>
      <c r="V112">
        <f t="shared" si="114"/>
        <v>0</v>
      </c>
      <c r="W112">
        <f t="shared" si="115"/>
        <v>0</v>
      </c>
      <c r="X112">
        <f t="shared" si="116"/>
        <v>0</v>
      </c>
      <c r="Y112">
        <f t="shared" si="117"/>
        <v>0</v>
      </c>
      <c r="AA112">
        <v>16630606</v>
      </c>
      <c r="AB112">
        <f t="shared" si="118"/>
        <v>0</v>
      </c>
      <c r="AC112">
        <f t="shared" si="144"/>
        <v>0</v>
      </c>
      <c r="AD112">
        <f t="shared" ref="AD112:AD117" si="145">ROUND((((ET112)-(EU112))+AE112),2)</f>
        <v>0</v>
      </c>
      <c r="AE112">
        <f t="shared" ref="AE112:AF117" si="146">ROUND((EU112),2)</f>
        <v>0</v>
      </c>
      <c r="AF112">
        <f t="shared" si="146"/>
        <v>0</v>
      </c>
      <c r="AG112">
        <f t="shared" si="119"/>
        <v>0</v>
      </c>
      <c r="AH112">
        <f t="shared" ref="AH112:AI117" si="147">(EW112)</f>
        <v>0</v>
      </c>
      <c r="AI112">
        <f t="shared" si="147"/>
        <v>0</v>
      </c>
      <c r="AJ112">
        <f t="shared" si="120"/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95</v>
      </c>
      <c r="AU112">
        <v>47</v>
      </c>
      <c r="AV112">
        <v>1</v>
      </c>
      <c r="AW112">
        <v>1</v>
      </c>
      <c r="AZ112">
        <v>7.13</v>
      </c>
      <c r="BA112">
        <v>1</v>
      </c>
      <c r="BB112">
        <v>1</v>
      </c>
      <c r="BC112">
        <v>7.13</v>
      </c>
      <c r="BD112" t="s">
        <v>6</v>
      </c>
      <c r="BE112" t="s">
        <v>6</v>
      </c>
      <c r="BF112" t="s">
        <v>6</v>
      </c>
      <c r="BG112" t="s">
        <v>6</v>
      </c>
      <c r="BH112">
        <v>3</v>
      </c>
      <c r="BI112">
        <v>1</v>
      </c>
      <c r="BJ112" t="s">
        <v>6</v>
      </c>
      <c r="BM112">
        <v>15001</v>
      </c>
      <c r="BN112">
        <v>0</v>
      </c>
      <c r="BO112" t="s">
        <v>6</v>
      </c>
      <c r="BP112">
        <v>0</v>
      </c>
      <c r="BQ112">
        <v>2</v>
      </c>
      <c r="BR112">
        <v>0</v>
      </c>
      <c r="BS112">
        <v>1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6</v>
      </c>
      <c r="BZ112">
        <v>105</v>
      </c>
      <c r="CA112">
        <v>55</v>
      </c>
      <c r="CE112">
        <v>0</v>
      </c>
      <c r="CF112">
        <v>0</v>
      </c>
      <c r="CG112">
        <v>0</v>
      </c>
      <c r="CM112">
        <v>0</v>
      </c>
      <c r="CN112" t="s">
        <v>6</v>
      </c>
      <c r="CO112">
        <v>0</v>
      </c>
      <c r="CP112">
        <f t="shared" si="121"/>
        <v>0</v>
      </c>
      <c r="CQ112">
        <f t="shared" si="122"/>
        <v>0</v>
      </c>
      <c r="CR112">
        <f t="shared" si="123"/>
        <v>0</v>
      </c>
      <c r="CS112">
        <f t="shared" si="124"/>
        <v>0</v>
      </c>
      <c r="CT112">
        <f t="shared" si="125"/>
        <v>0</v>
      </c>
      <c r="CU112">
        <f t="shared" si="126"/>
        <v>0</v>
      </c>
      <c r="CV112">
        <f t="shared" si="127"/>
        <v>0</v>
      </c>
      <c r="CW112">
        <f t="shared" si="128"/>
        <v>0</v>
      </c>
      <c r="CX112">
        <f t="shared" si="129"/>
        <v>0</v>
      </c>
      <c r="CY112">
        <f t="shared" si="130"/>
        <v>0</v>
      </c>
      <c r="CZ112">
        <f t="shared" si="131"/>
        <v>0</v>
      </c>
      <c r="DC112" t="s">
        <v>6</v>
      </c>
      <c r="DD112" t="s">
        <v>6</v>
      </c>
      <c r="DE112" t="s">
        <v>6</v>
      </c>
      <c r="DF112" t="s">
        <v>6</v>
      </c>
      <c r="DG112" t="s">
        <v>6</v>
      </c>
      <c r="DH112" t="s">
        <v>6</v>
      </c>
      <c r="DI112" t="s">
        <v>6</v>
      </c>
      <c r="DJ112" t="s">
        <v>6</v>
      </c>
      <c r="DK112" t="s">
        <v>6</v>
      </c>
      <c r="DL112" t="s">
        <v>6</v>
      </c>
      <c r="DM112" t="s">
        <v>6</v>
      </c>
      <c r="DN112">
        <v>0</v>
      </c>
      <c r="DO112">
        <v>0</v>
      </c>
      <c r="DP112">
        <v>1</v>
      </c>
      <c r="DQ112">
        <v>1</v>
      </c>
      <c r="DU112">
        <v>1009</v>
      </c>
      <c r="DV112" t="s">
        <v>98</v>
      </c>
      <c r="DW112" t="s">
        <v>98</v>
      </c>
      <c r="DX112">
        <v>1000</v>
      </c>
      <c r="EE112">
        <v>16609130</v>
      </c>
      <c r="EF112">
        <v>2</v>
      </c>
      <c r="EG112" t="s">
        <v>14</v>
      </c>
      <c r="EH112">
        <v>0</v>
      </c>
      <c r="EI112" t="s">
        <v>6</v>
      </c>
      <c r="EJ112">
        <v>1</v>
      </c>
      <c r="EK112">
        <v>15001</v>
      </c>
      <c r="EL112" t="s">
        <v>118</v>
      </c>
      <c r="EM112" t="s">
        <v>119</v>
      </c>
      <c r="EO112" t="s">
        <v>6</v>
      </c>
      <c r="EQ112">
        <v>0</v>
      </c>
      <c r="ER112">
        <v>0</v>
      </c>
      <c r="ES112">
        <v>0</v>
      </c>
      <c r="ET112">
        <v>0</v>
      </c>
      <c r="EU112">
        <v>0</v>
      </c>
      <c r="EV112">
        <v>0</v>
      </c>
      <c r="EW112">
        <v>0</v>
      </c>
      <c r="EX112">
        <v>0</v>
      </c>
      <c r="FQ112">
        <v>0</v>
      </c>
      <c r="FR112">
        <f t="shared" si="132"/>
        <v>0</v>
      </c>
      <c r="FS112">
        <v>0</v>
      </c>
      <c r="FT112" t="s">
        <v>22</v>
      </c>
      <c r="FU112" t="s">
        <v>23</v>
      </c>
      <c r="FX112">
        <v>94.5</v>
      </c>
      <c r="FY112">
        <v>46.75</v>
      </c>
      <c r="GA112" t="s">
        <v>6</v>
      </c>
      <c r="GD112">
        <v>0</v>
      </c>
      <c r="GF112">
        <v>-1212923053</v>
      </c>
      <c r="GG112">
        <v>1</v>
      </c>
      <c r="GH112">
        <v>1</v>
      </c>
      <c r="GI112">
        <v>4</v>
      </c>
      <c r="GJ112">
        <v>0</v>
      </c>
      <c r="GK112">
        <f>ROUND(R112*(R12)/100,2)</f>
        <v>0</v>
      </c>
      <c r="GL112">
        <f t="shared" si="133"/>
        <v>0</v>
      </c>
      <c r="GM112">
        <f t="shared" si="134"/>
        <v>0</v>
      </c>
      <c r="GN112">
        <f t="shared" si="135"/>
        <v>0</v>
      </c>
      <c r="GO112">
        <f t="shared" si="136"/>
        <v>0</v>
      </c>
      <c r="GP112">
        <f t="shared" si="137"/>
        <v>0</v>
      </c>
      <c r="GR112">
        <v>0</v>
      </c>
      <c r="GS112">
        <v>3</v>
      </c>
      <c r="GT112">
        <v>0</v>
      </c>
      <c r="GU112" t="s">
        <v>6</v>
      </c>
      <c r="GV112">
        <f t="shared" si="138"/>
        <v>0</v>
      </c>
      <c r="GW112">
        <v>1</v>
      </c>
      <c r="GX112">
        <f t="shared" si="139"/>
        <v>0</v>
      </c>
      <c r="HA112">
        <v>0</v>
      </c>
      <c r="HB112">
        <v>0</v>
      </c>
      <c r="HC112">
        <f t="shared" si="140"/>
        <v>0</v>
      </c>
      <c r="IK112">
        <v>0</v>
      </c>
    </row>
    <row r="113" spans="1:245" x14ac:dyDescent="0.2">
      <c r="A113">
        <v>18</v>
      </c>
      <c r="B113">
        <v>1</v>
      </c>
      <c r="C113">
        <v>280</v>
      </c>
      <c r="E113" t="s">
        <v>381</v>
      </c>
      <c r="F113" t="s">
        <v>382</v>
      </c>
      <c r="G113" t="s">
        <v>383</v>
      </c>
      <c r="H113" t="s">
        <v>102</v>
      </c>
      <c r="I113">
        <f>I111*J113</f>
        <v>49.650024999999999</v>
      </c>
      <c r="J113">
        <v>18.835366084977238</v>
      </c>
      <c r="O113">
        <f t="shared" si="107"/>
        <v>5341.93</v>
      </c>
      <c r="P113">
        <f t="shared" si="108"/>
        <v>5341.93</v>
      </c>
      <c r="Q113">
        <f t="shared" si="109"/>
        <v>0</v>
      </c>
      <c r="R113">
        <f t="shared" si="110"/>
        <v>0</v>
      </c>
      <c r="S113">
        <f t="shared" si="111"/>
        <v>0</v>
      </c>
      <c r="T113">
        <f t="shared" si="112"/>
        <v>0</v>
      </c>
      <c r="U113">
        <f t="shared" si="113"/>
        <v>0</v>
      </c>
      <c r="V113">
        <f t="shared" si="114"/>
        <v>0</v>
      </c>
      <c r="W113">
        <f t="shared" si="115"/>
        <v>0</v>
      </c>
      <c r="X113">
        <f t="shared" si="116"/>
        <v>0</v>
      </c>
      <c r="Y113">
        <f t="shared" si="117"/>
        <v>0</v>
      </c>
      <c r="AA113">
        <v>16630606</v>
      </c>
      <c r="AB113">
        <f t="shared" si="118"/>
        <v>15.09</v>
      </c>
      <c r="AC113">
        <f t="shared" si="144"/>
        <v>15.09</v>
      </c>
      <c r="AD113">
        <f t="shared" si="145"/>
        <v>0</v>
      </c>
      <c r="AE113">
        <f t="shared" si="146"/>
        <v>0</v>
      </c>
      <c r="AF113">
        <f t="shared" si="146"/>
        <v>0</v>
      </c>
      <c r="AG113">
        <f t="shared" si="119"/>
        <v>0</v>
      </c>
      <c r="AH113">
        <f t="shared" si="147"/>
        <v>0</v>
      </c>
      <c r="AI113">
        <f t="shared" si="147"/>
        <v>0</v>
      </c>
      <c r="AJ113">
        <f t="shared" si="120"/>
        <v>0</v>
      </c>
      <c r="AK113">
        <v>15.09</v>
      </c>
      <c r="AL113">
        <v>15.09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95</v>
      </c>
      <c r="AU113">
        <v>47</v>
      </c>
      <c r="AV113">
        <v>1</v>
      </c>
      <c r="AW113">
        <v>1</v>
      </c>
      <c r="AZ113">
        <v>7.13</v>
      </c>
      <c r="BA113">
        <v>1</v>
      </c>
      <c r="BB113">
        <v>1</v>
      </c>
      <c r="BC113">
        <v>7.13</v>
      </c>
      <c r="BD113" t="s">
        <v>6</v>
      </c>
      <c r="BE113" t="s">
        <v>6</v>
      </c>
      <c r="BF113" t="s">
        <v>6</v>
      </c>
      <c r="BG113" t="s">
        <v>6</v>
      </c>
      <c r="BH113">
        <v>3</v>
      </c>
      <c r="BI113">
        <v>1</v>
      </c>
      <c r="BJ113" t="s">
        <v>384</v>
      </c>
      <c r="BM113">
        <v>15001</v>
      </c>
      <c r="BN113">
        <v>0</v>
      </c>
      <c r="BO113" t="s">
        <v>6</v>
      </c>
      <c r="BP113">
        <v>0</v>
      </c>
      <c r="BQ113">
        <v>2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</v>
      </c>
      <c r="BZ113">
        <v>105</v>
      </c>
      <c r="CA113">
        <v>55</v>
      </c>
      <c r="CE113">
        <v>0</v>
      </c>
      <c r="CF113">
        <v>0</v>
      </c>
      <c r="CG113">
        <v>0</v>
      </c>
      <c r="CM113">
        <v>0</v>
      </c>
      <c r="CN113" t="s">
        <v>6</v>
      </c>
      <c r="CO113">
        <v>0</v>
      </c>
      <c r="CP113">
        <f t="shared" si="121"/>
        <v>5341.93</v>
      </c>
      <c r="CQ113">
        <f t="shared" si="122"/>
        <v>107.5917</v>
      </c>
      <c r="CR113">
        <f t="shared" si="123"/>
        <v>0</v>
      </c>
      <c r="CS113">
        <f t="shared" si="124"/>
        <v>0</v>
      </c>
      <c r="CT113">
        <f t="shared" si="125"/>
        <v>0</v>
      </c>
      <c r="CU113">
        <f t="shared" si="126"/>
        <v>0</v>
      </c>
      <c r="CV113">
        <f t="shared" si="127"/>
        <v>0</v>
      </c>
      <c r="CW113">
        <f t="shared" si="128"/>
        <v>0</v>
      </c>
      <c r="CX113">
        <f t="shared" si="129"/>
        <v>0</v>
      </c>
      <c r="CY113">
        <f t="shared" si="130"/>
        <v>0</v>
      </c>
      <c r="CZ113">
        <f t="shared" si="131"/>
        <v>0</v>
      </c>
      <c r="DC113" t="s">
        <v>6</v>
      </c>
      <c r="DD113" t="s">
        <v>6</v>
      </c>
      <c r="DE113" t="s">
        <v>6</v>
      </c>
      <c r="DF113" t="s">
        <v>6</v>
      </c>
      <c r="DG113" t="s">
        <v>6</v>
      </c>
      <c r="DH113" t="s">
        <v>6</v>
      </c>
      <c r="DI113" t="s">
        <v>6</v>
      </c>
      <c r="DJ113" t="s">
        <v>6</v>
      </c>
      <c r="DK113" t="s">
        <v>6</v>
      </c>
      <c r="DL113" t="s">
        <v>6</v>
      </c>
      <c r="DM113" t="s">
        <v>6</v>
      </c>
      <c r="DN113">
        <v>0</v>
      </c>
      <c r="DO113">
        <v>0</v>
      </c>
      <c r="DP113">
        <v>1</v>
      </c>
      <c r="DQ113">
        <v>1</v>
      </c>
      <c r="DU113">
        <v>1009</v>
      </c>
      <c r="DV113" t="s">
        <v>102</v>
      </c>
      <c r="DW113" t="s">
        <v>102</v>
      </c>
      <c r="DX113">
        <v>1</v>
      </c>
      <c r="EE113">
        <v>16609130</v>
      </c>
      <c r="EF113">
        <v>2</v>
      </c>
      <c r="EG113" t="s">
        <v>14</v>
      </c>
      <c r="EH113">
        <v>0</v>
      </c>
      <c r="EI113" t="s">
        <v>6</v>
      </c>
      <c r="EJ113">
        <v>1</v>
      </c>
      <c r="EK113">
        <v>15001</v>
      </c>
      <c r="EL113" t="s">
        <v>118</v>
      </c>
      <c r="EM113" t="s">
        <v>119</v>
      </c>
      <c r="EO113" t="s">
        <v>6</v>
      </c>
      <c r="EQ113">
        <v>0</v>
      </c>
      <c r="ER113">
        <v>15.09</v>
      </c>
      <c r="ES113">
        <v>15.09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132"/>
        <v>0</v>
      </c>
      <c r="FS113">
        <v>0</v>
      </c>
      <c r="FT113" t="s">
        <v>22</v>
      </c>
      <c r="FU113" t="s">
        <v>23</v>
      </c>
      <c r="FX113">
        <v>94.5</v>
      </c>
      <c r="FY113">
        <v>46.75</v>
      </c>
      <c r="GA113" t="s">
        <v>6</v>
      </c>
      <c r="GD113">
        <v>0</v>
      </c>
      <c r="GF113">
        <v>1453462043</v>
      </c>
      <c r="GG113">
        <v>1</v>
      </c>
      <c r="GH113">
        <v>1</v>
      </c>
      <c r="GI113">
        <v>4</v>
      </c>
      <c r="GJ113">
        <v>0</v>
      </c>
      <c r="GK113">
        <f>ROUND(R113*(R12)/100,2)</f>
        <v>0</v>
      </c>
      <c r="GL113">
        <f t="shared" si="133"/>
        <v>0</v>
      </c>
      <c r="GM113">
        <f t="shared" si="134"/>
        <v>5341.93</v>
      </c>
      <c r="GN113">
        <f t="shared" si="135"/>
        <v>5341.93</v>
      </c>
      <c r="GO113">
        <f t="shared" si="136"/>
        <v>0</v>
      </c>
      <c r="GP113">
        <f t="shared" si="137"/>
        <v>0</v>
      </c>
      <c r="GR113">
        <v>0</v>
      </c>
      <c r="GS113">
        <v>3</v>
      </c>
      <c r="GT113">
        <v>0</v>
      </c>
      <c r="GU113" t="s">
        <v>6</v>
      </c>
      <c r="GV113">
        <f t="shared" si="138"/>
        <v>0</v>
      </c>
      <c r="GW113">
        <v>1</v>
      </c>
      <c r="GX113">
        <f t="shared" si="139"/>
        <v>0</v>
      </c>
      <c r="HA113">
        <v>0</v>
      </c>
      <c r="HB113">
        <v>0</v>
      </c>
      <c r="HC113">
        <f t="shared" si="140"/>
        <v>0</v>
      </c>
      <c r="IK113">
        <v>0</v>
      </c>
    </row>
    <row r="114" spans="1:245" x14ac:dyDescent="0.2">
      <c r="A114">
        <v>17</v>
      </c>
      <c r="B114">
        <v>1</v>
      </c>
      <c r="C114">
        <f>ROW(SmtRes!A284)</f>
        <v>284</v>
      </c>
      <c r="D114">
        <f>ROW(EtalonRes!A290)</f>
        <v>290</v>
      </c>
      <c r="E114" t="s">
        <v>385</v>
      </c>
      <c r="F114" t="s">
        <v>386</v>
      </c>
      <c r="G114" t="s">
        <v>387</v>
      </c>
      <c r="H114" t="s">
        <v>18</v>
      </c>
      <c r="I114">
        <f>ROUND(33.8/100,9)</f>
        <v>0.33800000000000002</v>
      </c>
      <c r="J114">
        <v>0</v>
      </c>
      <c r="O114">
        <f t="shared" si="107"/>
        <v>89.41</v>
      </c>
      <c r="P114">
        <f t="shared" si="108"/>
        <v>18.53</v>
      </c>
      <c r="Q114">
        <f t="shared" si="109"/>
        <v>0</v>
      </c>
      <c r="R114">
        <f t="shared" si="110"/>
        <v>0</v>
      </c>
      <c r="S114">
        <f t="shared" si="111"/>
        <v>70.88</v>
      </c>
      <c r="T114">
        <f t="shared" si="112"/>
        <v>0</v>
      </c>
      <c r="U114">
        <f t="shared" si="113"/>
        <v>1.2742600000000002</v>
      </c>
      <c r="V114">
        <f t="shared" si="114"/>
        <v>0</v>
      </c>
      <c r="W114">
        <f t="shared" si="115"/>
        <v>0</v>
      </c>
      <c r="X114">
        <f t="shared" si="116"/>
        <v>56.7</v>
      </c>
      <c r="Y114">
        <f t="shared" si="117"/>
        <v>35.44</v>
      </c>
      <c r="AA114">
        <v>16630606</v>
      </c>
      <c r="AB114">
        <f t="shared" si="118"/>
        <v>37.1</v>
      </c>
      <c r="AC114">
        <f t="shared" si="144"/>
        <v>7.69</v>
      </c>
      <c r="AD114">
        <f t="shared" si="145"/>
        <v>0</v>
      </c>
      <c r="AE114">
        <f t="shared" si="146"/>
        <v>0</v>
      </c>
      <c r="AF114">
        <f t="shared" si="146"/>
        <v>29.41</v>
      </c>
      <c r="AG114">
        <f t="shared" si="119"/>
        <v>0</v>
      </c>
      <c r="AH114">
        <f t="shared" si="147"/>
        <v>3.77</v>
      </c>
      <c r="AI114">
        <f t="shared" si="147"/>
        <v>0</v>
      </c>
      <c r="AJ114">
        <f t="shared" si="120"/>
        <v>0</v>
      </c>
      <c r="AK114">
        <v>37.1</v>
      </c>
      <c r="AL114">
        <v>7.69</v>
      </c>
      <c r="AM114">
        <v>0</v>
      </c>
      <c r="AN114">
        <v>0</v>
      </c>
      <c r="AO114">
        <v>29.41</v>
      </c>
      <c r="AP114">
        <v>0</v>
      </c>
      <c r="AQ114">
        <v>3.77</v>
      </c>
      <c r="AR114">
        <v>0</v>
      </c>
      <c r="AS114">
        <v>0</v>
      </c>
      <c r="AT114">
        <v>80</v>
      </c>
      <c r="AU114">
        <v>50</v>
      </c>
      <c r="AV114">
        <v>1</v>
      </c>
      <c r="AW114">
        <v>1</v>
      </c>
      <c r="AZ114">
        <v>7.13</v>
      </c>
      <c r="BA114">
        <v>7.13</v>
      </c>
      <c r="BB114">
        <v>7.13</v>
      </c>
      <c r="BC114">
        <v>7.13</v>
      </c>
      <c r="BD114" t="s">
        <v>6</v>
      </c>
      <c r="BE114" t="s">
        <v>6</v>
      </c>
      <c r="BF114" t="s">
        <v>6</v>
      </c>
      <c r="BG114" t="s">
        <v>6</v>
      </c>
      <c r="BH114">
        <v>0</v>
      </c>
      <c r="BI114">
        <v>1</v>
      </c>
      <c r="BJ114" t="s">
        <v>388</v>
      </c>
      <c r="BM114">
        <v>62001</v>
      </c>
      <c r="BN114">
        <v>0</v>
      </c>
      <c r="BO114" t="s">
        <v>6</v>
      </c>
      <c r="BP114">
        <v>0</v>
      </c>
      <c r="BQ114">
        <v>6</v>
      </c>
      <c r="BR114">
        <v>0</v>
      </c>
      <c r="BS114">
        <v>7.13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6</v>
      </c>
      <c r="BZ114">
        <v>80</v>
      </c>
      <c r="CA114">
        <v>50</v>
      </c>
      <c r="CE114">
        <v>0</v>
      </c>
      <c r="CF114">
        <v>0</v>
      </c>
      <c r="CG114">
        <v>0</v>
      </c>
      <c r="CM114">
        <v>0</v>
      </c>
      <c r="CN114" t="s">
        <v>6</v>
      </c>
      <c r="CO114">
        <v>0</v>
      </c>
      <c r="CP114">
        <f t="shared" si="121"/>
        <v>89.41</v>
      </c>
      <c r="CQ114">
        <f t="shared" si="122"/>
        <v>54.829700000000003</v>
      </c>
      <c r="CR114">
        <f t="shared" si="123"/>
        <v>0</v>
      </c>
      <c r="CS114">
        <f t="shared" si="124"/>
        <v>0</v>
      </c>
      <c r="CT114">
        <f t="shared" si="125"/>
        <v>209.69329999999999</v>
      </c>
      <c r="CU114">
        <f t="shared" si="126"/>
        <v>0</v>
      </c>
      <c r="CV114">
        <f t="shared" si="127"/>
        <v>3.77</v>
      </c>
      <c r="CW114">
        <f t="shared" si="128"/>
        <v>0</v>
      </c>
      <c r="CX114">
        <f t="shared" si="129"/>
        <v>0</v>
      </c>
      <c r="CY114">
        <f t="shared" si="130"/>
        <v>56.703999999999994</v>
      </c>
      <c r="CZ114">
        <f t="shared" si="131"/>
        <v>35.44</v>
      </c>
      <c r="DC114" t="s">
        <v>6</v>
      </c>
      <c r="DD114" t="s">
        <v>6</v>
      </c>
      <c r="DE114" t="s">
        <v>6</v>
      </c>
      <c r="DF114" t="s">
        <v>6</v>
      </c>
      <c r="DG114" t="s">
        <v>6</v>
      </c>
      <c r="DH114" t="s">
        <v>6</v>
      </c>
      <c r="DI114" t="s">
        <v>6</v>
      </c>
      <c r="DJ114" t="s">
        <v>6</v>
      </c>
      <c r="DK114" t="s">
        <v>6</v>
      </c>
      <c r="DL114" t="s">
        <v>6</v>
      </c>
      <c r="DM114" t="s">
        <v>6</v>
      </c>
      <c r="DN114">
        <v>0</v>
      </c>
      <c r="DO114">
        <v>0</v>
      </c>
      <c r="DP114">
        <v>1</v>
      </c>
      <c r="DQ114">
        <v>1</v>
      </c>
      <c r="DU114">
        <v>1005</v>
      </c>
      <c r="DV114" t="s">
        <v>18</v>
      </c>
      <c r="DW114" t="s">
        <v>18</v>
      </c>
      <c r="DX114">
        <v>100</v>
      </c>
      <c r="EE114">
        <v>16609187</v>
      </c>
      <c r="EF114">
        <v>6</v>
      </c>
      <c r="EG114" t="s">
        <v>39</v>
      </c>
      <c r="EH114">
        <v>0</v>
      </c>
      <c r="EI114" t="s">
        <v>6</v>
      </c>
      <c r="EJ114">
        <v>1</v>
      </c>
      <c r="EK114">
        <v>62001</v>
      </c>
      <c r="EL114" t="s">
        <v>93</v>
      </c>
      <c r="EM114" t="s">
        <v>94</v>
      </c>
      <c r="EO114" t="s">
        <v>6</v>
      </c>
      <c r="EQ114">
        <v>131072</v>
      </c>
      <c r="ER114">
        <v>37.1</v>
      </c>
      <c r="ES114">
        <v>7.69</v>
      </c>
      <c r="ET114">
        <v>0</v>
      </c>
      <c r="EU114">
        <v>0</v>
      </c>
      <c r="EV114">
        <v>29.41</v>
      </c>
      <c r="EW114">
        <v>3.77</v>
      </c>
      <c r="EX114">
        <v>0</v>
      </c>
      <c r="EY114">
        <v>0</v>
      </c>
      <c r="FQ114">
        <v>0</v>
      </c>
      <c r="FR114">
        <f t="shared" si="132"/>
        <v>0</v>
      </c>
      <c r="FS114">
        <v>0</v>
      </c>
      <c r="FX114">
        <v>80</v>
      </c>
      <c r="FY114">
        <v>50</v>
      </c>
      <c r="GA114" t="s">
        <v>6</v>
      </c>
      <c r="GD114">
        <v>0</v>
      </c>
      <c r="GF114">
        <v>1844684044</v>
      </c>
      <c r="GG114">
        <v>1</v>
      </c>
      <c r="GH114">
        <v>1</v>
      </c>
      <c r="GI114">
        <v>4</v>
      </c>
      <c r="GJ114">
        <v>0</v>
      </c>
      <c r="GK114">
        <f>ROUND(R114*(R12)/100,2)</f>
        <v>0</v>
      </c>
      <c r="GL114">
        <f t="shared" si="133"/>
        <v>0</v>
      </c>
      <c r="GM114">
        <f t="shared" si="134"/>
        <v>181.55</v>
      </c>
      <c r="GN114">
        <f t="shared" si="135"/>
        <v>181.55</v>
      </c>
      <c r="GO114">
        <f t="shared" si="136"/>
        <v>0</v>
      </c>
      <c r="GP114">
        <f t="shared" si="137"/>
        <v>0</v>
      </c>
      <c r="GR114">
        <v>0</v>
      </c>
      <c r="GS114">
        <v>3</v>
      </c>
      <c r="GT114">
        <v>0</v>
      </c>
      <c r="GU114" t="s">
        <v>6</v>
      </c>
      <c r="GV114">
        <f t="shared" si="138"/>
        <v>0</v>
      </c>
      <c r="GW114">
        <v>1</v>
      </c>
      <c r="GX114">
        <f t="shared" si="139"/>
        <v>0</v>
      </c>
      <c r="HA114">
        <v>0</v>
      </c>
      <c r="HB114">
        <v>0</v>
      </c>
      <c r="HC114">
        <f t="shared" si="140"/>
        <v>0</v>
      </c>
      <c r="IK114">
        <v>0</v>
      </c>
    </row>
    <row r="115" spans="1:245" x14ac:dyDescent="0.2">
      <c r="A115">
        <v>17</v>
      </c>
      <c r="B115">
        <v>1</v>
      </c>
      <c r="C115">
        <f>ROW(SmtRes!A288)</f>
        <v>288</v>
      </c>
      <c r="D115">
        <f>ROW(EtalonRes!A293)</f>
        <v>293</v>
      </c>
      <c r="E115" t="s">
        <v>389</v>
      </c>
      <c r="F115" t="s">
        <v>390</v>
      </c>
      <c r="G115" t="s">
        <v>391</v>
      </c>
      <c r="H115" t="s">
        <v>392</v>
      </c>
      <c r="I115">
        <f>ROUND(48/10,9)</f>
        <v>4.8</v>
      </c>
      <c r="J115">
        <v>0</v>
      </c>
      <c r="O115">
        <f t="shared" si="107"/>
        <v>832.67</v>
      </c>
      <c r="P115">
        <f t="shared" si="108"/>
        <v>0.68</v>
      </c>
      <c r="Q115">
        <f t="shared" si="109"/>
        <v>0</v>
      </c>
      <c r="R115">
        <f t="shared" si="110"/>
        <v>0</v>
      </c>
      <c r="S115">
        <f t="shared" si="111"/>
        <v>831.99</v>
      </c>
      <c r="T115">
        <f t="shared" si="112"/>
        <v>0</v>
      </c>
      <c r="U115">
        <f t="shared" si="113"/>
        <v>13.007999999999999</v>
      </c>
      <c r="V115">
        <f t="shared" si="114"/>
        <v>0</v>
      </c>
      <c r="W115">
        <f t="shared" si="115"/>
        <v>0</v>
      </c>
      <c r="X115">
        <f t="shared" si="116"/>
        <v>715.51</v>
      </c>
      <c r="Y115">
        <f t="shared" si="117"/>
        <v>582.39</v>
      </c>
      <c r="AA115">
        <v>16630606</v>
      </c>
      <c r="AB115">
        <f t="shared" si="118"/>
        <v>24.33</v>
      </c>
      <c r="AC115">
        <f t="shared" si="144"/>
        <v>0.02</v>
      </c>
      <c r="AD115">
        <f t="shared" si="145"/>
        <v>0</v>
      </c>
      <c r="AE115">
        <f t="shared" si="146"/>
        <v>0</v>
      </c>
      <c r="AF115">
        <f t="shared" si="146"/>
        <v>24.31</v>
      </c>
      <c r="AG115">
        <f t="shared" si="119"/>
        <v>0</v>
      </c>
      <c r="AH115">
        <f t="shared" si="147"/>
        <v>2.71</v>
      </c>
      <c r="AI115">
        <f t="shared" si="147"/>
        <v>0</v>
      </c>
      <c r="AJ115">
        <f t="shared" si="120"/>
        <v>0</v>
      </c>
      <c r="AK115">
        <v>24.33</v>
      </c>
      <c r="AL115">
        <v>0.02</v>
      </c>
      <c r="AM115">
        <v>0</v>
      </c>
      <c r="AN115">
        <v>0</v>
      </c>
      <c r="AO115">
        <v>24.31</v>
      </c>
      <c r="AP115">
        <v>0</v>
      </c>
      <c r="AQ115">
        <v>2.71</v>
      </c>
      <c r="AR115">
        <v>0</v>
      </c>
      <c r="AS115">
        <v>0</v>
      </c>
      <c r="AT115">
        <v>86</v>
      </c>
      <c r="AU115">
        <v>70</v>
      </c>
      <c r="AV115">
        <v>1</v>
      </c>
      <c r="AW115">
        <v>1</v>
      </c>
      <c r="AZ115">
        <v>7.13</v>
      </c>
      <c r="BA115">
        <v>7.13</v>
      </c>
      <c r="BB115">
        <v>7.13</v>
      </c>
      <c r="BC115">
        <v>7.13</v>
      </c>
      <c r="BD115" t="s">
        <v>6</v>
      </c>
      <c r="BE115" t="s">
        <v>6</v>
      </c>
      <c r="BF115" t="s">
        <v>6</v>
      </c>
      <c r="BG115" t="s">
        <v>6</v>
      </c>
      <c r="BH115">
        <v>0</v>
      </c>
      <c r="BI115">
        <v>1</v>
      </c>
      <c r="BJ115" t="s">
        <v>393</v>
      </c>
      <c r="BM115">
        <v>53001</v>
      </c>
      <c r="BN115">
        <v>0</v>
      </c>
      <c r="BO115" t="s">
        <v>6</v>
      </c>
      <c r="BP115">
        <v>0</v>
      </c>
      <c r="BQ115">
        <v>6</v>
      </c>
      <c r="BR115">
        <v>0</v>
      </c>
      <c r="BS115">
        <v>7.13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</v>
      </c>
      <c r="BZ115">
        <v>86</v>
      </c>
      <c r="CA115">
        <v>70</v>
      </c>
      <c r="CE115">
        <v>0</v>
      </c>
      <c r="CF115">
        <v>0</v>
      </c>
      <c r="CG115">
        <v>0</v>
      </c>
      <c r="CM115">
        <v>0</v>
      </c>
      <c r="CN115" t="s">
        <v>6</v>
      </c>
      <c r="CO115">
        <v>0</v>
      </c>
      <c r="CP115">
        <f t="shared" si="121"/>
        <v>832.67</v>
      </c>
      <c r="CQ115">
        <f t="shared" si="122"/>
        <v>0.1426</v>
      </c>
      <c r="CR115">
        <f t="shared" si="123"/>
        <v>0</v>
      </c>
      <c r="CS115">
        <f t="shared" si="124"/>
        <v>0</v>
      </c>
      <c r="CT115">
        <f t="shared" si="125"/>
        <v>173.33029999999999</v>
      </c>
      <c r="CU115">
        <f t="shared" si="126"/>
        <v>0</v>
      </c>
      <c r="CV115">
        <f t="shared" si="127"/>
        <v>2.71</v>
      </c>
      <c r="CW115">
        <f t="shared" si="128"/>
        <v>0</v>
      </c>
      <c r="CX115">
        <f t="shared" si="129"/>
        <v>0</v>
      </c>
      <c r="CY115">
        <f t="shared" si="130"/>
        <v>715.51139999999998</v>
      </c>
      <c r="CZ115">
        <f t="shared" si="131"/>
        <v>582.39300000000003</v>
      </c>
      <c r="DC115" t="s">
        <v>6</v>
      </c>
      <c r="DD115" t="s">
        <v>6</v>
      </c>
      <c r="DE115" t="s">
        <v>6</v>
      </c>
      <c r="DF115" t="s">
        <v>6</v>
      </c>
      <c r="DG115" t="s">
        <v>6</v>
      </c>
      <c r="DH115" t="s">
        <v>6</v>
      </c>
      <c r="DI115" t="s">
        <v>6</v>
      </c>
      <c r="DJ115" t="s">
        <v>6</v>
      </c>
      <c r="DK115" t="s">
        <v>6</v>
      </c>
      <c r="DL115" t="s">
        <v>6</v>
      </c>
      <c r="DM115" t="s">
        <v>6</v>
      </c>
      <c r="DN115">
        <v>0</v>
      </c>
      <c r="DO115">
        <v>0</v>
      </c>
      <c r="DP115">
        <v>1</v>
      </c>
      <c r="DQ115">
        <v>1</v>
      </c>
      <c r="DU115">
        <v>1003</v>
      </c>
      <c r="DV115" t="s">
        <v>392</v>
      </c>
      <c r="DW115" t="s">
        <v>392</v>
      </c>
      <c r="DX115">
        <v>10</v>
      </c>
      <c r="EE115">
        <v>16609178</v>
      </c>
      <c r="EF115">
        <v>6</v>
      </c>
      <c r="EG115" t="s">
        <v>39</v>
      </c>
      <c r="EH115">
        <v>0</v>
      </c>
      <c r="EI115" t="s">
        <v>6</v>
      </c>
      <c r="EJ115">
        <v>1</v>
      </c>
      <c r="EK115">
        <v>53001</v>
      </c>
      <c r="EL115" t="s">
        <v>394</v>
      </c>
      <c r="EM115" t="s">
        <v>395</v>
      </c>
      <c r="EO115" t="s">
        <v>6</v>
      </c>
      <c r="EQ115">
        <v>131072</v>
      </c>
      <c r="ER115">
        <v>24.33</v>
      </c>
      <c r="ES115">
        <v>0.02</v>
      </c>
      <c r="ET115">
        <v>0</v>
      </c>
      <c r="EU115">
        <v>0</v>
      </c>
      <c r="EV115">
        <v>24.31</v>
      </c>
      <c r="EW115">
        <v>2.71</v>
      </c>
      <c r="EX115">
        <v>0</v>
      </c>
      <c r="EY115">
        <v>0</v>
      </c>
      <c r="FQ115">
        <v>0</v>
      </c>
      <c r="FR115">
        <f t="shared" si="132"/>
        <v>0</v>
      </c>
      <c r="FS115">
        <v>0</v>
      </c>
      <c r="FX115">
        <v>86</v>
      </c>
      <c r="FY115">
        <v>70</v>
      </c>
      <c r="GA115" t="s">
        <v>6</v>
      </c>
      <c r="GD115">
        <v>0</v>
      </c>
      <c r="GF115">
        <v>516509967</v>
      </c>
      <c r="GG115">
        <v>1</v>
      </c>
      <c r="GH115">
        <v>1</v>
      </c>
      <c r="GI115">
        <v>4</v>
      </c>
      <c r="GJ115">
        <v>0</v>
      </c>
      <c r="GK115">
        <f>ROUND(R115*(R12)/100,2)</f>
        <v>0</v>
      </c>
      <c r="GL115">
        <f t="shared" si="133"/>
        <v>0</v>
      </c>
      <c r="GM115">
        <f t="shared" si="134"/>
        <v>2130.5700000000002</v>
      </c>
      <c r="GN115">
        <f t="shared" si="135"/>
        <v>2130.5700000000002</v>
      </c>
      <c r="GO115">
        <f t="shared" si="136"/>
        <v>0</v>
      </c>
      <c r="GP115">
        <f t="shared" si="137"/>
        <v>0</v>
      </c>
      <c r="GR115">
        <v>0</v>
      </c>
      <c r="GS115">
        <v>3</v>
      </c>
      <c r="GT115">
        <v>0</v>
      </c>
      <c r="GU115" t="s">
        <v>6</v>
      </c>
      <c r="GV115">
        <f t="shared" si="138"/>
        <v>0</v>
      </c>
      <c r="GW115">
        <v>1</v>
      </c>
      <c r="GX115">
        <f t="shared" si="139"/>
        <v>0</v>
      </c>
      <c r="HA115">
        <v>0</v>
      </c>
      <c r="HB115">
        <v>0</v>
      </c>
      <c r="HC115">
        <f t="shared" si="140"/>
        <v>0</v>
      </c>
      <c r="IK115">
        <v>0</v>
      </c>
    </row>
    <row r="116" spans="1:245" x14ac:dyDescent="0.2">
      <c r="A116">
        <v>18</v>
      </c>
      <c r="B116">
        <v>1</v>
      </c>
      <c r="C116">
        <v>287</v>
      </c>
      <c r="E116" t="s">
        <v>396</v>
      </c>
      <c r="F116" t="s">
        <v>397</v>
      </c>
      <c r="G116" t="s">
        <v>398</v>
      </c>
      <c r="H116" t="s">
        <v>203</v>
      </c>
      <c r="I116">
        <f>I115*J116</f>
        <v>9.6000000000000002E-2</v>
      </c>
      <c r="J116">
        <v>0.02</v>
      </c>
      <c r="O116">
        <f t="shared" si="107"/>
        <v>0</v>
      </c>
      <c r="P116">
        <f t="shared" si="108"/>
        <v>0</v>
      </c>
      <c r="Q116">
        <f t="shared" si="109"/>
        <v>0</v>
      </c>
      <c r="R116">
        <f t="shared" si="110"/>
        <v>0</v>
      </c>
      <c r="S116">
        <f t="shared" si="111"/>
        <v>0</v>
      </c>
      <c r="T116">
        <f t="shared" si="112"/>
        <v>0</v>
      </c>
      <c r="U116">
        <f t="shared" si="113"/>
        <v>0</v>
      </c>
      <c r="V116">
        <f t="shared" si="114"/>
        <v>0</v>
      </c>
      <c r="W116">
        <f t="shared" si="115"/>
        <v>0</v>
      </c>
      <c r="X116">
        <f t="shared" si="116"/>
        <v>0</v>
      </c>
      <c r="Y116">
        <f t="shared" si="117"/>
        <v>0</v>
      </c>
      <c r="AA116">
        <v>16630606</v>
      </c>
      <c r="AB116">
        <f t="shared" si="118"/>
        <v>0</v>
      </c>
      <c r="AC116">
        <f t="shared" si="144"/>
        <v>0</v>
      </c>
      <c r="AD116">
        <f t="shared" si="145"/>
        <v>0</v>
      </c>
      <c r="AE116">
        <f t="shared" si="146"/>
        <v>0</v>
      </c>
      <c r="AF116">
        <f t="shared" si="146"/>
        <v>0</v>
      </c>
      <c r="AG116">
        <f t="shared" si="119"/>
        <v>0</v>
      </c>
      <c r="AH116">
        <f t="shared" si="147"/>
        <v>0</v>
      </c>
      <c r="AI116">
        <f t="shared" si="147"/>
        <v>0</v>
      </c>
      <c r="AJ116">
        <f t="shared" si="120"/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86</v>
      </c>
      <c r="AU116">
        <v>70</v>
      </c>
      <c r="AV116">
        <v>1</v>
      </c>
      <c r="AW116">
        <v>1</v>
      </c>
      <c r="AZ116">
        <v>7.13</v>
      </c>
      <c r="BA116">
        <v>1</v>
      </c>
      <c r="BB116">
        <v>1</v>
      </c>
      <c r="BC116">
        <v>7.13</v>
      </c>
      <c r="BD116" t="s">
        <v>6</v>
      </c>
      <c r="BE116" t="s">
        <v>6</v>
      </c>
      <c r="BF116" t="s">
        <v>6</v>
      </c>
      <c r="BG116" t="s">
        <v>6</v>
      </c>
      <c r="BH116">
        <v>3</v>
      </c>
      <c r="BI116">
        <v>1</v>
      </c>
      <c r="BJ116" t="s">
        <v>6</v>
      </c>
      <c r="BM116">
        <v>53001</v>
      </c>
      <c r="BN116">
        <v>0</v>
      </c>
      <c r="BO116" t="s">
        <v>6</v>
      </c>
      <c r="BP116">
        <v>0</v>
      </c>
      <c r="BQ116">
        <v>6</v>
      </c>
      <c r="BR116">
        <v>0</v>
      </c>
      <c r="BS116">
        <v>1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6</v>
      </c>
      <c r="BZ116">
        <v>86</v>
      </c>
      <c r="CA116">
        <v>70</v>
      </c>
      <c r="CE116">
        <v>0</v>
      </c>
      <c r="CF116">
        <v>0</v>
      </c>
      <c r="CG116">
        <v>0</v>
      </c>
      <c r="CM116">
        <v>0</v>
      </c>
      <c r="CN116" t="s">
        <v>6</v>
      </c>
      <c r="CO116">
        <v>0</v>
      </c>
      <c r="CP116">
        <f t="shared" si="121"/>
        <v>0</v>
      </c>
      <c r="CQ116">
        <f t="shared" si="122"/>
        <v>0</v>
      </c>
      <c r="CR116">
        <f t="shared" si="123"/>
        <v>0</v>
      </c>
      <c r="CS116">
        <f t="shared" si="124"/>
        <v>0</v>
      </c>
      <c r="CT116">
        <f t="shared" si="125"/>
        <v>0</v>
      </c>
      <c r="CU116">
        <f t="shared" si="126"/>
        <v>0</v>
      </c>
      <c r="CV116">
        <f t="shared" si="127"/>
        <v>0</v>
      </c>
      <c r="CW116">
        <f t="shared" si="128"/>
        <v>0</v>
      </c>
      <c r="CX116">
        <f t="shared" si="129"/>
        <v>0</v>
      </c>
      <c r="CY116">
        <f t="shared" si="130"/>
        <v>0</v>
      </c>
      <c r="CZ116">
        <f t="shared" si="131"/>
        <v>0</v>
      </c>
      <c r="DC116" t="s">
        <v>6</v>
      </c>
      <c r="DD116" t="s">
        <v>6</v>
      </c>
      <c r="DE116" t="s">
        <v>6</v>
      </c>
      <c r="DF116" t="s">
        <v>6</v>
      </c>
      <c r="DG116" t="s">
        <v>6</v>
      </c>
      <c r="DH116" t="s">
        <v>6</v>
      </c>
      <c r="DI116" t="s">
        <v>6</v>
      </c>
      <c r="DJ116" t="s">
        <v>6</v>
      </c>
      <c r="DK116" t="s">
        <v>6</v>
      </c>
      <c r="DL116" t="s">
        <v>6</v>
      </c>
      <c r="DM116" t="s">
        <v>6</v>
      </c>
      <c r="DN116">
        <v>0</v>
      </c>
      <c r="DO116">
        <v>0</v>
      </c>
      <c r="DP116">
        <v>1</v>
      </c>
      <c r="DQ116">
        <v>1</v>
      </c>
      <c r="DU116">
        <v>1007</v>
      </c>
      <c r="DV116" t="s">
        <v>203</v>
      </c>
      <c r="DW116" t="s">
        <v>203</v>
      </c>
      <c r="DX116">
        <v>1</v>
      </c>
      <c r="EE116">
        <v>16609178</v>
      </c>
      <c r="EF116">
        <v>6</v>
      </c>
      <c r="EG116" t="s">
        <v>39</v>
      </c>
      <c r="EH116">
        <v>0</v>
      </c>
      <c r="EI116" t="s">
        <v>6</v>
      </c>
      <c r="EJ116">
        <v>1</v>
      </c>
      <c r="EK116">
        <v>53001</v>
      </c>
      <c r="EL116" t="s">
        <v>394</v>
      </c>
      <c r="EM116" t="s">
        <v>395</v>
      </c>
      <c r="EO116" t="s">
        <v>6</v>
      </c>
      <c r="EQ116">
        <v>0</v>
      </c>
      <c r="ER116">
        <v>0</v>
      </c>
      <c r="ES116">
        <v>0</v>
      </c>
      <c r="ET116">
        <v>0</v>
      </c>
      <c r="EU116">
        <v>0</v>
      </c>
      <c r="EV116">
        <v>0</v>
      </c>
      <c r="EW116">
        <v>0</v>
      </c>
      <c r="EX116">
        <v>0</v>
      </c>
      <c r="FQ116">
        <v>0</v>
      </c>
      <c r="FR116">
        <f t="shared" si="132"/>
        <v>0</v>
      </c>
      <c r="FS116">
        <v>0</v>
      </c>
      <c r="FX116">
        <v>86</v>
      </c>
      <c r="FY116">
        <v>70</v>
      </c>
      <c r="GA116" t="s">
        <v>6</v>
      </c>
      <c r="GD116">
        <v>0</v>
      </c>
      <c r="GF116">
        <v>1440854821</v>
      </c>
      <c r="GG116">
        <v>1</v>
      </c>
      <c r="GH116">
        <v>1</v>
      </c>
      <c r="GI116">
        <v>4</v>
      </c>
      <c r="GJ116">
        <v>0</v>
      </c>
      <c r="GK116">
        <f>ROUND(R116*(R12)/100,2)</f>
        <v>0</v>
      </c>
      <c r="GL116">
        <f t="shared" si="133"/>
        <v>0</v>
      </c>
      <c r="GM116">
        <f t="shared" si="134"/>
        <v>0</v>
      </c>
      <c r="GN116">
        <f t="shared" si="135"/>
        <v>0</v>
      </c>
      <c r="GO116">
        <f t="shared" si="136"/>
        <v>0</v>
      </c>
      <c r="GP116">
        <f t="shared" si="137"/>
        <v>0</v>
      </c>
      <c r="GR116">
        <v>0</v>
      </c>
      <c r="GS116">
        <v>3</v>
      </c>
      <c r="GT116">
        <v>0</v>
      </c>
      <c r="GU116" t="s">
        <v>6</v>
      </c>
      <c r="GV116">
        <f t="shared" si="138"/>
        <v>0</v>
      </c>
      <c r="GW116">
        <v>1</v>
      </c>
      <c r="GX116">
        <f t="shared" si="139"/>
        <v>0</v>
      </c>
      <c r="HA116">
        <v>0</v>
      </c>
      <c r="HB116">
        <v>0</v>
      </c>
      <c r="HC116">
        <f t="shared" si="140"/>
        <v>0</v>
      </c>
      <c r="IK116">
        <v>0</v>
      </c>
    </row>
    <row r="117" spans="1:245" x14ac:dyDescent="0.2">
      <c r="A117">
        <v>18</v>
      </c>
      <c r="B117">
        <v>1</v>
      </c>
      <c r="C117">
        <v>288</v>
      </c>
      <c r="E117" t="s">
        <v>399</v>
      </c>
      <c r="F117" t="s">
        <v>400</v>
      </c>
      <c r="G117" t="s">
        <v>401</v>
      </c>
      <c r="H117" t="s">
        <v>98</v>
      </c>
      <c r="I117">
        <f>I115*J117</f>
        <v>0.1152</v>
      </c>
      <c r="J117">
        <v>2.4E-2</v>
      </c>
      <c r="O117">
        <f t="shared" si="107"/>
        <v>598.08000000000004</v>
      </c>
      <c r="P117">
        <f t="shared" si="108"/>
        <v>598.08000000000004</v>
      </c>
      <c r="Q117">
        <f t="shared" si="109"/>
        <v>0</v>
      </c>
      <c r="R117">
        <f t="shared" si="110"/>
        <v>0</v>
      </c>
      <c r="S117">
        <f t="shared" si="111"/>
        <v>0</v>
      </c>
      <c r="T117">
        <f t="shared" si="112"/>
        <v>0</v>
      </c>
      <c r="U117">
        <f t="shared" si="113"/>
        <v>0</v>
      </c>
      <c r="V117">
        <f t="shared" si="114"/>
        <v>0</v>
      </c>
      <c r="W117">
        <f t="shared" si="115"/>
        <v>0</v>
      </c>
      <c r="X117">
        <f t="shared" si="116"/>
        <v>0</v>
      </c>
      <c r="Y117">
        <f t="shared" si="117"/>
        <v>0</v>
      </c>
      <c r="AA117">
        <v>16630606</v>
      </c>
      <c r="AB117">
        <f t="shared" si="118"/>
        <v>728.14</v>
      </c>
      <c r="AC117">
        <f t="shared" si="144"/>
        <v>728.14</v>
      </c>
      <c r="AD117">
        <f t="shared" si="145"/>
        <v>0</v>
      </c>
      <c r="AE117">
        <f t="shared" si="146"/>
        <v>0</v>
      </c>
      <c r="AF117">
        <f t="shared" si="146"/>
        <v>0</v>
      </c>
      <c r="AG117">
        <f t="shared" si="119"/>
        <v>0</v>
      </c>
      <c r="AH117">
        <f t="shared" si="147"/>
        <v>0</v>
      </c>
      <c r="AI117">
        <f t="shared" si="147"/>
        <v>0</v>
      </c>
      <c r="AJ117">
        <f t="shared" si="120"/>
        <v>0</v>
      </c>
      <c r="AK117">
        <v>728.14</v>
      </c>
      <c r="AL117">
        <v>728.14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86</v>
      </c>
      <c r="AU117">
        <v>70</v>
      </c>
      <c r="AV117">
        <v>1</v>
      </c>
      <c r="AW117">
        <v>1</v>
      </c>
      <c r="AZ117">
        <v>7.13</v>
      </c>
      <c r="BA117">
        <v>1</v>
      </c>
      <c r="BB117">
        <v>1</v>
      </c>
      <c r="BC117">
        <v>7.13</v>
      </c>
      <c r="BD117" t="s">
        <v>6</v>
      </c>
      <c r="BE117" t="s">
        <v>6</v>
      </c>
      <c r="BF117" t="s">
        <v>6</v>
      </c>
      <c r="BG117" t="s">
        <v>6</v>
      </c>
      <c r="BH117">
        <v>3</v>
      </c>
      <c r="BI117">
        <v>1</v>
      </c>
      <c r="BJ117" t="s">
        <v>402</v>
      </c>
      <c r="BM117">
        <v>53001</v>
      </c>
      <c r="BN117">
        <v>0</v>
      </c>
      <c r="BO117" t="s">
        <v>6</v>
      </c>
      <c r="BP117">
        <v>0</v>
      </c>
      <c r="BQ117">
        <v>6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6</v>
      </c>
      <c r="BZ117">
        <v>86</v>
      </c>
      <c r="CA117">
        <v>70</v>
      </c>
      <c r="CE117">
        <v>0</v>
      </c>
      <c r="CF117">
        <v>0</v>
      </c>
      <c r="CG117">
        <v>0</v>
      </c>
      <c r="CM117">
        <v>0</v>
      </c>
      <c r="CN117" t="s">
        <v>6</v>
      </c>
      <c r="CO117">
        <v>0</v>
      </c>
      <c r="CP117">
        <f t="shared" si="121"/>
        <v>598.08000000000004</v>
      </c>
      <c r="CQ117">
        <f t="shared" si="122"/>
        <v>5191.6381999999994</v>
      </c>
      <c r="CR117">
        <f t="shared" si="123"/>
        <v>0</v>
      </c>
      <c r="CS117">
        <f t="shared" si="124"/>
        <v>0</v>
      </c>
      <c r="CT117">
        <f t="shared" si="125"/>
        <v>0</v>
      </c>
      <c r="CU117">
        <f t="shared" si="126"/>
        <v>0</v>
      </c>
      <c r="CV117">
        <f t="shared" si="127"/>
        <v>0</v>
      </c>
      <c r="CW117">
        <f t="shared" si="128"/>
        <v>0</v>
      </c>
      <c r="CX117">
        <f t="shared" si="129"/>
        <v>0</v>
      </c>
      <c r="CY117">
        <f t="shared" si="130"/>
        <v>0</v>
      </c>
      <c r="CZ117">
        <f t="shared" si="131"/>
        <v>0</v>
      </c>
      <c r="DC117" t="s">
        <v>6</v>
      </c>
      <c r="DD117" t="s">
        <v>6</v>
      </c>
      <c r="DE117" t="s">
        <v>6</v>
      </c>
      <c r="DF117" t="s">
        <v>6</v>
      </c>
      <c r="DG117" t="s">
        <v>6</v>
      </c>
      <c r="DH117" t="s">
        <v>6</v>
      </c>
      <c r="DI117" t="s">
        <v>6</v>
      </c>
      <c r="DJ117" t="s">
        <v>6</v>
      </c>
      <c r="DK117" t="s">
        <v>6</v>
      </c>
      <c r="DL117" t="s">
        <v>6</v>
      </c>
      <c r="DM117" t="s">
        <v>6</v>
      </c>
      <c r="DN117">
        <v>0</v>
      </c>
      <c r="DO117">
        <v>0</v>
      </c>
      <c r="DP117">
        <v>1</v>
      </c>
      <c r="DQ117">
        <v>1</v>
      </c>
      <c r="DU117">
        <v>1009</v>
      </c>
      <c r="DV117" t="s">
        <v>98</v>
      </c>
      <c r="DW117" t="s">
        <v>98</v>
      </c>
      <c r="DX117">
        <v>1000</v>
      </c>
      <c r="EE117">
        <v>16609178</v>
      </c>
      <c r="EF117">
        <v>6</v>
      </c>
      <c r="EG117" t="s">
        <v>39</v>
      </c>
      <c r="EH117">
        <v>0</v>
      </c>
      <c r="EI117" t="s">
        <v>6</v>
      </c>
      <c r="EJ117">
        <v>1</v>
      </c>
      <c r="EK117">
        <v>53001</v>
      </c>
      <c r="EL117" t="s">
        <v>394</v>
      </c>
      <c r="EM117" t="s">
        <v>395</v>
      </c>
      <c r="EO117" t="s">
        <v>6</v>
      </c>
      <c r="EQ117">
        <v>0</v>
      </c>
      <c r="ER117">
        <v>728.14</v>
      </c>
      <c r="ES117">
        <v>728.14</v>
      </c>
      <c r="ET117">
        <v>0</v>
      </c>
      <c r="EU117">
        <v>0</v>
      </c>
      <c r="EV117">
        <v>0</v>
      </c>
      <c r="EW117">
        <v>0</v>
      </c>
      <c r="EX117">
        <v>0</v>
      </c>
      <c r="FQ117">
        <v>0</v>
      </c>
      <c r="FR117">
        <f t="shared" si="132"/>
        <v>0</v>
      </c>
      <c r="FS117">
        <v>0</v>
      </c>
      <c r="FX117">
        <v>86</v>
      </c>
      <c r="FY117">
        <v>70</v>
      </c>
      <c r="GA117" t="s">
        <v>6</v>
      </c>
      <c r="GD117">
        <v>0</v>
      </c>
      <c r="GF117">
        <v>755883371</v>
      </c>
      <c r="GG117">
        <v>1</v>
      </c>
      <c r="GH117">
        <v>1</v>
      </c>
      <c r="GI117">
        <v>4</v>
      </c>
      <c r="GJ117">
        <v>0</v>
      </c>
      <c r="GK117">
        <f>ROUND(R117*(R12)/100,2)</f>
        <v>0</v>
      </c>
      <c r="GL117">
        <f t="shared" si="133"/>
        <v>0</v>
      </c>
      <c r="GM117">
        <f t="shared" si="134"/>
        <v>598.08000000000004</v>
      </c>
      <c r="GN117">
        <f t="shared" si="135"/>
        <v>598.08000000000004</v>
      </c>
      <c r="GO117">
        <f t="shared" si="136"/>
        <v>0</v>
      </c>
      <c r="GP117">
        <f t="shared" si="137"/>
        <v>0</v>
      </c>
      <c r="GR117">
        <v>0</v>
      </c>
      <c r="GS117">
        <v>3</v>
      </c>
      <c r="GT117">
        <v>0</v>
      </c>
      <c r="GU117" t="s">
        <v>6</v>
      </c>
      <c r="GV117">
        <f t="shared" si="138"/>
        <v>0</v>
      </c>
      <c r="GW117">
        <v>1</v>
      </c>
      <c r="GX117">
        <f t="shared" si="139"/>
        <v>0</v>
      </c>
      <c r="HA117">
        <v>0</v>
      </c>
      <c r="HB117">
        <v>0</v>
      </c>
      <c r="HC117">
        <f t="shared" si="140"/>
        <v>0</v>
      </c>
      <c r="IK117">
        <v>0</v>
      </c>
    </row>
    <row r="118" spans="1:245" x14ac:dyDescent="0.2">
      <c r="A118">
        <v>17</v>
      </c>
      <c r="B118">
        <v>1</v>
      </c>
      <c r="C118">
        <f>ROW(SmtRes!A295)</f>
        <v>295</v>
      </c>
      <c r="D118">
        <f>ROW(EtalonRes!A300)</f>
        <v>300</v>
      </c>
      <c r="E118" t="s">
        <v>403</v>
      </c>
      <c r="F118" t="s">
        <v>404</v>
      </c>
      <c r="G118" t="s">
        <v>116</v>
      </c>
      <c r="H118" t="s">
        <v>405</v>
      </c>
      <c r="I118">
        <f>ROUND(15.055/100,9)</f>
        <v>0.15054999999999999</v>
      </c>
      <c r="J118">
        <v>0</v>
      </c>
      <c r="O118">
        <f t="shared" si="107"/>
        <v>1290.96</v>
      </c>
      <c r="P118">
        <f t="shared" si="108"/>
        <v>509.83</v>
      </c>
      <c r="Q118">
        <f t="shared" si="109"/>
        <v>3.94</v>
      </c>
      <c r="R118">
        <f t="shared" si="110"/>
        <v>0.19</v>
      </c>
      <c r="S118">
        <f t="shared" si="111"/>
        <v>777.19</v>
      </c>
      <c r="T118">
        <f t="shared" si="112"/>
        <v>0</v>
      </c>
      <c r="U118">
        <f t="shared" si="113"/>
        <v>12.302795449999998</v>
      </c>
      <c r="V118">
        <f t="shared" si="114"/>
        <v>1.8818749999999999E-3</v>
      </c>
      <c r="W118">
        <f t="shared" si="115"/>
        <v>0</v>
      </c>
      <c r="X118">
        <f t="shared" si="116"/>
        <v>738.51</v>
      </c>
      <c r="Y118">
        <f t="shared" si="117"/>
        <v>365.37</v>
      </c>
      <c r="AA118">
        <v>16630606</v>
      </c>
      <c r="AB118">
        <f t="shared" si="118"/>
        <v>1202.6600000000001</v>
      </c>
      <c r="AC118">
        <f t="shared" si="144"/>
        <v>474.96</v>
      </c>
      <c r="AD118">
        <f>ROUND(((((ET118*1.25))-((EU118*1.25)))+AE118),2)</f>
        <v>3.67</v>
      </c>
      <c r="AE118">
        <f>ROUND(((EU118*1.25)),2)</f>
        <v>0.18</v>
      </c>
      <c r="AF118">
        <f>ROUND(((EV118*1.15)),2)</f>
        <v>724.03</v>
      </c>
      <c r="AG118">
        <f t="shared" si="119"/>
        <v>0</v>
      </c>
      <c r="AH118">
        <f>((EW118*1.15))</f>
        <v>81.718999999999994</v>
      </c>
      <c r="AI118">
        <f>((EX118*1.25))</f>
        <v>1.2500000000000001E-2</v>
      </c>
      <c r="AJ118">
        <f t="shared" si="120"/>
        <v>0</v>
      </c>
      <c r="AK118">
        <v>1107.48</v>
      </c>
      <c r="AL118">
        <v>474.96</v>
      </c>
      <c r="AM118">
        <v>2.93</v>
      </c>
      <c r="AN118">
        <v>0.14000000000000001</v>
      </c>
      <c r="AO118">
        <v>629.59</v>
      </c>
      <c r="AP118">
        <v>0</v>
      </c>
      <c r="AQ118">
        <v>71.06</v>
      </c>
      <c r="AR118">
        <v>0.01</v>
      </c>
      <c r="AS118">
        <v>0</v>
      </c>
      <c r="AT118">
        <v>95</v>
      </c>
      <c r="AU118">
        <v>47</v>
      </c>
      <c r="AV118">
        <v>1</v>
      </c>
      <c r="AW118">
        <v>1</v>
      </c>
      <c r="AZ118">
        <v>7.13</v>
      </c>
      <c r="BA118">
        <v>7.13</v>
      </c>
      <c r="BB118">
        <v>7.13</v>
      </c>
      <c r="BC118">
        <v>7.13</v>
      </c>
      <c r="BD118" t="s">
        <v>6</v>
      </c>
      <c r="BE118" t="s">
        <v>6</v>
      </c>
      <c r="BF118" t="s">
        <v>6</v>
      </c>
      <c r="BG118" t="s">
        <v>6</v>
      </c>
      <c r="BH118">
        <v>0</v>
      </c>
      <c r="BI118">
        <v>1</v>
      </c>
      <c r="BJ118" t="s">
        <v>406</v>
      </c>
      <c r="BM118">
        <v>15001</v>
      </c>
      <c r="BN118">
        <v>0</v>
      </c>
      <c r="BO118" t="s">
        <v>6</v>
      </c>
      <c r="BP118">
        <v>0</v>
      </c>
      <c r="BQ118">
        <v>2</v>
      </c>
      <c r="BR118">
        <v>0</v>
      </c>
      <c r="BS118">
        <v>7.13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6</v>
      </c>
      <c r="BZ118">
        <v>105</v>
      </c>
      <c r="CA118">
        <v>55</v>
      </c>
      <c r="CE118">
        <v>0</v>
      </c>
      <c r="CF118">
        <v>0</v>
      </c>
      <c r="CG118">
        <v>0</v>
      </c>
      <c r="CM118">
        <v>0</v>
      </c>
      <c r="CN118" t="s">
        <v>1758</v>
      </c>
      <c r="CO118">
        <v>0</v>
      </c>
      <c r="CP118">
        <f t="shared" si="121"/>
        <v>1290.96</v>
      </c>
      <c r="CQ118">
        <f t="shared" si="122"/>
        <v>3386.4647999999997</v>
      </c>
      <c r="CR118">
        <f t="shared" si="123"/>
        <v>26.167099999999998</v>
      </c>
      <c r="CS118">
        <f t="shared" si="124"/>
        <v>1.2833999999999999</v>
      </c>
      <c r="CT118">
        <f t="shared" si="125"/>
        <v>5162.3338999999996</v>
      </c>
      <c r="CU118">
        <f t="shared" si="126"/>
        <v>0</v>
      </c>
      <c r="CV118">
        <f t="shared" si="127"/>
        <v>81.718999999999994</v>
      </c>
      <c r="CW118">
        <f t="shared" si="128"/>
        <v>1.2500000000000001E-2</v>
      </c>
      <c r="CX118">
        <f t="shared" si="129"/>
        <v>0</v>
      </c>
      <c r="CY118">
        <f t="shared" si="130"/>
        <v>738.51100000000008</v>
      </c>
      <c r="CZ118">
        <f t="shared" si="131"/>
        <v>365.36860000000007</v>
      </c>
      <c r="DC118" t="s">
        <v>6</v>
      </c>
      <c r="DD118" t="s">
        <v>6</v>
      </c>
      <c r="DE118" t="s">
        <v>81</v>
      </c>
      <c r="DF118" t="s">
        <v>81</v>
      </c>
      <c r="DG118" t="s">
        <v>82</v>
      </c>
      <c r="DH118" t="s">
        <v>6</v>
      </c>
      <c r="DI118" t="s">
        <v>82</v>
      </c>
      <c r="DJ118" t="s">
        <v>81</v>
      </c>
      <c r="DK118" t="s">
        <v>6</v>
      </c>
      <c r="DL118" t="s">
        <v>6</v>
      </c>
      <c r="DM118" t="s">
        <v>6</v>
      </c>
      <c r="DN118">
        <v>0</v>
      </c>
      <c r="DO118">
        <v>0</v>
      </c>
      <c r="DP118">
        <v>1</v>
      </c>
      <c r="DQ118">
        <v>1</v>
      </c>
      <c r="DU118">
        <v>1005</v>
      </c>
      <c r="DV118" t="s">
        <v>405</v>
      </c>
      <c r="DW118" t="s">
        <v>405</v>
      </c>
      <c r="DX118">
        <v>100</v>
      </c>
      <c r="EE118">
        <v>16609130</v>
      </c>
      <c r="EF118">
        <v>2</v>
      </c>
      <c r="EG118" t="s">
        <v>14</v>
      </c>
      <c r="EH118">
        <v>0</v>
      </c>
      <c r="EI118" t="s">
        <v>6</v>
      </c>
      <c r="EJ118">
        <v>1</v>
      </c>
      <c r="EK118">
        <v>15001</v>
      </c>
      <c r="EL118" t="s">
        <v>118</v>
      </c>
      <c r="EM118" t="s">
        <v>119</v>
      </c>
      <c r="EO118" t="s">
        <v>83</v>
      </c>
      <c r="EQ118">
        <v>0</v>
      </c>
      <c r="ER118">
        <v>1107.48</v>
      </c>
      <c r="ES118">
        <v>474.96</v>
      </c>
      <c r="ET118">
        <v>2.93</v>
      </c>
      <c r="EU118">
        <v>0.14000000000000001</v>
      </c>
      <c r="EV118">
        <v>629.59</v>
      </c>
      <c r="EW118">
        <v>71.06</v>
      </c>
      <c r="EX118">
        <v>0.01</v>
      </c>
      <c r="EY118">
        <v>0</v>
      </c>
      <c r="FQ118">
        <v>0</v>
      </c>
      <c r="FR118">
        <f t="shared" si="132"/>
        <v>0</v>
      </c>
      <c r="FS118">
        <v>0</v>
      </c>
      <c r="FT118" t="s">
        <v>22</v>
      </c>
      <c r="FU118" t="s">
        <v>23</v>
      </c>
      <c r="FX118">
        <v>94.5</v>
      </c>
      <c r="FY118">
        <v>46.75</v>
      </c>
      <c r="GA118" t="s">
        <v>6</v>
      </c>
      <c r="GD118">
        <v>0</v>
      </c>
      <c r="GF118">
        <v>424246972</v>
      </c>
      <c r="GG118">
        <v>1</v>
      </c>
      <c r="GH118">
        <v>1</v>
      </c>
      <c r="GI118">
        <v>4</v>
      </c>
      <c r="GJ118">
        <v>0</v>
      </c>
      <c r="GK118">
        <f>ROUND(R118*(R12)/100,2)</f>
        <v>0</v>
      </c>
      <c r="GL118">
        <f t="shared" si="133"/>
        <v>0</v>
      </c>
      <c r="GM118">
        <f t="shared" si="134"/>
        <v>2394.84</v>
      </c>
      <c r="GN118">
        <f t="shared" si="135"/>
        <v>2394.84</v>
      </c>
      <c r="GO118">
        <f t="shared" si="136"/>
        <v>0</v>
      </c>
      <c r="GP118">
        <f t="shared" si="137"/>
        <v>0</v>
      </c>
      <c r="GR118">
        <v>0</v>
      </c>
      <c r="GS118">
        <v>3</v>
      </c>
      <c r="GT118">
        <v>0</v>
      </c>
      <c r="GU118" t="s">
        <v>6</v>
      </c>
      <c r="GV118">
        <f t="shared" si="138"/>
        <v>0</v>
      </c>
      <c r="GW118">
        <v>1</v>
      </c>
      <c r="GX118">
        <f t="shared" si="139"/>
        <v>0</v>
      </c>
      <c r="HA118">
        <v>0</v>
      </c>
      <c r="HB118">
        <v>0</v>
      </c>
      <c r="HC118">
        <f t="shared" si="140"/>
        <v>0</v>
      </c>
      <c r="IK118">
        <v>0</v>
      </c>
    </row>
    <row r="119" spans="1:245" x14ac:dyDescent="0.2">
      <c r="A119">
        <v>17</v>
      </c>
      <c r="B119">
        <v>1</v>
      </c>
      <c r="C119">
        <f>ROW(SmtRes!A297)</f>
        <v>297</v>
      </c>
      <c r="D119">
        <f>ROW(EtalonRes!A302)</f>
        <v>302</v>
      </c>
      <c r="E119" t="s">
        <v>407</v>
      </c>
      <c r="F119" t="s">
        <v>408</v>
      </c>
      <c r="G119" t="s">
        <v>409</v>
      </c>
      <c r="H119" t="s">
        <v>98</v>
      </c>
      <c r="I119">
        <v>12.34</v>
      </c>
      <c r="J119">
        <v>0</v>
      </c>
      <c r="O119">
        <f t="shared" si="107"/>
        <v>2094.9</v>
      </c>
      <c r="P119">
        <f t="shared" si="108"/>
        <v>1442.94</v>
      </c>
      <c r="Q119">
        <f t="shared" si="109"/>
        <v>0</v>
      </c>
      <c r="R119">
        <f t="shared" si="110"/>
        <v>0</v>
      </c>
      <c r="S119">
        <f t="shared" si="111"/>
        <v>651.96</v>
      </c>
      <c r="T119">
        <f t="shared" si="112"/>
        <v>0</v>
      </c>
      <c r="U119">
        <f t="shared" si="113"/>
        <v>12.7102</v>
      </c>
      <c r="V119">
        <f t="shared" si="114"/>
        <v>0</v>
      </c>
      <c r="W119">
        <f t="shared" si="115"/>
        <v>0</v>
      </c>
      <c r="X119">
        <f t="shared" si="116"/>
        <v>508.53</v>
      </c>
      <c r="Y119">
        <f t="shared" si="117"/>
        <v>325.98</v>
      </c>
      <c r="AA119">
        <v>16630606</v>
      </c>
      <c r="AB119">
        <f t="shared" si="118"/>
        <v>23.81</v>
      </c>
      <c r="AC119">
        <f t="shared" si="144"/>
        <v>16.399999999999999</v>
      </c>
      <c r="AD119">
        <f>ROUND((((ET119)-(EU119))+AE119),2)</f>
        <v>0</v>
      </c>
      <c r="AE119">
        <f>ROUND((EU119),2)</f>
        <v>0</v>
      </c>
      <c r="AF119">
        <f>ROUND((EV119),2)</f>
        <v>7.41</v>
      </c>
      <c r="AG119">
        <f t="shared" si="119"/>
        <v>0</v>
      </c>
      <c r="AH119">
        <f>(EW119)</f>
        <v>1.03</v>
      </c>
      <c r="AI119">
        <f>(EX119)</f>
        <v>0</v>
      </c>
      <c r="AJ119">
        <f t="shared" si="120"/>
        <v>0</v>
      </c>
      <c r="AK119">
        <v>23.81</v>
      </c>
      <c r="AL119">
        <v>16.399999999999999</v>
      </c>
      <c r="AM119">
        <v>0</v>
      </c>
      <c r="AN119">
        <v>0</v>
      </c>
      <c r="AO119">
        <v>7.41</v>
      </c>
      <c r="AP119">
        <v>0</v>
      </c>
      <c r="AQ119">
        <v>1.03</v>
      </c>
      <c r="AR119">
        <v>0</v>
      </c>
      <c r="AS119">
        <v>0</v>
      </c>
      <c r="AT119">
        <v>78</v>
      </c>
      <c r="AU119">
        <v>50</v>
      </c>
      <c r="AV119">
        <v>1</v>
      </c>
      <c r="AW119">
        <v>1</v>
      </c>
      <c r="AZ119">
        <v>7.13</v>
      </c>
      <c r="BA119">
        <v>7.13</v>
      </c>
      <c r="BB119">
        <v>7.13</v>
      </c>
      <c r="BC119">
        <v>7.13</v>
      </c>
      <c r="BD119" t="s">
        <v>6</v>
      </c>
      <c r="BE119" t="s">
        <v>6</v>
      </c>
      <c r="BF119" t="s">
        <v>6</v>
      </c>
      <c r="BG119" t="s">
        <v>6</v>
      </c>
      <c r="BH119">
        <v>0</v>
      </c>
      <c r="BI119">
        <v>1</v>
      </c>
      <c r="BJ119" t="s">
        <v>410</v>
      </c>
      <c r="BM119">
        <v>69001</v>
      </c>
      <c r="BN119">
        <v>0</v>
      </c>
      <c r="BO119" t="s">
        <v>6</v>
      </c>
      <c r="BP119">
        <v>0</v>
      </c>
      <c r="BQ119">
        <v>6</v>
      </c>
      <c r="BR119">
        <v>0</v>
      </c>
      <c r="BS119">
        <v>7.13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</v>
      </c>
      <c r="BZ119">
        <v>78</v>
      </c>
      <c r="CA119">
        <v>50</v>
      </c>
      <c r="CE119">
        <v>0</v>
      </c>
      <c r="CF119">
        <v>0</v>
      </c>
      <c r="CG119">
        <v>0</v>
      </c>
      <c r="CM119">
        <v>0</v>
      </c>
      <c r="CN119" t="s">
        <v>6</v>
      </c>
      <c r="CO119">
        <v>0</v>
      </c>
      <c r="CP119">
        <f t="shared" si="121"/>
        <v>2094.9</v>
      </c>
      <c r="CQ119">
        <f t="shared" si="122"/>
        <v>116.93199999999999</v>
      </c>
      <c r="CR119">
        <f t="shared" si="123"/>
        <v>0</v>
      </c>
      <c r="CS119">
        <f t="shared" si="124"/>
        <v>0</v>
      </c>
      <c r="CT119">
        <f t="shared" si="125"/>
        <v>52.833300000000001</v>
      </c>
      <c r="CU119">
        <f t="shared" si="126"/>
        <v>0</v>
      </c>
      <c r="CV119">
        <f t="shared" si="127"/>
        <v>1.03</v>
      </c>
      <c r="CW119">
        <f t="shared" si="128"/>
        <v>0</v>
      </c>
      <c r="CX119">
        <f t="shared" si="129"/>
        <v>0</v>
      </c>
      <c r="CY119">
        <f t="shared" si="130"/>
        <v>508.52880000000005</v>
      </c>
      <c r="CZ119">
        <f t="shared" si="131"/>
        <v>325.98</v>
      </c>
      <c r="DC119" t="s">
        <v>6</v>
      </c>
      <c r="DD119" t="s">
        <v>6</v>
      </c>
      <c r="DE119" t="s">
        <v>6</v>
      </c>
      <c r="DF119" t="s">
        <v>6</v>
      </c>
      <c r="DG119" t="s">
        <v>6</v>
      </c>
      <c r="DH119" t="s">
        <v>6</v>
      </c>
      <c r="DI119" t="s">
        <v>6</v>
      </c>
      <c r="DJ119" t="s">
        <v>6</v>
      </c>
      <c r="DK119" t="s">
        <v>6</v>
      </c>
      <c r="DL119" t="s">
        <v>6</v>
      </c>
      <c r="DM119" t="s">
        <v>6</v>
      </c>
      <c r="DN119">
        <v>0</v>
      </c>
      <c r="DO119">
        <v>0</v>
      </c>
      <c r="DP119">
        <v>1</v>
      </c>
      <c r="DQ119">
        <v>1</v>
      </c>
      <c r="DU119">
        <v>1009</v>
      </c>
      <c r="DV119" t="s">
        <v>98</v>
      </c>
      <c r="DW119" t="s">
        <v>98</v>
      </c>
      <c r="DX119">
        <v>1000</v>
      </c>
      <c r="EE119">
        <v>16609214</v>
      </c>
      <c r="EF119">
        <v>6</v>
      </c>
      <c r="EG119" t="s">
        <v>39</v>
      </c>
      <c r="EH119">
        <v>0</v>
      </c>
      <c r="EI119" t="s">
        <v>6</v>
      </c>
      <c r="EJ119">
        <v>1</v>
      </c>
      <c r="EK119">
        <v>69001</v>
      </c>
      <c r="EL119" t="s">
        <v>411</v>
      </c>
      <c r="EM119" t="s">
        <v>412</v>
      </c>
      <c r="EO119" t="s">
        <v>6</v>
      </c>
      <c r="EQ119">
        <v>131072</v>
      </c>
      <c r="ER119">
        <v>23.81</v>
      </c>
      <c r="ES119">
        <v>16.399999999999999</v>
      </c>
      <c r="ET119">
        <v>0</v>
      </c>
      <c r="EU119">
        <v>0</v>
      </c>
      <c r="EV119">
        <v>7.41</v>
      </c>
      <c r="EW119">
        <v>1.03</v>
      </c>
      <c r="EX119">
        <v>0</v>
      </c>
      <c r="EY119">
        <v>0</v>
      </c>
      <c r="FQ119">
        <v>0</v>
      </c>
      <c r="FR119">
        <f t="shared" si="132"/>
        <v>0</v>
      </c>
      <c r="FS119">
        <v>0</v>
      </c>
      <c r="FX119">
        <v>78</v>
      </c>
      <c r="FY119">
        <v>50</v>
      </c>
      <c r="GA119" t="s">
        <v>6</v>
      </c>
      <c r="GD119">
        <v>0</v>
      </c>
      <c r="GF119">
        <v>-1073482640</v>
      </c>
      <c r="GG119">
        <v>1</v>
      </c>
      <c r="GH119">
        <v>1</v>
      </c>
      <c r="GI119">
        <v>4</v>
      </c>
      <c r="GJ119">
        <v>0</v>
      </c>
      <c r="GK119">
        <f>ROUND(R119*(R12)/100,2)</f>
        <v>0</v>
      </c>
      <c r="GL119">
        <f t="shared" si="133"/>
        <v>0</v>
      </c>
      <c r="GM119">
        <f t="shared" si="134"/>
        <v>2929.41</v>
      </c>
      <c r="GN119">
        <f t="shared" si="135"/>
        <v>2929.41</v>
      </c>
      <c r="GO119">
        <f t="shared" si="136"/>
        <v>0</v>
      </c>
      <c r="GP119">
        <f t="shared" si="137"/>
        <v>0</v>
      </c>
      <c r="GR119">
        <v>0</v>
      </c>
      <c r="GS119">
        <v>3</v>
      </c>
      <c r="GT119">
        <v>0</v>
      </c>
      <c r="GU119" t="s">
        <v>6</v>
      </c>
      <c r="GV119">
        <f t="shared" si="138"/>
        <v>0</v>
      </c>
      <c r="GW119">
        <v>1</v>
      </c>
      <c r="GX119">
        <f t="shared" si="139"/>
        <v>0</v>
      </c>
      <c r="HA119">
        <v>0</v>
      </c>
      <c r="HB119">
        <v>0</v>
      </c>
      <c r="HC119">
        <f t="shared" si="140"/>
        <v>0</v>
      </c>
      <c r="IK119">
        <v>0</v>
      </c>
    </row>
    <row r="120" spans="1:245" x14ac:dyDescent="0.2">
      <c r="A120">
        <v>17</v>
      </c>
      <c r="B120">
        <v>1</v>
      </c>
      <c r="E120" t="s">
        <v>413</v>
      </c>
      <c r="F120" t="s">
        <v>414</v>
      </c>
      <c r="G120" t="s">
        <v>415</v>
      </c>
      <c r="H120" t="s">
        <v>416</v>
      </c>
      <c r="I120">
        <v>12.34</v>
      </c>
      <c r="J120">
        <v>0</v>
      </c>
      <c r="O120">
        <f>0</f>
        <v>0</v>
      </c>
      <c r="P120">
        <f>0</f>
        <v>0</v>
      </c>
      <c r="Q120">
        <f>0</f>
        <v>0</v>
      </c>
      <c r="R120">
        <f>0</f>
        <v>0</v>
      </c>
      <c r="S120">
        <f>0</f>
        <v>0</v>
      </c>
      <c r="T120">
        <f>0</f>
        <v>0</v>
      </c>
      <c r="U120">
        <f>0</f>
        <v>0</v>
      </c>
      <c r="V120">
        <f>0</f>
        <v>0</v>
      </c>
      <c r="W120">
        <f>0</f>
        <v>0</v>
      </c>
      <c r="X120">
        <f>0</f>
        <v>0</v>
      </c>
      <c r="Y120">
        <f>0</f>
        <v>0</v>
      </c>
      <c r="AA120">
        <v>16630606</v>
      </c>
      <c r="AB120">
        <f>ROUND((AK120),2)</f>
        <v>42.98</v>
      </c>
      <c r="AC120">
        <f>0</f>
        <v>0</v>
      </c>
      <c r="AD120">
        <f>0</f>
        <v>0</v>
      </c>
      <c r="AE120">
        <f>0</f>
        <v>0</v>
      </c>
      <c r="AF120">
        <f>0</f>
        <v>0</v>
      </c>
      <c r="AG120">
        <f>0</f>
        <v>0</v>
      </c>
      <c r="AH120">
        <f>0</f>
        <v>0</v>
      </c>
      <c r="AI120">
        <f>0</f>
        <v>0</v>
      </c>
      <c r="AJ120">
        <f>0</f>
        <v>0</v>
      </c>
      <c r="AK120">
        <v>42.98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1</v>
      </c>
      <c r="AW120">
        <v>1</v>
      </c>
      <c r="AZ120">
        <v>7.13</v>
      </c>
      <c r="BA120">
        <v>1</v>
      </c>
      <c r="BB120">
        <v>1</v>
      </c>
      <c r="BC120">
        <v>1</v>
      </c>
      <c r="BD120" t="s">
        <v>6</v>
      </c>
      <c r="BE120" t="s">
        <v>6</v>
      </c>
      <c r="BF120" t="s">
        <v>6</v>
      </c>
      <c r="BG120" t="s">
        <v>6</v>
      </c>
      <c r="BH120">
        <v>0</v>
      </c>
      <c r="BI120">
        <v>1</v>
      </c>
      <c r="BJ120" t="s">
        <v>417</v>
      </c>
      <c r="BM120">
        <v>700004</v>
      </c>
      <c r="BN120">
        <v>0</v>
      </c>
      <c r="BO120" t="s">
        <v>6</v>
      </c>
      <c r="BP120">
        <v>0</v>
      </c>
      <c r="BQ120">
        <v>19</v>
      </c>
      <c r="BR120">
        <v>0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6</v>
      </c>
      <c r="BZ120">
        <v>0</v>
      </c>
      <c r="CA120">
        <v>0</v>
      </c>
      <c r="CE120">
        <v>0</v>
      </c>
      <c r="CF120">
        <v>0</v>
      </c>
      <c r="CG120">
        <v>0</v>
      </c>
      <c r="CM120">
        <v>0</v>
      </c>
      <c r="CN120" t="s">
        <v>6</v>
      </c>
      <c r="CO120">
        <v>0</v>
      </c>
      <c r="CP120">
        <f>AB120*AZ120</f>
        <v>306.44739999999996</v>
      </c>
      <c r="CQ120">
        <v>0</v>
      </c>
      <c r="CR120">
        <v>0</v>
      </c>
      <c r="CS120">
        <v>0</v>
      </c>
      <c r="CT120">
        <v>0</v>
      </c>
      <c r="CU120">
        <v>0</v>
      </c>
      <c r="CV120">
        <v>0</v>
      </c>
      <c r="CW120">
        <v>0</v>
      </c>
      <c r="CX120">
        <v>0</v>
      </c>
      <c r="CY120">
        <v>0</v>
      </c>
      <c r="CZ120">
        <v>0</v>
      </c>
      <c r="DC120" t="s">
        <v>6</v>
      </c>
      <c r="DD120" t="s">
        <v>6</v>
      </c>
      <c r="DE120" t="s">
        <v>6</v>
      </c>
      <c r="DF120" t="s">
        <v>6</v>
      </c>
      <c r="DG120" t="s">
        <v>6</v>
      </c>
      <c r="DH120" t="s">
        <v>6</v>
      </c>
      <c r="DI120" t="s">
        <v>6</v>
      </c>
      <c r="DJ120" t="s">
        <v>6</v>
      </c>
      <c r="DK120" t="s">
        <v>6</v>
      </c>
      <c r="DL120" t="s">
        <v>6</v>
      </c>
      <c r="DM120" t="s">
        <v>6</v>
      </c>
      <c r="DN120">
        <v>0</v>
      </c>
      <c r="DO120">
        <v>0</v>
      </c>
      <c r="DP120">
        <v>1</v>
      </c>
      <c r="DQ120">
        <v>1</v>
      </c>
      <c r="DU120">
        <v>1013</v>
      </c>
      <c r="DV120" t="s">
        <v>416</v>
      </c>
      <c r="DW120" t="s">
        <v>416</v>
      </c>
      <c r="DX120">
        <v>1</v>
      </c>
      <c r="EE120">
        <v>16609293</v>
      </c>
      <c r="EF120">
        <v>19</v>
      </c>
      <c r="EG120" t="s">
        <v>418</v>
      </c>
      <c r="EH120">
        <v>0</v>
      </c>
      <c r="EI120" t="s">
        <v>6</v>
      </c>
      <c r="EJ120">
        <v>1</v>
      </c>
      <c r="EK120">
        <v>700004</v>
      </c>
      <c r="EL120" t="s">
        <v>419</v>
      </c>
      <c r="EM120" t="s">
        <v>420</v>
      </c>
      <c r="EO120" t="s">
        <v>6</v>
      </c>
      <c r="EQ120">
        <v>131072</v>
      </c>
      <c r="ER120">
        <v>0</v>
      </c>
      <c r="ES120">
        <v>0</v>
      </c>
      <c r="ET120">
        <v>0</v>
      </c>
      <c r="EU120">
        <v>0</v>
      </c>
      <c r="EV120">
        <v>0</v>
      </c>
      <c r="EW120">
        <v>0</v>
      </c>
      <c r="EX120">
        <v>0</v>
      </c>
      <c r="EY120">
        <v>0</v>
      </c>
      <c r="FQ120">
        <v>0</v>
      </c>
      <c r="FR120">
        <f t="shared" si="132"/>
        <v>0</v>
      </c>
      <c r="FS120">
        <v>0</v>
      </c>
      <c r="FX120">
        <v>0</v>
      </c>
      <c r="FY120">
        <v>0</v>
      </c>
      <c r="GA120" t="s">
        <v>6</v>
      </c>
      <c r="GD120">
        <v>0</v>
      </c>
      <c r="GF120">
        <v>811861299</v>
      </c>
      <c r="GG120">
        <v>1</v>
      </c>
      <c r="GH120">
        <v>1</v>
      </c>
      <c r="GI120">
        <v>4</v>
      </c>
      <c r="GJ120">
        <v>2</v>
      </c>
      <c r="GK120">
        <f>ROUND(R120*(R12)/100,2)</f>
        <v>0</v>
      </c>
      <c r="GL120">
        <f t="shared" si="133"/>
        <v>0</v>
      </c>
      <c r="GM120">
        <f>ROUND(CP120*I120,2)</f>
        <v>3781.56</v>
      </c>
      <c r="GN120">
        <f>IF(OR(BI120=0,BI120=1),ROUND(CP120*I120,2),0)</f>
        <v>3781.56</v>
      </c>
      <c r="GO120">
        <f>IF(BI120=2,ROUND(CP120*I120,2),0)</f>
        <v>0</v>
      </c>
      <c r="GP120">
        <f>IF(BI120=4,ROUND(CP120*I120,2)+GX120,0)</f>
        <v>0</v>
      </c>
      <c r="GR120">
        <v>0</v>
      </c>
      <c r="GS120">
        <v>3</v>
      </c>
      <c r="GT120">
        <v>0</v>
      </c>
      <c r="GU120" t="s">
        <v>6</v>
      </c>
      <c r="GV120">
        <f>0</f>
        <v>0</v>
      </c>
      <c r="GW120">
        <v>1</v>
      </c>
      <c r="GX120">
        <f>0</f>
        <v>0</v>
      </c>
      <c r="HA120">
        <v>0</v>
      </c>
      <c r="HB120">
        <v>0</v>
      </c>
      <c r="HC120">
        <v>0</v>
      </c>
      <c r="IK120">
        <v>0</v>
      </c>
    </row>
    <row r="121" spans="1:245" x14ac:dyDescent="0.2">
      <c r="A121">
        <v>17</v>
      </c>
      <c r="B121">
        <v>1</v>
      </c>
      <c r="E121" t="s">
        <v>421</v>
      </c>
      <c r="F121" t="s">
        <v>422</v>
      </c>
      <c r="G121" t="s">
        <v>423</v>
      </c>
      <c r="H121" t="s">
        <v>416</v>
      </c>
      <c r="I121">
        <v>12.34</v>
      </c>
      <c r="J121">
        <v>0</v>
      </c>
      <c r="O121">
        <f>0</f>
        <v>0</v>
      </c>
      <c r="P121">
        <f>0</f>
        <v>0</v>
      </c>
      <c r="Q121">
        <f>0</f>
        <v>0</v>
      </c>
      <c r="R121">
        <f>0</f>
        <v>0</v>
      </c>
      <c r="S121">
        <f>0</f>
        <v>0</v>
      </c>
      <c r="T121">
        <f>0</f>
        <v>0</v>
      </c>
      <c r="U121">
        <f>0</f>
        <v>0</v>
      </c>
      <c r="V121">
        <f>0</f>
        <v>0</v>
      </c>
      <c r="W121">
        <f>0</f>
        <v>0</v>
      </c>
      <c r="X121">
        <f>0</f>
        <v>0</v>
      </c>
      <c r="Y121">
        <f>0</f>
        <v>0</v>
      </c>
      <c r="AA121">
        <v>16630606</v>
      </c>
      <c r="AB121">
        <f>ROUND((AK121),2)</f>
        <v>29.16</v>
      </c>
      <c r="AC121">
        <f>0</f>
        <v>0</v>
      </c>
      <c r="AD121">
        <f>0</f>
        <v>0</v>
      </c>
      <c r="AE121">
        <f>0</f>
        <v>0</v>
      </c>
      <c r="AF121">
        <f>0</f>
        <v>0</v>
      </c>
      <c r="AG121">
        <f>0</f>
        <v>0</v>
      </c>
      <c r="AH121">
        <f>0</f>
        <v>0</v>
      </c>
      <c r="AI121">
        <f>0</f>
        <v>0</v>
      </c>
      <c r="AJ121">
        <f>0</f>
        <v>0</v>
      </c>
      <c r="AK121">
        <v>29.16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1</v>
      </c>
      <c r="AW121">
        <v>1</v>
      </c>
      <c r="AZ121">
        <v>7.13</v>
      </c>
      <c r="BA121">
        <v>1</v>
      </c>
      <c r="BB121">
        <v>1</v>
      </c>
      <c r="BC121">
        <v>1</v>
      </c>
      <c r="BD121" t="s">
        <v>6</v>
      </c>
      <c r="BE121" t="s">
        <v>6</v>
      </c>
      <c r="BF121" t="s">
        <v>6</v>
      </c>
      <c r="BG121" t="s">
        <v>6</v>
      </c>
      <c r="BH121">
        <v>0</v>
      </c>
      <c r="BI121">
        <v>1</v>
      </c>
      <c r="BJ121" t="s">
        <v>424</v>
      </c>
      <c r="BM121">
        <v>700005</v>
      </c>
      <c r="BN121">
        <v>0</v>
      </c>
      <c r="BO121" t="s">
        <v>6</v>
      </c>
      <c r="BP121">
        <v>0</v>
      </c>
      <c r="BQ121">
        <v>10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6</v>
      </c>
      <c r="BZ121">
        <v>0</v>
      </c>
      <c r="CA121">
        <v>0</v>
      </c>
      <c r="CE121">
        <v>0</v>
      </c>
      <c r="CF121">
        <v>0</v>
      </c>
      <c r="CG121">
        <v>0</v>
      </c>
      <c r="CM121">
        <v>0</v>
      </c>
      <c r="CN121" t="s">
        <v>6</v>
      </c>
      <c r="CO121">
        <v>0</v>
      </c>
      <c r="CP121">
        <f>AB121*AZ121</f>
        <v>207.91079999999999</v>
      </c>
      <c r="CQ121">
        <v>0</v>
      </c>
      <c r="CR121">
        <v>0</v>
      </c>
      <c r="CS121">
        <v>0</v>
      </c>
      <c r="CT121">
        <v>0</v>
      </c>
      <c r="CU121">
        <v>0</v>
      </c>
      <c r="CV121">
        <v>0</v>
      </c>
      <c r="CW121">
        <v>0</v>
      </c>
      <c r="CX121">
        <v>0</v>
      </c>
      <c r="CY121">
        <v>0</v>
      </c>
      <c r="CZ121">
        <v>0</v>
      </c>
      <c r="DC121" t="s">
        <v>6</v>
      </c>
      <c r="DD121" t="s">
        <v>6</v>
      </c>
      <c r="DE121" t="s">
        <v>6</v>
      </c>
      <c r="DF121" t="s">
        <v>6</v>
      </c>
      <c r="DG121" t="s">
        <v>6</v>
      </c>
      <c r="DH121" t="s">
        <v>6</v>
      </c>
      <c r="DI121" t="s">
        <v>6</v>
      </c>
      <c r="DJ121" t="s">
        <v>6</v>
      </c>
      <c r="DK121" t="s">
        <v>6</v>
      </c>
      <c r="DL121" t="s">
        <v>6</v>
      </c>
      <c r="DM121" t="s">
        <v>6</v>
      </c>
      <c r="DN121">
        <v>0</v>
      </c>
      <c r="DO121">
        <v>0</v>
      </c>
      <c r="DP121">
        <v>1</v>
      </c>
      <c r="DQ121">
        <v>1</v>
      </c>
      <c r="DU121">
        <v>1013</v>
      </c>
      <c r="DV121" t="s">
        <v>416</v>
      </c>
      <c r="DW121" t="s">
        <v>416</v>
      </c>
      <c r="DX121">
        <v>1</v>
      </c>
      <c r="EE121">
        <v>16609294</v>
      </c>
      <c r="EF121">
        <v>10</v>
      </c>
      <c r="EG121" t="s">
        <v>425</v>
      </c>
      <c r="EH121">
        <v>0</v>
      </c>
      <c r="EI121" t="s">
        <v>6</v>
      </c>
      <c r="EJ121">
        <v>1</v>
      </c>
      <c r="EK121">
        <v>700005</v>
      </c>
      <c r="EL121" t="s">
        <v>426</v>
      </c>
      <c r="EM121" t="s">
        <v>427</v>
      </c>
      <c r="EO121" t="s">
        <v>6</v>
      </c>
      <c r="EQ121">
        <v>131072</v>
      </c>
      <c r="ER121">
        <v>0</v>
      </c>
      <c r="ES121">
        <v>0</v>
      </c>
      <c r="ET121">
        <v>0</v>
      </c>
      <c r="EU121">
        <v>0</v>
      </c>
      <c r="EV121">
        <v>0</v>
      </c>
      <c r="EW121">
        <v>0</v>
      </c>
      <c r="EX121">
        <v>0</v>
      </c>
      <c r="EY121">
        <v>0</v>
      </c>
      <c r="FQ121">
        <v>0</v>
      </c>
      <c r="FR121">
        <f t="shared" si="132"/>
        <v>0</v>
      </c>
      <c r="FS121">
        <v>0</v>
      </c>
      <c r="FX121">
        <v>0</v>
      </c>
      <c r="FY121">
        <v>0</v>
      </c>
      <c r="GA121" t="s">
        <v>6</v>
      </c>
      <c r="GD121">
        <v>0</v>
      </c>
      <c r="GF121">
        <v>869693667</v>
      </c>
      <c r="GG121">
        <v>1</v>
      </c>
      <c r="GH121">
        <v>1</v>
      </c>
      <c r="GI121">
        <v>4</v>
      </c>
      <c r="GJ121">
        <v>2</v>
      </c>
      <c r="GK121">
        <f>ROUND(R121*(R12)/100,2)</f>
        <v>0</v>
      </c>
      <c r="GL121">
        <f t="shared" si="133"/>
        <v>0</v>
      </c>
      <c r="GM121">
        <f>ROUND(CP121*I121,2)</f>
        <v>2565.62</v>
      </c>
      <c r="GN121">
        <f>IF(OR(BI121=0,BI121=1),ROUND(CP121*I121,2),0)</f>
        <v>2565.62</v>
      </c>
      <c r="GO121">
        <f>IF(BI121=2,ROUND(CP121*I121,2),0)</f>
        <v>0</v>
      </c>
      <c r="GP121">
        <f>IF(BI121=4,ROUND(CP121*I121,2)+GX121,0)</f>
        <v>0</v>
      </c>
      <c r="GR121">
        <v>0</v>
      </c>
      <c r="GS121">
        <v>3</v>
      </c>
      <c r="GT121">
        <v>0</v>
      </c>
      <c r="GU121" t="s">
        <v>6</v>
      </c>
      <c r="GV121">
        <f>0</f>
        <v>0</v>
      </c>
      <c r="GW121">
        <v>1</v>
      </c>
      <c r="GX121">
        <f>0</f>
        <v>0</v>
      </c>
      <c r="HA121">
        <v>0</v>
      </c>
      <c r="HB121">
        <v>0</v>
      </c>
      <c r="HC121">
        <v>0</v>
      </c>
      <c r="IK121">
        <v>0</v>
      </c>
    </row>
    <row r="123" spans="1:245" x14ac:dyDescent="0.2">
      <c r="A123" s="2">
        <v>51</v>
      </c>
      <c r="B123" s="2">
        <f>B24</f>
        <v>1</v>
      </c>
      <c r="C123" s="2">
        <f>A24</f>
        <v>4</v>
      </c>
      <c r="D123" s="2">
        <f>ROW(A24)</f>
        <v>24</v>
      </c>
      <c r="E123" s="2"/>
      <c r="F123" s="2" t="str">
        <f>IF(F24&lt;&gt;"",F24,"")</f>
        <v>Новый раздел</v>
      </c>
      <c r="G123" s="2" t="str">
        <f>IF(G24&lt;&gt;"",G24,"")</f>
        <v>Общестроительные работы</v>
      </c>
      <c r="H123" s="2">
        <v>0</v>
      </c>
      <c r="I123" s="2"/>
      <c r="J123" s="2"/>
      <c r="K123" s="2"/>
      <c r="L123" s="2"/>
      <c r="M123" s="2"/>
      <c r="N123" s="2"/>
      <c r="O123" s="2">
        <f t="shared" ref="O123:T123" si="148">ROUND(AB123,2)</f>
        <v>1136087.25</v>
      </c>
      <c r="P123" s="2">
        <f t="shared" si="148"/>
        <v>1005096.13</v>
      </c>
      <c r="Q123" s="2">
        <f t="shared" si="148"/>
        <v>12544.12</v>
      </c>
      <c r="R123" s="2">
        <f t="shared" si="148"/>
        <v>3061.5</v>
      </c>
      <c r="S123" s="2">
        <f t="shared" si="148"/>
        <v>118447</v>
      </c>
      <c r="T123" s="2">
        <f t="shared" si="148"/>
        <v>0</v>
      </c>
      <c r="U123" s="2">
        <f>AH123</f>
        <v>1892.74346055</v>
      </c>
      <c r="V123" s="2">
        <f>AI123</f>
        <v>37.012143624999993</v>
      </c>
      <c r="W123" s="2">
        <f>ROUND(AJ123,2)</f>
        <v>0</v>
      </c>
      <c r="X123" s="2">
        <f>ROUND(AK123,2)</f>
        <v>115798.38</v>
      </c>
      <c r="Y123" s="2">
        <f>ROUND(AL123,2)</f>
        <v>64855.34</v>
      </c>
      <c r="Z123" s="2"/>
      <c r="AA123" s="2"/>
      <c r="AB123" s="2">
        <f>ROUND(SUMIF(AA28:AA121,"=16630606",O28:O121),2)</f>
        <v>1136087.25</v>
      </c>
      <c r="AC123" s="2">
        <f>ROUND(SUMIF(AA28:AA121,"=16630606",P28:P121),2)</f>
        <v>1005096.13</v>
      </c>
      <c r="AD123" s="2">
        <f>ROUND(SUMIF(AA28:AA121,"=16630606",Q28:Q121),2)</f>
        <v>12544.12</v>
      </c>
      <c r="AE123" s="2">
        <f>ROUND(SUMIF(AA28:AA121,"=16630606",R28:R121),2)</f>
        <v>3061.5</v>
      </c>
      <c r="AF123" s="2">
        <f>ROUND(SUMIF(AA28:AA121,"=16630606",S28:S121),2)</f>
        <v>118447</v>
      </c>
      <c r="AG123" s="2">
        <f>ROUND(SUMIF(AA28:AA121,"=16630606",T28:T121),2)</f>
        <v>0</v>
      </c>
      <c r="AH123" s="2">
        <f>SUMIF(AA28:AA121,"=16630606",U28:U121)</f>
        <v>1892.74346055</v>
      </c>
      <c r="AI123" s="2">
        <f>SUMIF(AA28:AA121,"=16630606",V28:V121)</f>
        <v>37.012143624999993</v>
      </c>
      <c r="AJ123" s="2">
        <f>ROUND(SUMIF(AA28:AA121,"=16630606",W28:W121),2)</f>
        <v>0</v>
      </c>
      <c r="AK123" s="2">
        <f>ROUND(SUMIF(AA28:AA121,"=16630606",X28:X121),2)</f>
        <v>115798.38</v>
      </c>
      <c r="AL123" s="2">
        <f>ROUND(SUMIF(AA28:AA121,"=16630606",Y28:Y121),2)</f>
        <v>64855.34</v>
      </c>
      <c r="AM123" s="2"/>
      <c r="AN123" s="2"/>
      <c r="AO123" s="2">
        <f t="shared" ref="AO123:BC123" si="149">ROUND(BX123,2)</f>
        <v>0</v>
      </c>
      <c r="AP123" s="2">
        <f t="shared" si="149"/>
        <v>0</v>
      </c>
      <c r="AQ123" s="2">
        <f t="shared" si="149"/>
        <v>0</v>
      </c>
      <c r="AR123" s="2">
        <f t="shared" si="149"/>
        <v>1323088.1499999999</v>
      </c>
      <c r="AS123" s="2">
        <f t="shared" si="149"/>
        <v>1323088.1499999999</v>
      </c>
      <c r="AT123" s="2">
        <f t="shared" si="149"/>
        <v>0</v>
      </c>
      <c r="AU123" s="2">
        <f t="shared" si="149"/>
        <v>0</v>
      </c>
      <c r="AV123" s="2">
        <f t="shared" si="149"/>
        <v>1005096.13</v>
      </c>
      <c r="AW123" s="2">
        <f t="shared" si="149"/>
        <v>1005096.13</v>
      </c>
      <c r="AX123" s="2">
        <f t="shared" si="149"/>
        <v>0</v>
      </c>
      <c r="AY123" s="2">
        <f t="shared" si="149"/>
        <v>1005096.13</v>
      </c>
      <c r="AZ123" s="2">
        <f t="shared" si="149"/>
        <v>0</v>
      </c>
      <c r="BA123" s="2">
        <f t="shared" si="149"/>
        <v>0</v>
      </c>
      <c r="BB123" s="2">
        <f t="shared" si="149"/>
        <v>0</v>
      </c>
      <c r="BC123" s="2">
        <f t="shared" si="149"/>
        <v>0</v>
      </c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>
        <f>ROUND(SUMIF(AA28:AA121,"=16630606",FQ28:FQ121),2)</f>
        <v>0</v>
      </c>
      <c r="BY123" s="2">
        <f>ROUND(SUMIF(AA28:AA121,"=16630606",FR28:FR121),2)</f>
        <v>0</v>
      </c>
      <c r="BZ123" s="2">
        <f>ROUND(SUMIF(AA28:AA121,"=16630606",GL28:GL121),2)</f>
        <v>0</v>
      </c>
      <c r="CA123" s="2">
        <f>ROUND(SUMIF(AA28:AA121,"=16630606",GM28:GM121),2)</f>
        <v>1323088.1499999999</v>
      </c>
      <c r="CB123" s="2">
        <f>ROUND(SUMIF(AA28:AA121,"=16630606",GN28:GN121),2)</f>
        <v>1323088.1499999999</v>
      </c>
      <c r="CC123" s="2">
        <f>ROUND(SUMIF(AA28:AA121,"=16630606",GO28:GO121),2)</f>
        <v>0</v>
      </c>
      <c r="CD123" s="2">
        <f>ROUND(SUMIF(AA28:AA121,"=16630606",GP28:GP121),2)</f>
        <v>0</v>
      </c>
      <c r="CE123" s="2">
        <f>AC123-BX123</f>
        <v>1005096.13</v>
      </c>
      <c r="CF123" s="2">
        <f>AC123-BY123</f>
        <v>1005096.13</v>
      </c>
      <c r="CG123" s="2">
        <f>BX123-BZ123</f>
        <v>0</v>
      </c>
      <c r="CH123" s="2">
        <f>AC123-BX123-BY123+BZ123</f>
        <v>1005096.13</v>
      </c>
      <c r="CI123" s="2">
        <f>BY123-BZ123</f>
        <v>0</v>
      </c>
      <c r="CJ123" s="2">
        <f>ROUND(SUMIF(AA28:AA121,"=16630606",GX28:GX121),2)</f>
        <v>0</v>
      </c>
      <c r="CK123" s="2">
        <f>ROUND(SUMIF(AA28:AA121,"=16630606",GY28:GY121),2)</f>
        <v>0</v>
      </c>
      <c r="CL123" s="2">
        <f>ROUND(SUMIF(AA28:AA121,"=16630606",GZ28:GZ121),2)</f>
        <v>0</v>
      </c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  <c r="FD123" s="3"/>
      <c r="FE123" s="3"/>
      <c r="FF123" s="3"/>
      <c r="FG123" s="3"/>
      <c r="FH123" s="3"/>
      <c r="FI123" s="3"/>
      <c r="FJ123" s="3"/>
      <c r="FK123" s="3"/>
      <c r="FL123" s="3"/>
      <c r="FM123" s="3"/>
      <c r="FN123" s="3"/>
      <c r="FO123" s="3"/>
      <c r="FP123" s="3"/>
      <c r="FQ123" s="3"/>
      <c r="FR123" s="3"/>
      <c r="FS123" s="3"/>
      <c r="FT123" s="3"/>
      <c r="FU123" s="3"/>
      <c r="FV123" s="3"/>
      <c r="FW123" s="3"/>
      <c r="FX123" s="3"/>
      <c r="FY123" s="3"/>
      <c r="FZ123" s="3"/>
      <c r="GA123" s="3"/>
      <c r="GB123" s="3"/>
      <c r="GC123" s="3"/>
      <c r="GD123" s="3"/>
      <c r="GE123" s="3"/>
      <c r="GF123" s="3"/>
      <c r="GG123" s="3"/>
      <c r="GH123" s="3"/>
      <c r="GI123" s="3"/>
      <c r="GJ123" s="3"/>
      <c r="GK123" s="3"/>
      <c r="GL123" s="3"/>
      <c r="GM123" s="3"/>
      <c r="GN123" s="3"/>
      <c r="GO123" s="3"/>
      <c r="GP123" s="3"/>
      <c r="GQ123" s="3"/>
      <c r="GR123" s="3"/>
      <c r="GS123" s="3"/>
      <c r="GT123" s="3"/>
      <c r="GU123" s="3"/>
      <c r="GV123" s="3"/>
      <c r="GW123" s="3"/>
      <c r="GX123" s="3">
        <v>0</v>
      </c>
    </row>
    <row r="125" spans="1:245" x14ac:dyDescent="0.2">
      <c r="A125" s="4">
        <v>50</v>
      </c>
      <c r="B125" s="4">
        <v>0</v>
      </c>
      <c r="C125" s="4">
        <v>0</v>
      </c>
      <c r="D125" s="4">
        <v>1</v>
      </c>
      <c r="E125" s="4">
        <v>201</v>
      </c>
      <c r="F125" s="4">
        <f>ROUND(Source!O123,O125)</f>
        <v>1136087.25</v>
      </c>
      <c r="G125" s="4" t="s">
        <v>428</v>
      </c>
      <c r="H125" s="4" t="s">
        <v>429</v>
      </c>
      <c r="I125" s="4"/>
      <c r="J125" s="4"/>
      <c r="K125" s="4">
        <v>201</v>
      </c>
      <c r="L125" s="4">
        <v>1</v>
      </c>
      <c r="M125" s="4">
        <v>3</v>
      </c>
      <c r="N125" s="4" t="s">
        <v>6</v>
      </c>
      <c r="O125" s="4">
        <v>2</v>
      </c>
      <c r="P125" s="4"/>
      <c r="Q125" s="4"/>
      <c r="R125" s="4"/>
      <c r="S125" s="4"/>
      <c r="T125" s="4"/>
      <c r="U125" s="4"/>
      <c r="V125" s="4"/>
      <c r="W125" s="4"/>
    </row>
    <row r="126" spans="1:245" x14ac:dyDescent="0.2">
      <c r="A126" s="4">
        <v>50</v>
      </c>
      <c r="B126" s="4">
        <v>0</v>
      </c>
      <c r="C126" s="4">
        <v>0</v>
      </c>
      <c r="D126" s="4">
        <v>1</v>
      </c>
      <c r="E126" s="4">
        <v>202</v>
      </c>
      <c r="F126" s="4">
        <f>ROUND(Source!P123,O126)</f>
        <v>1005096.13</v>
      </c>
      <c r="G126" s="4" t="s">
        <v>430</v>
      </c>
      <c r="H126" s="4" t="s">
        <v>431</v>
      </c>
      <c r="I126" s="4"/>
      <c r="J126" s="4"/>
      <c r="K126" s="4">
        <v>202</v>
      </c>
      <c r="L126" s="4">
        <v>2</v>
      </c>
      <c r="M126" s="4">
        <v>3</v>
      </c>
      <c r="N126" s="4" t="s">
        <v>6</v>
      </c>
      <c r="O126" s="4">
        <v>2</v>
      </c>
      <c r="P126" s="4"/>
      <c r="Q126" s="4"/>
      <c r="R126" s="4"/>
      <c r="S126" s="4"/>
      <c r="T126" s="4"/>
      <c r="U126" s="4"/>
      <c r="V126" s="4"/>
      <c r="W126" s="4"/>
    </row>
    <row r="127" spans="1:245" x14ac:dyDescent="0.2">
      <c r="A127" s="4">
        <v>50</v>
      </c>
      <c r="B127" s="4">
        <v>0</v>
      </c>
      <c r="C127" s="4">
        <v>0</v>
      </c>
      <c r="D127" s="4">
        <v>1</v>
      </c>
      <c r="E127" s="4">
        <v>222</v>
      </c>
      <c r="F127" s="4">
        <f>ROUND(Source!AO123,O127)</f>
        <v>0</v>
      </c>
      <c r="G127" s="4" t="s">
        <v>432</v>
      </c>
      <c r="H127" s="4" t="s">
        <v>433</v>
      </c>
      <c r="I127" s="4"/>
      <c r="J127" s="4"/>
      <c r="K127" s="4">
        <v>222</v>
      </c>
      <c r="L127" s="4">
        <v>3</v>
      </c>
      <c r="M127" s="4">
        <v>3</v>
      </c>
      <c r="N127" s="4" t="s">
        <v>6</v>
      </c>
      <c r="O127" s="4">
        <v>2</v>
      </c>
      <c r="P127" s="4"/>
      <c r="Q127" s="4"/>
      <c r="R127" s="4"/>
      <c r="S127" s="4"/>
      <c r="T127" s="4"/>
      <c r="U127" s="4"/>
      <c r="V127" s="4"/>
      <c r="W127" s="4"/>
    </row>
    <row r="128" spans="1:245" x14ac:dyDescent="0.2">
      <c r="A128" s="4">
        <v>50</v>
      </c>
      <c r="B128" s="4">
        <v>0</v>
      </c>
      <c r="C128" s="4">
        <v>0</v>
      </c>
      <c r="D128" s="4">
        <v>1</v>
      </c>
      <c r="E128" s="4">
        <v>225</v>
      </c>
      <c r="F128" s="4">
        <f>ROUND(Source!AV123,O128)</f>
        <v>1005096.13</v>
      </c>
      <c r="G128" s="4" t="s">
        <v>434</v>
      </c>
      <c r="H128" s="4" t="s">
        <v>435</v>
      </c>
      <c r="I128" s="4"/>
      <c r="J128" s="4"/>
      <c r="K128" s="4">
        <v>225</v>
      </c>
      <c r="L128" s="4">
        <v>4</v>
      </c>
      <c r="M128" s="4">
        <v>3</v>
      </c>
      <c r="N128" s="4" t="s">
        <v>6</v>
      </c>
      <c r="O128" s="4">
        <v>2</v>
      </c>
      <c r="P128" s="4"/>
      <c r="Q128" s="4"/>
      <c r="R128" s="4"/>
      <c r="S128" s="4"/>
      <c r="T128" s="4"/>
      <c r="U128" s="4"/>
      <c r="V128" s="4"/>
      <c r="W128" s="4"/>
    </row>
    <row r="129" spans="1:23" x14ac:dyDescent="0.2">
      <c r="A129" s="4">
        <v>50</v>
      </c>
      <c r="B129" s="4">
        <v>0</v>
      </c>
      <c r="C129" s="4">
        <v>0</v>
      </c>
      <c r="D129" s="4">
        <v>1</v>
      </c>
      <c r="E129" s="4">
        <v>226</v>
      </c>
      <c r="F129" s="4">
        <f>ROUND(Source!AW123,O129)</f>
        <v>1005096.13</v>
      </c>
      <c r="G129" s="4" t="s">
        <v>436</v>
      </c>
      <c r="H129" s="4" t="s">
        <v>437</v>
      </c>
      <c r="I129" s="4"/>
      <c r="J129" s="4"/>
      <c r="K129" s="4">
        <v>226</v>
      </c>
      <c r="L129" s="4">
        <v>5</v>
      </c>
      <c r="M129" s="4">
        <v>3</v>
      </c>
      <c r="N129" s="4" t="s">
        <v>6</v>
      </c>
      <c r="O129" s="4">
        <v>2</v>
      </c>
      <c r="P129" s="4"/>
      <c r="Q129" s="4"/>
      <c r="R129" s="4"/>
      <c r="S129" s="4"/>
      <c r="T129" s="4"/>
      <c r="U129" s="4"/>
      <c r="V129" s="4"/>
      <c r="W129" s="4"/>
    </row>
    <row r="130" spans="1:23" x14ac:dyDescent="0.2">
      <c r="A130" s="4">
        <v>50</v>
      </c>
      <c r="B130" s="4">
        <v>0</v>
      </c>
      <c r="C130" s="4">
        <v>0</v>
      </c>
      <c r="D130" s="4">
        <v>1</v>
      </c>
      <c r="E130" s="4">
        <v>227</v>
      </c>
      <c r="F130" s="4">
        <f>ROUND(Source!AX123,O130)</f>
        <v>0</v>
      </c>
      <c r="G130" s="4" t="s">
        <v>438</v>
      </c>
      <c r="H130" s="4" t="s">
        <v>439</v>
      </c>
      <c r="I130" s="4"/>
      <c r="J130" s="4"/>
      <c r="K130" s="4">
        <v>227</v>
      </c>
      <c r="L130" s="4">
        <v>6</v>
      </c>
      <c r="M130" s="4">
        <v>3</v>
      </c>
      <c r="N130" s="4" t="s">
        <v>6</v>
      </c>
      <c r="O130" s="4">
        <v>2</v>
      </c>
      <c r="P130" s="4"/>
      <c r="Q130" s="4"/>
      <c r="R130" s="4"/>
      <c r="S130" s="4"/>
      <c r="T130" s="4"/>
      <c r="U130" s="4"/>
      <c r="V130" s="4"/>
      <c r="W130" s="4"/>
    </row>
    <row r="131" spans="1:23" x14ac:dyDescent="0.2">
      <c r="A131" s="4">
        <v>50</v>
      </c>
      <c r="B131" s="4">
        <v>0</v>
      </c>
      <c r="C131" s="4">
        <v>0</v>
      </c>
      <c r="D131" s="4">
        <v>1</v>
      </c>
      <c r="E131" s="4">
        <v>228</v>
      </c>
      <c r="F131" s="4">
        <f>ROUND(Source!AY123,O131)</f>
        <v>1005096.13</v>
      </c>
      <c r="G131" s="4" t="s">
        <v>440</v>
      </c>
      <c r="H131" s="4" t="s">
        <v>441</v>
      </c>
      <c r="I131" s="4"/>
      <c r="J131" s="4"/>
      <c r="K131" s="4">
        <v>228</v>
      </c>
      <c r="L131" s="4">
        <v>7</v>
      </c>
      <c r="M131" s="4">
        <v>3</v>
      </c>
      <c r="N131" s="4" t="s">
        <v>6</v>
      </c>
      <c r="O131" s="4">
        <v>2</v>
      </c>
      <c r="P131" s="4"/>
      <c r="Q131" s="4"/>
      <c r="R131" s="4"/>
      <c r="S131" s="4"/>
      <c r="T131" s="4"/>
      <c r="U131" s="4"/>
      <c r="V131" s="4"/>
      <c r="W131" s="4"/>
    </row>
    <row r="132" spans="1:23" x14ac:dyDescent="0.2">
      <c r="A132" s="4">
        <v>50</v>
      </c>
      <c r="B132" s="4">
        <v>0</v>
      </c>
      <c r="C132" s="4">
        <v>0</v>
      </c>
      <c r="D132" s="4">
        <v>1</v>
      </c>
      <c r="E132" s="4">
        <v>216</v>
      </c>
      <c r="F132" s="4">
        <f>ROUND(Source!AP123,O132)</f>
        <v>0</v>
      </c>
      <c r="G132" s="4" t="s">
        <v>442</v>
      </c>
      <c r="H132" s="4" t="s">
        <v>443</v>
      </c>
      <c r="I132" s="4"/>
      <c r="J132" s="4"/>
      <c r="K132" s="4">
        <v>216</v>
      </c>
      <c r="L132" s="4">
        <v>8</v>
      </c>
      <c r="M132" s="4">
        <v>3</v>
      </c>
      <c r="N132" s="4" t="s">
        <v>6</v>
      </c>
      <c r="O132" s="4">
        <v>2</v>
      </c>
      <c r="P132" s="4"/>
      <c r="Q132" s="4"/>
      <c r="R132" s="4"/>
      <c r="S132" s="4"/>
      <c r="T132" s="4"/>
      <c r="U132" s="4"/>
      <c r="V132" s="4"/>
      <c r="W132" s="4"/>
    </row>
    <row r="133" spans="1:23" x14ac:dyDescent="0.2">
      <c r="A133" s="4">
        <v>50</v>
      </c>
      <c r="B133" s="4">
        <v>0</v>
      </c>
      <c r="C133" s="4">
        <v>0</v>
      </c>
      <c r="D133" s="4">
        <v>1</v>
      </c>
      <c r="E133" s="4">
        <v>223</v>
      </c>
      <c r="F133" s="4">
        <f>ROUND(Source!AQ123,O133)</f>
        <v>0</v>
      </c>
      <c r="G133" s="4" t="s">
        <v>444</v>
      </c>
      <c r="H133" s="4" t="s">
        <v>445</v>
      </c>
      <c r="I133" s="4"/>
      <c r="J133" s="4"/>
      <c r="K133" s="4">
        <v>223</v>
      </c>
      <c r="L133" s="4">
        <v>9</v>
      </c>
      <c r="M133" s="4">
        <v>3</v>
      </c>
      <c r="N133" s="4" t="s">
        <v>6</v>
      </c>
      <c r="O133" s="4">
        <v>2</v>
      </c>
      <c r="P133" s="4"/>
      <c r="Q133" s="4"/>
      <c r="R133" s="4"/>
      <c r="S133" s="4"/>
      <c r="T133" s="4"/>
      <c r="U133" s="4"/>
      <c r="V133" s="4"/>
      <c r="W133" s="4"/>
    </row>
    <row r="134" spans="1:23" x14ac:dyDescent="0.2">
      <c r="A134" s="4">
        <v>50</v>
      </c>
      <c r="B134" s="4">
        <v>0</v>
      </c>
      <c r="C134" s="4">
        <v>0</v>
      </c>
      <c r="D134" s="4">
        <v>1</v>
      </c>
      <c r="E134" s="4">
        <v>229</v>
      </c>
      <c r="F134" s="4">
        <f>ROUND(Source!AZ123,O134)</f>
        <v>0</v>
      </c>
      <c r="G134" s="4" t="s">
        <v>446</v>
      </c>
      <c r="H134" s="4" t="s">
        <v>447</v>
      </c>
      <c r="I134" s="4"/>
      <c r="J134" s="4"/>
      <c r="K134" s="4">
        <v>229</v>
      </c>
      <c r="L134" s="4">
        <v>10</v>
      </c>
      <c r="M134" s="4">
        <v>3</v>
      </c>
      <c r="N134" s="4" t="s">
        <v>6</v>
      </c>
      <c r="O134" s="4">
        <v>2</v>
      </c>
      <c r="P134" s="4"/>
      <c r="Q134" s="4"/>
      <c r="R134" s="4"/>
      <c r="S134" s="4"/>
      <c r="T134" s="4"/>
      <c r="U134" s="4"/>
      <c r="V134" s="4"/>
      <c r="W134" s="4"/>
    </row>
    <row r="135" spans="1:23" x14ac:dyDescent="0.2">
      <c r="A135" s="4">
        <v>50</v>
      </c>
      <c r="B135" s="4">
        <v>0</v>
      </c>
      <c r="C135" s="4">
        <v>0</v>
      </c>
      <c r="D135" s="4">
        <v>1</v>
      </c>
      <c r="E135" s="4">
        <v>203</v>
      </c>
      <c r="F135" s="4">
        <f>ROUND(Source!Q123,O135)</f>
        <v>12544.12</v>
      </c>
      <c r="G135" s="4" t="s">
        <v>448</v>
      </c>
      <c r="H135" s="4" t="s">
        <v>449</v>
      </c>
      <c r="I135" s="4"/>
      <c r="J135" s="4"/>
      <c r="K135" s="4">
        <v>203</v>
      </c>
      <c r="L135" s="4">
        <v>11</v>
      </c>
      <c r="M135" s="4">
        <v>3</v>
      </c>
      <c r="N135" s="4" t="s">
        <v>6</v>
      </c>
      <c r="O135" s="4">
        <v>2</v>
      </c>
      <c r="P135" s="4"/>
      <c r="Q135" s="4"/>
      <c r="R135" s="4"/>
      <c r="S135" s="4"/>
      <c r="T135" s="4"/>
      <c r="U135" s="4"/>
      <c r="V135" s="4"/>
      <c r="W135" s="4"/>
    </row>
    <row r="136" spans="1:23" x14ac:dyDescent="0.2">
      <c r="A136" s="4">
        <v>50</v>
      </c>
      <c r="B136" s="4">
        <v>0</v>
      </c>
      <c r="C136" s="4">
        <v>0</v>
      </c>
      <c r="D136" s="4">
        <v>1</v>
      </c>
      <c r="E136" s="4">
        <v>231</v>
      </c>
      <c r="F136" s="4">
        <f>ROUND(Source!BB123,O136)</f>
        <v>0</v>
      </c>
      <c r="G136" s="4" t="s">
        <v>450</v>
      </c>
      <c r="H136" s="4" t="s">
        <v>451</v>
      </c>
      <c r="I136" s="4"/>
      <c r="J136" s="4"/>
      <c r="K136" s="4">
        <v>231</v>
      </c>
      <c r="L136" s="4">
        <v>12</v>
      </c>
      <c r="M136" s="4">
        <v>3</v>
      </c>
      <c r="N136" s="4" t="s">
        <v>6</v>
      </c>
      <c r="O136" s="4">
        <v>2</v>
      </c>
      <c r="P136" s="4"/>
      <c r="Q136" s="4"/>
      <c r="R136" s="4"/>
      <c r="S136" s="4"/>
      <c r="T136" s="4"/>
      <c r="U136" s="4"/>
      <c r="V136" s="4"/>
      <c r="W136" s="4"/>
    </row>
    <row r="137" spans="1:23" x14ac:dyDescent="0.2">
      <c r="A137" s="4">
        <v>50</v>
      </c>
      <c r="B137" s="4">
        <v>0</v>
      </c>
      <c r="C137" s="4">
        <v>0</v>
      </c>
      <c r="D137" s="4">
        <v>1</v>
      </c>
      <c r="E137" s="4">
        <v>204</v>
      </c>
      <c r="F137" s="4">
        <f>ROUND(Source!R123,O137)</f>
        <v>3061.5</v>
      </c>
      <c r="G137" s="4" t="s">
        <v>452</v>
      </c>
      <c r="H137" s="4" t="s">
        <v>453</v>
      </c>
      <c r="I137" s="4"/>
      <c r="J137" s="4"/>
      <c r="K137" s="4">
        <v>204</v>
      </c>
      <c r="L137" s="4">
        <v>13</v>
      </c>
      <c r="M137" s="4">
        <v>3</v>
      </c>
      <c r="N137" s="4" t="s">
        <v>6</v>
      </c>
      <c r="O137" s="4">
        <v>2</v>
      </c>
      <c r="P137" s="4"/>
      <c r="Q137" s="4"/>
      <c r="R137" s="4"/>
      <c r="S137" s="4"/>
      <c r="T137" s="4"/>
      <c r="U137" s="4"/>
      <c r="V137" s="4"/>
      <c r="W137" s="4"/>
    </row>
    <row r="138" spans="1:23" x14ac:dyDescent="0.2">
      <c r="A138" s="4">
        <v>50</v>
      </c>
      <c r="B138" s="4">
        <v>0</v>
      </c>
      <c r="C138" s="4">
        <v>0</v>
      </c>
      <c r="D138" s="4">
        <v>1</v>
      </c>
      <c r="E138" s="4">
        <v>205</v>
      </c>
      <c r="F138" s="4">
        <f>ROUND(Source!S123,O138)</f>
        <v>118447</v>
      </c>
      <c r="G138" s="4" t="s">
        <v>454</v>
      </c>
      <c r="H138" s="4" t="s">
        <v>455</v>
      </c>
      <c r="I138" s="4"/>
      <c r="J138" s="4"/>
      <c r="K138" s="4">
        <v>205</v>
      </c>
      <c r="L138" s="4">
        <v>14</v>
      </c>
      <c r="M138" s="4">
        <v>3</v>
      </c>
      <c r="N138" s="4" t="s">
        <v>6</v>
      </c>
      <c r="O138" s="4">
        <v>2</v>
      </c>
      <c r="P138" s="4"/>
      <c r="Q138" s="4"/>
      <c r="R138" s="4"/>
      <c r="S138" s="4"/>
      <c r="T138" s="4"/>
      <c r="U138" s="4"/>
      <c r="V138" s="4"/>
      <c r="W138" s="4"/>
    </row>
    <row r="139" spans="1:23" x14ac:dyDescent="0.2">
      <c r="A139" s="4">
        <v>50</v>
      </c>
      <c r="B139" s="4">
        <v>0</v>
      </c>
      <c r="C139" s="4">
        <v>0</v>
      </c>
      <c r="D139" s="4">
        <v>1</v>
      </c>
      <c r="E139" s="4">
        <v>232</v>
      </c>
      <c r="F139" s="4">
        <f>ROUND(Source!BC123,O139)</f>
        <v>0</v>
      </c>
      <c r="G139" s="4" t="s">
        <v>456</v>
      </c>
      <c r="H139" s="4" t="s">
        <v>457</v>
      </c>
      <c r="I139" s="4"/>
      <c r="J139" s="4"/>
      <c r="K139" s="4">
        <v>232</v>
      </c>
      <c r="L139" s="4">
        <v>15</v>
      </c>
      <c r="M139" s="4">
        <v>3</v>
      </c>
      <c r="N139" s="4" t="s">
        <v>6</v>
      </c>
      <c r="O139" s="4">
        <v>2</v>
      </c>
      <c r="P139" s="4"/>
      <c r="Q139" s="4"/>
      <c r="R139" s="4"/>
      <c r="S139" s="4"/>
      <c r="T139" s="4"/>
      <c r="U139" s="4"/>
      <c r="V139" s="4"/>
      <c r="W139" s="4"/>
    </row>
    <row r="140" spans="1:23" x14ac:dyDescent="0.2">
      <c r="A140" s="4">
        <v>50</v>
      </c>
      <c r="B140" s="4">
        <v>0</v>
      </c>
      <c r="C140" s="4">
        <v>0</v>
      </c>
      <c r="D140" s="4">
        <v>1</v>
      </c>
      <c r="E140" s="4">
        <v>214</v>
      </c>
      <c r="F140" s="4">
        <f>ROUND(Source!AS123,O140)</f>
        <v>1323088.1499999999</v>
      </c>
      <c r="G140" s="4" t="s">
        <v>458</v>
      </c>
      <c r="H140" s="4" t="s">
        <v>459</v>
      </c>
      <c r="I140" s="4"/>
      <c r="J140" s="4"/>
      <c r="K140" s="4">
        <v>214</v>
      </c>
      <c r="L140" s="4">
        <v>16</v>
      </c>
      <c r="M140" s="4">
        <v>3</v>
      </c>
      <c r="N140" s="4" t="s">
        <v>6</v>
      </c>
      <c r="O140" s="4">
        <v>2</v>
      </c>
      <c r="P140" s="4"/>
      <c r="Q140" s="4"/>
      <c r="R140" s="4"/>
      <c r="S140" s="4"/>
      <c r="T140" s="4"/>
      <c r="U140" s="4"/>
      <c r="V140" s="4"/>
      <c r="W140" s="4"/>
    </row>
    <row r="141" spans="1:23" x14ac:dyDescent="0.2">
      <c r="A141" s="4">
        <v>50</v>
      </c>
      <c r="B141" s="4">
        <v>0</v>
      </c>
      <c r="C141" s="4">
        <v>0</v>
      </c>
      <c r="D141" s="4">
        <v>1</v>
      </c>
      <c r="E141" s="4">
        <v>215</v>
      </c>
      <c r="F141" s="4">
        <f>ROUND(Source!AT123,O141)</f>
        <v>0</v>
      </c>
      <c r="G141" s="4" t="s">
        <v>460</v>
      </c>
      <c r="H141" s="4" t="s">
        <v>461</v>
      </c>
      <c r="I141" s="4"/>
      <c r="J141" s="4"/>
      <c r="K141" s="4">
        <v>215</v>
      </c>
      <c r="L141" s="4">
        <v>17</v>
      </c>
      <c r="M141" s="4">
        <v>3</v>
      </c>
      <c r="N141" s="4" t="s">
        <v>6</v>
      </c>
      <c r="O141" s="4">
        <v>2</v>
      </c>
      <c r="P141" s="4"/>
      <c r="Q141" s="4"/>
      <c r="R141" s="4"/>
      <c r="S141" s="4"/>
      <c r="T141" s="4"/>
      <c r="U141" s="4"/>
      <c r="V141" s="4"/>
      <c r="W141" s="4"/>
    </row>
    <row r="142" spans="1:23" x14ac:dyDescent="0.2">
      <c r="A142" s="4">
        <v>50</v>
      </c>
      <c r="B142" s="4">
        <v>0</v>
      </c>
      <c r="C142" s="4">
        <v>0</v>
      </c>
      <c r="D142" s="4">
        <v>1</v>
      </c>
      <c r="E142" s="4">
        <v>217</v>
      </c>
      <c r="F142" s="4">
        <f>ROUND(Source!AU123,O142)</f>
        <v>0</v>
      </c>
      <c r="G142" s="4" t="s">
        <v>462</v>
      </c>
      <c r="H142" s="4" t="s">
        <v>463</v>
      </c>
      <c r="I142" s="4"/>
      <c r="J142" s="4"/>
      <c r="K142" s="4">
        <v>217</v>
      </c>
      <c r="L142" s="4">
        <v>18</v>
      </c>
      <c r="M142" s="4">
        <v>3</v>
      </c>
      <c r="N142" s="4" t="s">
        <v>6</v>
      </c>
      <c r="O142" s="4">
        <v>2</v>
      </c>
      <c r="P142" s="4"/>
      <c r="Q142" s="4"/>
      <c r="R142" s="4"/>
      <c r="S142" s="4"/>
      <c r="T142" s="4"/>
      <c r="U142" s="4"/>
      <c r="V142" s="4"/>
      <c r="W142" s="4"/>
    </row>
    <row r="143" spans="1:23" x14ac:dyDescent="0.2">
      <c r="A143" s="4">
        <v>50</v>
      </c>
      <c r="B143" s="4">
        <v>0</v>
      </c>
      <c r="C143" s="4">
        <v>0</v>
      </c>
      <c r="D143" s="4">
        <v>1</v>
      </c>
      <c r="E143" s="4">
        <v>230</v>
      </c>
      <c r="F143" s="4">
        <f>ROUND(Source!BA123,O143)</f>
        <v>0</v>
      </c>
      <c r="G143" s="4" t="s">
        <v>464</v>
      </c>
      <c r="H143" s="4" t="s">
        <v>465</v>
      </c>
      <c r="I143" s="4"/>
      <c r="J143" s="4"/>
      <c r="K143" s="4">
        <v>230</v>
      </c>
      <c r="L143" s="4">
        <v>19</v>
      </c>
      <c r="M143" s="4">
        <v>3</v>
      </c>
      <c r="N143" s="4" t="s">
        <v>6</v>
      </c>
      <c r="O143" s="4">
        <v>2</v>
      </c>
      <c r="P143" s="4"/>
      <c r="Q143" s="4"/>
      <c r="R143" s="4"/>
      <c r="S143" s="4"/>
      <c r="T143" s="4"/>
      <c r="U143" s="4"/>
      <c r="V143" s="4"/>
      <c r="W143" s="4"/>
    </row>
    <row r="144" spans="1:23" x14ac:dyDescent="0.2">
      <c r="A144" s="4">
        <v>50</v>
      </c>
      <c r="B144" s="4">
        <v>0</v>
      </c>
      <c r="C144" s="4">
        <v>0</v>
      </c>
      <c r="D144" s="4">
        <v>1</v>
      </c>
      <c r="E144" s="4">
        <v>206</v>
      </c>
      <c r="F144" s="4">
        <f>ROUND(Source!T123,O144)</f>
        <v>0</v>
      </c>
      <c r="G144" s="4" t="s">
        <v>466</v>
      </c>
      <c r="H144" s="4" t="s">
        <v>467</v>
      </c>
      <c r="I144" s="4"/>
      <c r="J144" s="4"/>
      <c r="K144" s="4">
        <v>206</v>
      </c>
      <c r="L144" s="4">
        <v>20</v>
      </c>
      <c r="M144" s="4">
        <v>3</v>
      </c>
      <c r="N144" s="4" t="s">
        <v>6</v>
      </c>
      <c r="O144" s="4">
        <v>2</v>
      </c>
      <c r="P144" s="4"/>
      <c r="Q144" s="4"/>
      <c r="R144" s="4"/>
      <c r="S144" s="4"/>
      <c r="T144" s="4"/>
      <c r="U144" s="4"/>
      <c r="V144" s="4"/>
      <c r="W144" s="4"/>
    </row>
    <row r="145" spans="1:245" x14ac:dyDescent="0.2">
      <c r="A145" s="4">
        <v>50</v>
      </c>
      <c r="B145" s="4">
        <v>0</v>
      </c>
      <c r="C145" s="4">
        <v>0</v>
      </c>
      <c r="D145" s="4">
        <v>1</v>
      </c>
      <c r="E145" s="4">
        <v>207</v>
      </c>
      <c r="F145" s="4">
        <f>Source!U123</f>
        <v>1892.74346055</v>
      </c>
      <c r="G145" s="4" t="s">
        <v>468</v>
      </c>
      <c r="H145" s="4" t="s">
        <v>469</v>
      </c>
      <c r="I145" s="4"/>
      <c r="J145" s="4"/>
      <c r="K145" s="4">
        <v>207</v>
      </c>
      <c r="L145" s="4">
        <v>21</v>
      </c>
      <c r="M145" s="4">
        <v>3</v>
      </c>
      <c r="N145" s="4" t="s">
        <v>6</v>
      </c>
      <c r="O145" s="4">
        <v>-1</v>
      </c>
      <c r="P145" s="4"/>
      <c r="Q145" s="4"/>
      <c r="R145" s="4"/>
      <c r="S145" s="4"/>
      <c r="T145" s="4"/>
      <c r="U145" s="4"/>
      <c r="V145" s="4"/>
      <c r="W145" s="4"/>
    </row>
    <row r="146" spans="1:245" x14ac:dyDescent="0.2">
      <c r="A146" s="4">
        <v>50</v>
      </c>
      <c r="B146" s="4">
        <v>0</v>
      </c>
      <c r="C146" s="4">
        <v>0</v>
      </c>
      <c r="D146" s="4">
        <v>1</v>
      </c>
      <c r="E146" s="4">
        <v>208</v>
      </c>
      <c r="F146" s="4">
        <f>Source!V123</f>
        <v>37.012143624999993</v>
      </c>
      <c r="G146" s="4" t="s">
        <v>470</v>
      </c>
      <c r="H146" s="4" t="s">
        <v>471</v>
      </c>
      <c r="I146" s="4"/>
      <c r="J146" s="4"/>
      <c r="K146" s="4">
        <v>208</v>
      </c>
      <c r="L146" s="4">
        <v>22</v>
      </c>
      <c r="M146" s="4">
        <v>3</v>
      </c>
      <c r="N146" s="4" t="s">
        <v>6</v>
      </c>
      <c r="O146" s="4">
        <v>-1</v>
      </c>
      <c r="P146" s="4"/>
      <c r="Q146" s="4"/>
      <c r="R146" s="4"/>
      <c r="S146" s="4"/>
      <c r="T146" s="4"/>
      <c r="U146" s="4"/>
      <c r="V146" s="4"/>
      <c r="W146" s="4"/>
    </row>
    <row r="147" spans="1:245" x14ac:dyDescent="0.2">
      <c r="A147" s="4">
        <v>50</v>
      </c>
      <c r="B147" s="4">
        <v>0</v>
      </c>
      <c r="C147" s="4">
        <v>0</v>
      </c>
      <c r="D147" s="4">
        <v>1</v>
      </c>
      <c r="E147" s="4">
        <v>209</v>
      </c>
      <c r="F147" s="4">
        <f>ROUND(Source!W123,O147)</f>
        <v>0</v>
      </c>
      <c r="G147" s="4" t="s">
        <v>472</v>
      </c>
      <c r="H147" s="4" t="s">
        <v>473</v>
      </c>
      <c r="I147" s="4"/>
      <c r="J147" s="4"/>
      <c r="K147" s="4">
        <v>209</v>
      </c>
      <c r="L147" s="4">
        <v>23</v>
      </c>
      <c r="M147" s="4">
        <v>3</v>
      </c>
      <c r="N147" s="4" t="s">
        <v>6</v>
      </c>
      <c r="O147" s="4">
        <v>2</v>
      </c>
      <c r="P147" s="4"/>
      <c r="Q147" s="4"/>
      <c r="R147" s="4"/>
      <c r="S147" s="4"/>
      <c r="T147" s="4"/>
      <c r="U147" s="4"/>
      <c r="V147" s="4"/>
      <c r="W147" s="4"/>
    </row>
    <row r="148" spans="1:245" x14ac:dyDescent="0.2">
      <c r="A148" s="4">
        <v>50</v>
      </c>
      <c r="B148" s="4">
        <v>0</v>
      </c>
      <c r="C148" s="4">
        <v>0</v>
      </c>
      <c r="D148" s="4">
        <v>1</v>
      </c>
      <c r="E148" s="4">
        <v>210</v>
      </c>
      <c r="F148" s="4">
        <f>ROUND(Source!X123,O148)</f>
        <v>115798.38</v>
      </c>
      <c r="G148" s="4" t="s">
        <v>474</v>
      </c>
      <c r="H148" s="4" t="s">
        <v>475</v>
      </c>
      <c r="I148" s="4"/>
      <c r="J148" s="4"/>
      <c r="K148" s="4">
        <v>210</v>
      </c>
      <c r="L148" s="4">
        <v>24</v>
      </c>
      <c r="M148" s="4">
        <v>3</v>
      </c>
      <c r="N148" s="4" t="s">
        <v>6</v>
      </c>
      <c r="O148" s="4">
        <v>2</v>
      </c>
      <c r="P148" s="4"/>
      <c r="Q148" s="4"/>
      <c r="R148" s="4"/>
      <c r="S148" s="4"/>
      <c r="T148" s="4"/>
      <c r="U148" s="4"/>
      <c r="V148" s="4"/>
      <c r="W148" s="4"/>
    </row>
    <row r="149" spans="1:245" x14ac:dyDescent="0.2">
      <c r="A149" s="4">
        <v>50</v>
      </c>
      <c r="B149" s="4">
        <v>0</v>
      </c>
      <c r="C149" s="4">
        <v>0</v>
      </c>
      <c r="D149" s="4">
        <v>1</v>
      </c>
      <c r="E149" s="4">
        <v>211</v>
      </c>
      <c r="F149" s="4">
        <f>ROUND(Source!Y123,O149)</f>
        <v>64855.34</v>
      </c>
      <c r="G149" s="4" t="s">
        <v>476</v>
      </c>
      <c r="H149" s="4" t="s">
        <v>477</v>
      </c>
      <c r="I149" s="4"/>
      <c r="J149" s="4"/>
      <c r="K149" s="4">
        <v>211</v>
      </c>
      <c r="L149" s="4">
        <v>25</v>
      </c>
      <c r="M149" s="4">
        <v>3</v>
      </c>
      <c r="N149" s="4" t="s">
        <v>6</v>
      </c>
      <c r="O149" s="4">
        <v>2</v>
      </c>
      <c r="P149" s="4"/>
      <c r="Q149" s="4"/>
      <c r="R149" s="4"/>
      <c r="S149" s="4"/>
      <c r="T149" s="4"/>
      <c r="U149" s="4"/>
      <c r="V149" s="4"/>
      <c r="W149" s="4"/>
    </row>
    <row r="150" spans="1:245" x14ac:dyDescent="0.2">
      <c r="A150" s="4">
        <v>50</v>
      </c>
      <c r="B150" s="4">
        <v>0</v>
      </c>
      <c r="C150" s="4">
        <v>0</v>
      </c>
      <c r="D150" s="4">
        <v>1</v>
      </c>
      <c r="E150" s="4">
        <v>0</v>
      </c>
      <c r="F150" s="4">
        <f>ROUND(Source!AR123,O150)</f>
        <v>1323088.1499999999</v>
      </c>
      <c r="G150" s="4" t="s">
        <v>478</v>
      </c>
      <c r="H150" s="4" t="s">
        <v>479</v>
      </c>
      <c r="I150" s="4"/>
      <c r="J150" s="4"/>
      <c r="K150" s="4">
        <v>224</v>
      </c>
      <c r="L150" s="4">
        <v>26</v>
      </c>
      <c r="M150" s="4">
        <v>3</v>
      </c>
      <c r="N150" s="4" t="s">
        <v>6</v>
      </c>
      <c r="O150" s="4">
        <v>2</v>
      </c>
      <c r="P150" s="4"/>
      <c r="Q150" s="4"/>
      <c r="R150" s="4"/>
      <c r="S150" s="4"/>
      <c r="T150" s="4"/>
      <c r="U150" s="4"/>
      <c r="V150" s="4"/>
      <c r="W150" s="4"/>
    </row>
    <row r="151" spans="1:245" x14ac:dyDescent="0.2">
      <c r="A151" s="4">
        <v>50</v>
      </c>
      <c r="B151" s="4">
        <v>1</v>
      </c>
      <c r="C151" s="4">
        <v>0</v>
      </c>
      <c r="D151" s="4">
        <v>2</v>
      </c>
      <c r="E151" s="4">
        <v>0</v>
      </c>
      <c r="F151" s="4">
        <f>ROUND(F150,O151)</f>
        <v>1323088.1499999999</v>
      </c>
      <c r="G151" s="4" t="s">
        <v>480</v>
      </c>
      <c r="H151" s="4" t="s">
        <v>478</v>
      </c>
      <c r="I151" s="4"/>
      <c r="J151" s="4"/>
      <c r="K151" s="4">
        <v>212</v>
      </c>
      <c r="L151" s="4">
        <v>27</v>
      </c>
      <c r="M151" s="4">
        <v>0</v>
      </c>
      <c r="N151" s="4" t="s">
        <v>6</v>
      </c>
      <c r="O151" s="4">
        <v>2</v>
      </c>
      <c r="P151" s="4"/>
      <c r="Q151" s="4"/>
      <c r="R151" s="4"/>
      <c r="S151" s="4"/>
      <c r="T151" s="4"/>
      <c r="U151" s="4"/>
      <c r="V151" s="4"/>
      <c r="W151" s="4"/>
    </row>
    <row r="152" spans="1:245" x14ac:dyDescent="0.2">
      <c r="A152" s="4">
        <v>50</v>
      </c>
      <c r="B152" s="4">
        <v>1</v>
      </c>
      <c r="C152" s="4">
        <v>0</v>
      </c>
      <c r="D152" s="4">
        <v>2</v>
      </c>
      <c r="E152" s="4">
        <v>0</v>
      </c>
      <c r="F152" s="4">
        <f>ROUND(F151*0.18,O152)</f>
        <v>238155.87</v>
      </c>
      <c r="G152" s="4" t="s">
        <v>481</v>
      </c>
      <c r="H152" s="4" t="s">
        <v>482</v>
      </c>
      <c r="I152" s="4"/>
      <c r="J152" s="4"/>
      <c r="K152" s="4">
        <v>212</v>
      </c>
      <c r="L152" s="4">
        <v>28</v>
      </c>
      <c r="M152" s="4">
        <v>0</v>
      </c>
      <c r="N152" s="4" t="s">
        <v>6</v>
      </c>
      <c r="O152" s="4">
        <v>2</v>
      </c>
      <c r="P152" s="4"/>
      <c r="Q152" s="4"/>
      <c r="R152" s="4"/>
      <c r="S152" s="4"/>
      <c r="T152" s="4"/>
      <c r="U152" s="4"/>
      <c r="V152" s="4"/>
      <c r="W152" s="4"/>
    </row>
    <row r="153" spans="1:245" x14ac:dyDescent="0.2">
      <c r="A153" s="4">
        <v>50</v>
      </c>
      <c r="B153" s="4">
        <v>1</v>
      </c>
      <c r="C153" s="4">
        <v>0</v>
      </c>
      <c r="D153" s="4">
        <v>2</v>
      </c>
      <c r="E153" s="4">
        <v>224</v>
      </c>
      <c r="F153" s="4">
        <f>ROUND(F151+F152,O153)</f>
        <v>1561244.02</v>
      </c>
      <c r="G153" s="4" t="s">
        <v>483</v>
      </c>
      <c r="H153" s="4" t="s">
        <v>484</v>
      </c>
      <c r="I153" s="4"/>
      <c r="J153" s="4"/>
      <c r="K153" s="4">
        <v>212</v>
      </c>
      <c r="L153" s="4">
        <v>29</v>
      </c>
      <c r="M153" s="4">
        <v>0</v>
      </c>
      <c r="N153" s="4" t="s">
        <v>6</v>
      </c>
      <c r="O153" s="4">
        <v>2</v>
      </c>
      <c r="P153" s="4"/>
      <c r="Q153" s="4"/>
      <c r="R153" s="4"/>
      <c r="S153" s="4"/>
      <c r="T153" s="4"/>
      <c r="U153" s="4"/>
      <c r="V153" s="4"/>
      <c r="W153" s="4"/>
    </row>
    <row r="155" spans="1:245" x14ac:dyDescent="0.2">
      <c r="A155" s="1">
        <v>4</v>
      </c>
      <c r="B155" s="1">
        <v>1</v>
      </c>
      <c r="C155" s="1"/>
      <c r="D155" s="1">
        <f>ROW(A212)</f>
        <v>212</v>
      </c>
      <c r="E155" s="1"/>
      <c r="F155" s="1" t="s">
        <v>13</v>
      </c>
      <c r="G155" s="1" t="s">
        <v>485</v>
      </c>
      <c r="H155" s="1" t="s">
        <v>6</v>
      </c>
      <c r="I155" s="1">
        <v>0</v>
      </c>
      <c r="J155" s="1"/>
      <c r="K155" s="1">
        <v>-1</v>
      </c>
      <c r="L155" s="1"/>
      <c r="M155" s="1"/>
      <c r="N155" s="1"/>
      <c r="O155" s="1"/>
      <c r="P155" s="1"/>
      <c r="Q155" s="1"/>
      <c r="R155" s="1"/>
      <c r="S155" s="1"/>
      <c r="T155" s="1"/>
      <c r="U155" s="1" t="s">
        <v>6</v>
      </c>
      <c r="V155" s="1">
        <v>0</v>
      </c>
      <c r="W155" s="1"/>
      <c r="X155" s="1"/>
      <c r="Y155" s="1"/>
      <c r="Z155" s="1"/>
      <c r="AA155" s="1"/>
      <c r="AB155" s="1" t="s">
        <v>6</v>
      </c>
      <c r="AC155" s="1" t="s">
        <v>6</v>
      </c>
      <c r="AD155" s="1" t="s">
        <v>6</v>
      </c>
      <c r="AE155" s="1" t="s">
        <v>6</v>
      </c>
      <c r="AF155" s="1" t="s">
        <v>6</v>
      </c>
      <c r="AG155" s="1" t="s">
        <v>6</v>
      </c>
      <c r="AH155" s="1"/>
      <c r="AI155" s="1"/>
      <c r="AJ155" s="1"/>
      <c r="AK155" s="1"/>
      <c r="AL155" s="1"/>
      <c r="AM155" s="1"/>
      <c r="AN155" s="1"/>
      <c r="AO155" s="1"/>
      <c r="AP155" s="1" t="s">
        <v>6</v>
      </c>
      <c r="AQ155" s="1" t="s">
        <v>6</v>
      </c>
      <c r="AR155" s="1" t="s">
        <v>6</v>
      </c>
      <c r="AS155" s="1"/>
      <c r="AT155" s="1"/>
      <c r="AU155" s="1"/>
      <c r="AV155" s="1"/>
      <c r="AW155" s="1"/>
      <c r="AX155" s="1"/>
      <c r="AY155" s="1"/>
      <c r="AZ155" s="1" t="s">
        <v>6</v>
      </c>
      <c r="BA155" s="1"/>
      <c r="BB155" s="1" t="s">
        <v>6</v>
      </c>
      <c r="BC155" s="1" t="s">
        <v>6</v>
      </c>
      <c r="BD155" s="1" t="s">
        <v>6</v>
      </c>
      <c r="BE155" s="1" t="s">
        <v>6</v>
      </c>
      <c r="BF155" s="1" t="s">
        <v>6</v>
      </c>
      <c r="BG155" s="1" t="s">
        <v>6</v>
      </c>
      <c r="BH155" s="1" t="s">
        <v>6</v>
      </c>
      <c r="BI155" s="1" t="s">
        <v>6</v>
      </c>
      <c r="BJ155" s="1" t="s">
        <v>6</v>
      </c>
      <c r="BK155" s="1" t="s">
        <v>6</v>
      </c>
      <c r="BL155" s="1" t="s">
        <v>6</v>
      </c>
      <c r="BM155" s="1" t="s">
        <v>6</v>
      </c>
      <c r="BN155" s="1" t="s">
        <v>6</v>
      </c>
      <c r="BO155" s="1" t="s">
        <v>6</v>
      </c>
      <c r="BP155" s="1" t="s">
        <v>6</v>
      </c>
      <c r="BQ155" s="1"/>
      <c r="BR155" s="1"/>
      <c r="BS155" s="1"/>
      <c r="BT155" s="1"/>
      <c r="BU155" s="1"/>
      <c r="BV155" s="1"/>
      <c r="BW155" s="1"/>
      <c r="BX155" s="1">
        <v>0</v>
      </c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>
        <v>0</v>
      </c>
    </row>
    <row r="157" spans="1:245" x14ac:dyDescent="0.2">
      <c r="A157" s="2">
        <v>52</v>
      </c>
      <c r="B157" s="2">
        <f t="shared" ref="B157:G157" si="150">B212</f>
        <v>1</v>
      </c>
      <c r="C157" s="2">
        <f t="shared" si="150"/>
        <v>4</v>
      </c>
      <c r="D157" s="2">
        <f t="shared" si="150"/>
        <v>155</v>
      </c>
      <c r="E157" s="2">
        <f t="shared" si="150"/>
        <v>0</v>
      </c>
      <c r="F157" s="2" t="str">
        <f t="shared" si="150"/>
        <v>Новый раздел</v>
      </c>
      <c r="G157" s="2" t="str">
        <f t="shared" si="150"/>
        <v>Система электроснабжения</v>
      </c>
      <c r="H157" s="2"/>
      <c r="I157" s="2"/>
      <c r="J157" s="2"/>
      <c r="K157" s="2"/>
      <c r="L157" s="2"/>
      <c r="M157" s="2"/>
      <c r="N157" s="2"/>
      <c r="O157" s="2">
        <f t="shared" ref="O157:AT157" si="151">O212</f>
        <v>196307.3</v>
      </c>
      <c r="P157" s="2">
        <f t="shared" si="151"/>
        <v>172628.84</v>
      </c>
      <c r="Q157" s="2">
        <f t="shared" si="151"/>
        <v>1047.8499999999999</v>
      </c>
      <c r="R157" s="2">
        <f t="shared" si="151"/>
        <v>128.72999999999999</v>
      </c>
      <c r="S157" s="2">
        <f t="shared" si="151"/>
        <v>22630.61</v>
      </c>
      <c r="T157" s="2">
        <f t="shared" si="151"/>
        <v>0</v>
      </c>
      <c r="U157" s="2">
        <f t="shared" si="151"/>
        <v>291.47594000000009</v>
      </c>
      <c r="V157" s="2">
        <f t="shared" si="151"/>
        <v>1.4265600000000001</v>
      </c>
      <c r="W157" s="2">
        <f t="shared" si="151"/>
        <v>0</v>
      </c>
      <c r="X157" s="2">
        <f t="shared" si="151"/>
        <v>19648.23</v>
      </c>
      <c r="Y157" s="2">
        <f t="shared" si="151"/>
        <v>13302.64</v>
      </c>
      <c r="Z157" s="2">
        <f t="shared" si="151"/>
        <v>0</v>
      </c>
      <c r="AA157" s="2">
        <f t="shared" si="151"/>
        <v>0</v>
      </c>
      <c r="AB157" s="2">
        <f t="shared" si="151"/>
        <v>196307.3</v>
      </c>
      <c r="AC157" s="2">
        <f t="shared" si="151"/>
        <v>172628.84</v>
      </c>
      <c r="AD157" s="2">
        <f t="shared" si="151"/>
        <v>1047.8499999999999</v>
      </c>
      <c r="AE157" s="2">
        <f t="shared" si="151"/>
        <v>128.72999999999999</v>
      </c>
      <c r="AF157" s="2">
        <f t="shared" si="151"/>
        <v>22630.61</v>
      </c>
      <c r="AG157" s="2">
        <f t="shared" si="151"/>
        <v>0</v>
      </c>
      <c r="AH157" s="2">
        <f t="shared" si="151"/>
        <v>291.47594000000009</v>
      </c>
      <c r="AI157" s="2">
        <f t="shared" si="151"/>
        <v>1.4265600000000001</v>
      </c>
      <c r="AJ157" s="2">
        <f t="shared" si="151"/>
        <v>0</v>
      </c>
      <c r="AK157" s="2">
        <f t="shared" si="151"/>
        <v>19648.23</v>
      </c>
      <c r="AL157" s="2">
        <f t="shared" si="151"/>
        <v>13302.64</v>
      </c>
      <c r="AM157" s="2">
        <f t="shared" si="151"/>
        <v>0</v>
      </c>
      <c r="AN157" s="2">
        <f t="shared" si="151"/>
        <v>0</v>
      </c>
      <c r="AO157" s="2">
        <f t="shared" si="151"/>
        <v>0</v>
      </c>
      <c r="AP157" s="2">
        <f t="shared" si="151"/>
        <v>0</v>
      </c>
      <c r="AQ157" s="2">
        <f t="shared" si="151"/>
        <v>0</v>
      </c>
      <c r="AR157" s="2">
        <f t="shared" si="151"/>
        <v>229258.17</v>
      </c>
      <c r="AS157" s="2">
        <f t="shared" si="151"/>
        <v>2416.4499999999998</v>
      </c>
      <c r="AT157" s="2">
        <f t="shared" si="151"/>
        <v>215108.26</v>
      </c>
      <c r="AU157" s="2">
        <f t="shared" ref="AU157:BZ157" si="152">AU212</f>
        <v>11733.46</v>
      </c>
      <c r="AV157" s="2">
        <f t="shared" si="152"/>
        <v>172628.84</v>
      </c>
      <c r="AW157" s="2">
        <f t="shared" si="152"/>
        <v>172628.84</v>
      </c>
      <c r="AX157" s="2">
        <f t="shared" si="152"/>
        <v>0</v>
      </c>
      <c r="AY157" s="2">
        <f t="shared" si="152"/>
        <v>172628.84</v>
      </c>
      <c r="AZ157" s="2">
        <f t="shared" si="152"/>
        <v>0</v>
      </c>
      <c r="BA157" s="2">
        <f t="shared" si="152"/>
        <v>0</v>
      </c>
      <c r="BB157" s="2">
        <f t="shared" si="152"/>
        <v>0</v>
      </c>
      <c r="BC157" s="2">
        <f t="shared" si="152"/>
        <v>0</v>
      </c>
      <c r="BD157" s="2">
        <f t="shared" si="152"/>
        <v>0</v>
      </c>
      <c r="BE157" s="2">
        <f t="shared" si="152"/>
        <v>0</v>
      </c>
      <c r="BF157" s="2">
        <f t="shared" si="152"/>
        <v>0</v>
      </c>
      <c r="BG157" s="2">
        <f t="shared" si="152"/>
        <v>0</v>
      </c>
      <c r="BH157" s="2">
        <f t="shared" si="152"/>
        <v>0</v>
      </c>
      <c r="BI157" s="2">
        <f t="shared" si="152"/>
        <v>0</v>
      </c>
      <c r="BJ157" s="2">
        <f t="shared" si="152"/>
        <v>0</v>
      </c>
      <c r="BK157" s="2">
        <f t="shared" si="152"/>
        <v>0</v>
      </c>
      <c r="BL157" s="2">
        <f t="shared" si="152"/>
        <v>0</v>
      </c>
      <c r="BM157" s="2">
        <f t="shared" si="152"/>
        <v>0</v>
      </c>
      <c r="BN157" s="2">
        <f t="shared" si="152"/>
        <v>0</v>
      </c>
      <c r="BO157" s="2">
        <f t="shared" si="152"/>
        <v>0</v>
      </c>
      <c r="BP157" s="2">
        <f t="shared" si="152"/>
        <v>0</v>
      </c>
      <c r="BQ157" s="2">
        <f t="shared" si="152"/>
        <v>0</v>
      </c>
      <c r="BR157" s="2">
        <f t="shared" si="152"/>
        <v>0</v>
      </c>
      <c r="BS157" s="2">
        <f t="shared" si="152"/>
        <v>0</v>
      </c>
      <c r="BT157" s="2">
        <f t="shared" si="152"/>
        <v>0</v>
      </c>
      <c r="BU157" s="2">
        <f t="shared" si="152"/>
        <v>0</v>
      </c>
      <c r="BV157" s="2">
        <f t="shared" si="152"/>
        <v>0</v>
      </c>
      <c r="BW157" s="2">
        <f t="shared" si="152"/>
        <v>0</v>
      </c>
      <c r="BX157" s="2">
        <f t="shared" si="152"/>
        <v>0</v>
      </c>
      <c r="BY157" s="2">
        <f t="shared" si="152"/>
        <v>0</v>
      </c>
      <c r="BZ157" s="2">
        <f t="shared" si="152"/>
        <v>0</v>
      </c>
      <c r="CA157" s="2">
        <f t="shared" ref="CA157:DF157" si="153">CA212</f>
        <v>229258.17</v>
      </c>
      <c r="CB157" s="2">
        <f t="shared" si="153"/>
        <v>2416.4499999999998</v>
      </c>
      <c r="CC157" s="2">
        <f t="shared" si="153"/>
        <v>215108.26</v>
      </c>
      <c r="CD157" s="2">
        <f t="shared" si="153"/>
        <v>11733.46</v>
      </c>
      <c r="CE157" s="2">
        <f t="shared" si="153"/>
        <v>172628.84</v>
      </c>
      <c r="CF157" s="2">
        <f t="shared" si="153"/>
        <v>172628.84</v>
      </c>
      <c r="CG157" s="2">
        <f t="shared" si="153"/>
        <v>0</v>
      </c>
      <c r="CH157" s="2">
        <f t="shared" si="153"/>
        <v>172628.84</v>
      </c>
      <c r="CI157" s="2">
        <f t="shared" si="153"/>
        <v>0</v>
      </c>
      <c r="CJ157" s="2">
        <f t="shared" si="153"/>
        <v>0</v>
      </c>
      <c r="CK157" s="2">
        <f t="shared" si="153"/>
        <v>0</v>
      </c>
      <c r="CL157" s="2">
        <f t="shared" si="153"/>
        <v>0</v>
      </c>
      <c r="CM157" s="2">
        <f t="shared" si="153"/>
        <v>0</v>
      </c>
      <c r="CN157" s="2">
        <f t="shared" si="153"/>
        <v>0</v>
      </c>
      <c r="CO157" s="2">
        <f t="shared" si="153"/>
        <v>0</v>
      </c>
      <c r="CP157" s="2">
        <f t="shared" si="153"/>
        <v>0</v>
      </c>
      <c r="CQ157" s="2">
        <f t="shared" si="153"/>
        <v>0</v>
      </c>
      <c r="CR157" s="2">
        <f t="shared" si="153"/>
        <v>0</v>
      </c>
      <c r="CS157" s="2">
        <f t="shared" si="153"/>
        <v>0</v>
      </c>
      <c r="CT157" s="2">
        <f t="shared" si="153"/>
        <v>0</v>
      </c>
      <c r="CU157" s="2">
        <f t="shared" si="153"/>
        <v>0</v>
      </c>
      <c r="CV157" s="2">
        <f t="shared" si="153"/>
        <v>0</v>
      </c>
      <c r="CW157" s="2">
        <f t="shared" si="153"/>
        <v>0</v>
      </c>
      <c r="CX157" s="2">
        <f t="shared" si="153"/>
        <v>0</v>
      </c>
      <c r="CY157" s="2">
        <f t="shared" si="153"/>
        <v>0</v>
      </c>
      <c r="CZ157" s="2">
        <f t="shared" si="153"/>
        <v>0</v>
      </c>
      <c r="DA157" s="2">
        <f t="shared" si="153"/>
        <v>0</v>
      </c>
      <c r="DB157" s="2">
        <f t="shared" si="153"/>
        <v>0</v>
      </c>
      <c r="DC157" s="2">
        <f t="shared" si="153"/>
        <v>0</v>
      </c>
      <c r="DD157" s="2">
        <f t="shared" si="153"/>
        <v>0</v>
      </c>
      <c r="DE157" s="2">
        <f t="shared" si="153"/>
        <v>0</v>
      </c>
      <c r="DF157" s="2">
        <f t="shared" si="153"/>
        <v>0</v>
      </c>
      <c r="DG157" s="3">
        <f t="shared" ref="DG157:EL157" si="154">DG212</f>
        <v>0</v>
      </c>
      <c r="DH157" s="3">
        <f t="shared" si="154"/>
        <v>0</v>
      </c>
      <c r="DI157" s="3">
        <f t="shared" si="154"/>
        <v>0</v>
      </c>
      <c r="DJ157" s="3">
        <f t="shared" si="154"/>
        <v>0</v>
      </c>
      <c r="DK157" s="3">
        <f t="shared" si="154"/>
        <v>0</v>
      </c>
      <c r="DL157" s="3">
        <f t="shared" si="154"/>
        <v>0</v>
      </c>
      <c r="DM157" s="3">
        <f t="shared" si="154"/>
        <v>0</v>
      </c>
      <c r="DN157" s="3">
        <f t="shared" si="154"/>
        <v>0</v>
      </c>
      <c r="DO157" s="3">
        <f t="shared" si="154"/>
        <v>0</v>
      </c>
      <c r="DP157" s="3">
        <f t="shared" si="154"/>
        <v>0</v>
      </c>
      <c r="DQ157" s="3">
        <f t="shared" si="154"/>
        <v>0</v>
      </c>
      <c r="DR157" s="3">
        <f t="shared" si="154"/>
        <v>0</v>
      </c>
      <c r="DS157" s="3">
        <f t="shared" si="154"/>
        <v>0</v>
      </c>
      <c r="DT157" s="3">
        <f t="shared" si="154"/>
        <v>0</v>
      </c>
      <c r="DU157" s="3">
        <f t="shared" si="154"/>
        <v>0</v>
      </c>
      <c r="DV157" s="3">
        <f t="shared" si="154"/>
        <v>0</v>
      </c>
      <c r="DW157" s="3">
        <f t="shared" si="154"/>
        <v>0</v>
      </c>
      <c r="DX157" s="3">
        <f t="shared" si="154"/>
        <v>0</v>
      </c>
      <c r="DY157" s="3">
        <f t="shared" si="154"/>
        <v>0</v>
      </c>
      <c r="DZ157" s="3">
        <f t="shared" si="154"/>
        <v>0</v>
      </c>
      <c r="EA157" s="3">
        <f t="shared" si="154"/>
        <v>0</v>
      </c>
      <c r="EB157" s="3">
        <f t="shared" si="154"/>
        <v>0</v>
      </c>
      <c r="EC157" s="3">
        <f t="shared" si="154"/>
        <v>0</v>
      </c>
      <c r="ED157" s="3">
        <f t="shared" si="154"/>
        <v>0</v>
      </c>
      <c r="EE157" s="3">
        <f t="shared" si="154"/>
        <v>0</v>
      </c>
      <c r="EF157" s="3">
        <f t="shared" si="154"/>
        <v>0</v>
      </c>
      <c r="EG157" s="3">
        <f t="shared" si="154"/>
        <v>0</v>
      </c>
      <c r="EH157" s="3">
        <f t="shared" si="154"/>
        <v>0</v>
      </c>
      <c r="EI157" s="3">
        <f t="shared" si="154"/>
        <v>0</v>
      </c>
      <c r="EJ157" s="3">
        <f t="shared" si="154"/>
        <v>0</v>
      </c>
      <c r="EK157" s="3">
        <f t="shared" si="154"/>
        <v>0</v>
      </c>
      <c r="EL157" s="3">
        <f t="shared" si="154"/>
        <v>0</v>
      </c>
      <c r="EM157" s="3">
        <f t="shared" ref="EM157:FR157" si="155">EM212</f>
        <v>0</v>
      </c>
      <c r="EN157" s="3">
        <f t="shared" si="155"/>
        <v>0</v>
      </c>
      <c r="EO157" s="3">
        <f t="shared" si="155"/>
        <v>0</v>
      </c>
      <c r="EP157" s="3">
        <f t="shared" si="155"/>
        <v>0</v>
      </c>
      <c r="EQ157" s="3">
        <f t="shared" si="155"/>
        <v>0</v>
      </c>
      <c r="ER157" s="3">
        <f t="shared" si="155"/>
        <v>0</v>
      </c>
      <c r="ES157" s="3">
        <f t="shared" si="155"/>
        <v>0</v>
      </c>
      <c r="ET157" s="3">
        <f t="shared" si="155"/>
        <v>0</v>
      </c>
      <c r="EU157" s="3">
        <f t="shared" si="155"/>
        <v>0</v>
      </c>
      <c r="EV157" s="3">
        <f t="shared" si="155"/>
        <v>0</v>
      </c>
      <c r="EW157" s="3">
        <f t="shared" si="155"/>
        <v>0</v>
      </c>
      <c r="EX157" s="3">
        <f t="shared" si="155"/>
        <v>0</v>
      </c>
      <c r="EY157" s="3">
        <f t="shared" si="155"/>
        <v>0</v>
      </c>
      <c r="EZ157" s="3">
        <f t="shared" si="155"/>
        <v>0</v>
      </c>
      <c r="FA157" s="3">
        <f t="shared" si="155"/>
        <v>0</v>
      </c>
      <c r="FB157" s="3">
        <f t="shared" si="155"/>
        <v>0</v>
      </c>
      <c r="FC157" s="3">
        <f t="shared" si="155"/>
        <v>0</v>
      </c>
      <c r="FD157" s="3">
        <f t="shared" si="155"/>
        <v>0</v>
      </c>
      <c r="FE157" s="3">
        <f t="shared" si="155"/>
        <v>0</v>
      </c>
      <c r="FF157" s="3">
        <f t="shared" si="155"/>
        <v>0</v>
      </c>
      <c r="FG157" s="3">
        <f t="shared" si="155"/>
        <v>0</v>
      </c>
      <c r="FH157" s="3">
        <f t="shared" si="155"/>
        <v>0</v>
      </c>
      <c r="FI157" s="3">
        <f t="shared" si="155"/>
        <v>0</v>
      </c>
      <c r="FJ157" s="3">
        <f t="shared" si="155"/>
        <v>0</v>
      </c>
      <c r="FK157" s="3">
        <f t="shared" si="155"/>
        <v>0</v>
      </c>
      <c r="FL157" s="3">
        <f t="shared" si="155"/>
        <v>0</v>
      </c>
      <c r="FM157" s="3">
        <f t="shared" si="155"/>
        <v>0</v>
      </c>
      <c r="FN157" s="3">
        <f t="shared" si="155"/>
        <v>0</v>
      </c>
      <c r="FO157" s="3">
        <f t="shared" si="155"/>
        <v>0</v>
      </c>
      <c r="FP157" s="3">
        <f t="shared" si="155"/>
        <v>0</v>
      </c>
      <c r="FQ157" s="3">
        <f t="shared" si="155"/>
        <v>0</v>
      </c>
      <c r="FR157" s="3">
        <f t="shared" si="155"/>
        <v>0</v>
      </c>
      <c r="FS157" s="3">
        <f t="shared" ref="FS157:GX157" si="156">FS212</f>
        <v>0</v>
      </c>
      <c r="FT157" s="3">
        <f t="shared" si="156"/>
        <v>0</v>
      </c>
      <c r="FU157" s="3">
        <f t="shared" si="156"/>
        <v>0</v>
      </c>
      <c r="FV157" s="3">
        <f t="shared" si="156"/>
        <v>0</v>
      </c>
      <c r="FW157" s="3">
        <f t="shared" si="156"/>
        <v>0</v>
      </c>
      <c r="FX157" s="3">
        <f t="shared" si="156"/>
        <v>0</v>
      </c>
      <c r="FY157" s="3">
        <f t="shared" si="156"/>
        <v>0</v>
      </c>
      <c r="FZ157" s="3">
        <f t="shared" si="156"/>
        <v>0</v>
      </c>
      <c r="GA157" s="3">
        <f t="shared" si="156"/>
        <v>0</v>
      </c>
      <c r="GB157" s="3">
        <f t="shared" si="156"/>
        <v>0</v>
      </c>
      <c r="GC157" s="3">
        <f t="shared" si="156"/>
        <v>0</v>
      </c>
      <c r="GD157" s="3">
        <f t="shared" si="156"/>
        <v>0</v>
      </c>
      <c r="GE157" s="3">
        <f t="shared" si="156"/>
        <v>0</v>
      </c>
      <c r="GF157" s="3">
        <f t="shared" si="156"/>
        <v>0</v>
      </c>
      <c r="GG157" s="3">
        <f t="shared" si="156"/>
        <v>0</v>
      </c>
      <c r="GH157" s="3">
        <f t="shared" si="156"/>
        <v>0</v>
      </c>
      <c r="GI157" s="3">
        <f t="shared" si="156"/>
        <v>0</v>
      </c>
      <c r="GJ157" s="3">
        <f t="shared" si="156"/>
        <v>0</v>
      </c>
      <c r="GK157" s="3">
        <f t="shared" si="156"/>
        <v>0</v>
      </c>
      <c r="GL157" s="3">
        <f t="shared" si="156"/>
        <v>0</v>
      </c>
      <c r="GM157" s="3">
        <f t="shared" si="156"/>
        <v>0</v>
      </c>
      <c r="GN157" s="3">
        <f t="shared" si="156"/>
        <v>0</v>
      </c>
      <c r="GO157" s="3">
        <f t="shared" si="156"/>
        <v>0</v>
      </c>
      <c r="GP157" s="3">
        <f t="shared" si="156"/>
        <v>0</v>
      </c>
      <c r="GQ157" s="3">
        <f t="shared" si="156"/>
        <v>0</v>
      </c>
      <c r="GR157" s="3">
        <f t="shared" si="156"/>
        <v>0</v>
      </c>
      <c r="GS157" s="3">
        <f t="shared" si="156"/>
        <v>0</v>
      </c>
      <c r="GT157" s="3">
        <f t="shared" si="156"/>
        <v>0</v>
      </c>
      <c r="GU157" s="3">
        <f t="shared" si="156"/>
        <v>0</v>
      </c>
      <c r="GV157" s="3">
        <f t="shared" si="156"/>
        <v>0</v>
      </c>
      <c r="GW157" s="3">
        <f t="shared" si="156"/>
        <v>0</v>
      </c>
      <c r="GX157" s="3">
        <f t="shared" si="156"/>
        <v>0</v>
      </c>
    </row>
    <row r="159" spans="1:245" x14ac:dyDescent="0.2">
      <c r="A159">
        <v>17</v>
      </c>
      <c r="B159">
        <v>1</v>
      </c>
      <c r="C159">
        <f>ROW(SmtRes!A305)</f>
        <v>305</v>
      </c>
      <c r="D159">
        <f>ROW(EtalonRes!A310)</f>
        <v>310</v>
      </c>
      <c r="E159" t="s">
        <v>486</v>
      </c>
      <c r="F159" t="s">
        <v>487</v>
      </c>
      <c r="G159" t="s">
        <v>488</v>
      </c>
      <c r="H159" t="s">
        <v>127</v>
      </c>
      <c r="I159">
        <v>2</v>
      </c>
      <c r="J159">
        <v>0</v>
      </c>
      <c r="O159">
        <f t="shared" ref="O159:O190" si="157">ROUND(CP159,2)</f>
        <v>116.51</v>
      </c>
      <c r="P159">
        <f t="shared" ref="P159:P190" si="158">ROUND(CQ159*I159,2)</f>
        <v>0</v>
      </c>
      <c r="Q159">
        <f t="shared" ref="Q159:Q190" si="159">ROUND(CR159*I159,2)</f>
        <v>76.010000000000005</v>
      </c>
      <c r="R159">
        <f t="shared" ref="R159:R190" si="160">ROUND(CS159*I159,2)</f>
        <v>10.7</v>
      </c>
      <c r="S159">
        <f t="shared" ref="S159:S190" si="161">ROUND(CT159*I159,2)</f>
        <v>40.5</v>
      </c>
      <c r="T159">
        <f t="shared" ref="T159:T190" si="162">ROUND(CU159*I159,2)</f>
        <v>0</v>
      </c>
      <c r="U159">
        <f t="shared" ref="U159:U190" si="163">CV159*I159</f>
        <v>0.54</v>
      </c>
      <c r="V159">
        <f t="shared" ref="V159:V190" si="164">CW159*I159</f>
        <v>0.12</v>
      </c>
      <c r="W159">
        <f t="shared" ref="W159:W190" si="165">ROUND(CX159*I159,2)</f>
        <v>0</v>
      </c>
      <c r="X159">
        <f t="shared" ref="X159:X190" si="166">ROUND(CY159,2)</f>
        <v>48.64</v>
      </c>
      <c r="Y159">
        <f t="shared" ref="Y159:Y190" si="167">ROUND(CZ159,2)</f>
        <v>33.28</v>
      </c>
      <c r="AA159">
        <v>16630606</v>
      </c>
      <c r="AB159">
        <f t="shared" ref="AB159:AB190" si="168">ROUND((AC159+AD159+AF159),2)</f>
        <v>8.17</v>
      </c>
      <c r="AC159">
        <f>ROUND(((ES159*0)),2)</f>
        <v>0</v>
      </c>
      <c r="AD159">
        <f>ROUND(((((ET159*0.3))-((EU159*0.3)))+AE159),2)</f>
        <v>5.33</v>
      </c>
      <c r="AE159">
        <f>ROUND(((EU159*0.3)),2)</f>
        <v>0.75</v>
      </c>
      <c r="AF159">
        <f>ROUND(((EV159*0.3)),2)</f>
        <v>2.84</v>
      </c>
      <c r="AG159">
        <f t="shared" ref="AG159:AG190" si="169">ROUND((AP159),2)</f>
        <v>0</v>
      </c>
      <c r="AH159">
        <f>((EW159*0.3))</f>
        <v>0.27</v>
      </c>
      <c r="AI159">
        <f>((EX159*0.3))</f>
        <v>0.06</v>
      </c>
      <c r="AJ159">
        <f t="shared" ref="AJ159:AJ190" si="170">(AS159)</f>
        <v>0</v>
      </c>
      <c r="AK159">
        <v>33.42</v>
      </c>
      <c r="AL159">
        <v>6.2</v>
      </c>
      <c r="AM159">
        <v>17.77</v>
      </c>
      <c r="AN159">
        <v>2.5099999999999998</v>
      </c>
      <c r="AO159">
        <v>9.4499999999999993</v>
      </c>
      <c r="AP159">
        <v>0</v>
      </c>
      <c r="AQ159">
        <v>0.9</v>
      </c>
      <c r="AR159">
        <v>0.2</v>
      </c>
      <c r="AS159">
        <v>0</v>
      </c>
      <c r="AT159">
        <v>95</v>
      </c>
      <c r="AU159">
        <v>65</v>
      </c>
      <c r="AV159">
        <v>1</v>
      </c>
      <c r="AW159">
        <v>1</v>
      </c>
      <c r="AZ159">
        <v>7.13</v>
      </c>
      <c r="BA159">
        <v>7.13</v>
      </c>
      <c r="BB159">
        <v>7.13</v>
      </c>
      <c r="BC159">
        <v>7.13</v>
      </c>
      <c r="BD159" t="s">
        <v>6</v>
      </c>
      <c r="BE159" t="s">
        <v>6</v>
      </c>
      <c r="BF159" t="s">
        <v>6</v>
      </c>
      <c r="BG159" t="s">
        <v>6</v>
      </c>
      <c r="BH159">
        <v>0</v>
      </c>
      <c r="BI159">
        <v>2</v>
      </c>
      <c r="BJ159" t="s">
        <v>489</v>
      </c>
      <c r="BM159">
        <v>108001</v>
      </c>
      <c r="BN159">
        <v>0</v>
      </c>
      <c r="BO159" t="s">
        <v>6</v>
      </c>
      <c r="BP159">
        <v>0</v>
      </c>
      <c r="BQ159">
        <v>3</v>
      </c>
      <c r="BR159">
        <v>0</v>
      </c>
      <c r="BS159">
        <v>7.13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6</v>
      </c>
      <c r="BZ159">
        <v>95</v>
      </c>
      <c r="CA159">
        <v>65</v>
      </c>
      <c r="CE159">
        <v>0</v>
      </c>
      <c r="CF159">
        <v>0</v>
      </c>
      <c r="CG159">
        <v>0</v>
      </c>
      <c r="CM159">
        <v>0</v>
      </c>
      <c r="CN159" t="s">
        <v>1759</v>
      </c>
      <c r="CO159">
        <v>0</v>
      </c>
      <c r="CP159">
        <f t="shared" ref="CP159:CP190" si="171">(P159+Q159+S159)</f>
        <v>116.51</v>
      </c>
      <c r="CQ159">
        <f t="shared" ref="CQ159:CQ190" si="172">AC159*BC159</f>
        <v>0</v>
      </c>
      <c r="CR159">
        <f t="shared" ref="CR159:CR190" si="173">AD159*BB159</f>
        <v>38.002899999999997</v>
      </c>
      <c r="CS159">
        <f t="shared" ref="CS159:CS190" si="174">AE159*BS159</f>
        <v>5.3475000000000001</v>
      </c>
      <c r="CT159">
        <f t="shared" ref="CT159:CT190" si="175">AF159*BA159</f>
        <v>20.249199999999998</v>
      </c>
      <c r="CU159">
        <f t="shared" ref="CU159:CU190" si="176">AG159</f>
        <v>0</v>
      </c>
      <c r="CV159">
        <f t="shared" ref="CV159:CV190" si="177">AH159</f>
        <v>0.27</v>
      </c>
      <c r="CW159">
        <f t="shared" ref="CW159:CW190" si="178">AI159</f>
        <v>0.06</v>
      </c>
      <c r="CX159">
        <f t="shared" ref="CX159:CX190" si="179">AJ159</f>
        <v>0</v>
      </c>
      <c r="CY159">
        <f t="shared" ref="CY159:CY190" si="180">(((S159+R159)*AT159)/100)</f>
        <v>48.64</v>
      </c>
      <c r="CZ159">
        <f t="shared" ref="CZ159:CZ190" si="181">(((S159+R159)*AU159)/100)</f>
        <v>33.28</v>
      </c>
      <c r="DC159" t="s">
        <v>6</v>
      </c>
      <c r="DD159" t="s">
        <v>30</v>
      </c>
      <c r="DE159" t="s">
        <v>490</v>
      </c>
      <c r="DF159" t="s">
        <v>490</v>
      </c>
      <c r="DG159" t="s">
        <v>490</v>
      </c>
      <c r="DH159" t="s">
        <v>6</v>
      </c>
      <c r="DI159" t="s">
        <v>490</v>
      </c>
      <c r="DJ159" t="s">
        <v>490</v>
      </c>
      <c r="DK159" t="s">
        <v>6</v>
      </c>
      <c r="DL159" t="s">
        <v>6</v>
      </c>
      <c r="DM159" t="s">
        <v>6</v>
      </c>
      <c r="DN159">
        <v>0</v>
      </c>
      <c r="DO159">
        <v>0</v>
      </c>
      <c r="DP159">
        <v>1</v>
      </c>
      <c r="DQ159">
        <v>1</v>
      </c>
      <c r="DU159">
        <v>1013</v>
      </c>
      <c r="DV159" t="s">
        <v>127</v>
      </c>
      <c r="DW159" t="s">
        <v>127</v>
      </c>
      <c r="DX159">
        <v>1</v>
      </c>
      <c r="EE159">
        <v>16609228</v>
      </c>
      <c r="EF159">
        <v>3</v>
      </c>
      <c r="EG159" t="s">
        <v>491</v>
      </c>
      <c r="EH159">
        <v>0</v>
      </c>
      <c r="EI159" t="s">
        <v>6</v>
      </c>
      <c r="EJ159">
        <v>2</v>
      </c>
      <c r="EK159">
        <v>108001</v>
      </c>
      <c r="EL159" t="s">
        <v>492</v>
      </c>
      <c r="EM159" t="s">
        <v>493</v>
      </c>
      <c r="EO159" t="s">
        <v>494</v>
      </c>
      <c r="EQ159">
        <v>131072</v>
      </c>
      <c r="ER159">
        <v>33.42</v>
      </c>
      <c r="ES159">
        <v>6.2</v>
      </c>
      <c r="ET159">
        <v>17.77</v>
      </c>
      <c r="EU159">
        <v>2.5099999999999998</v>
      </c>
      <c r="EV159">
        <v>9.4499999999999993</v>
      </c>
      <c r="EW159">
        <v>0.9</v>
      </c>
      <c r="EX159">
        <v>0.2</v>
      </c>
      <c r="EY159">
        <v>0</v>
      </c>
      <c r="FQ159">
        <v>0</v>
      </c>
      <c r="FR159">
        <f t="shared" ref="FR159:FR190" si="182">ROUND(IF(AND(BH159=3,BI159=3),P159,0),2)</f>
        <v>0</v>
      </c>
      <c r="FS159">
        <v>0</v>
      </c>
      <c r="FX159">
        <v>95</v>
      </c>
      <c r="FY159">
        <v>65</v>
      </c>
      <c r="GA159" t="s">
        <v>6</v>
      </c>
      <c r="GD159">
        <v>0</v>
      </c>
      <c r="GF159">
        <v>1679129895</v>
      </c>
      <c r="GG159">
        <v>1</v>
      </c>
      <c r="GH159">
        <v>1</v>
      </c>
      <c r="GI159">
        <v>4</v>
      </c>
      <c r="GJ159">
        <v>0</v>
      </c>
      <c r="GK159">
        <f>ROUND(R159*(R12)/100,2)</f>
        <v>0</v>
      </c>
      <c r="GL159">
        <f t="shared" ref="GL159:GL190" si="183">ROUND(IF(AND(BH159=3,BI159=3,FS159&lt;&gt;0),P159,0),2)</f>
        <v>0</v>
      </c>
      <c r="GM159">
        <f t="shared" ref="GM159:GM190" si="184">ROUND(O159+X159+Y159+GK159,2)+GX159</f>
        <v>198.43</v>
      </c>
      <c r="GN159">
        <f t="shared" ref="GN159:GN190" si="185">IF(OR(BI159=0,BI159=1),ROUND(O159+X159+Y159+GK159,2),0)</f>
        <v>0</v>
      </c>
      <c r="GO159">
        <f t="shared" ref="GO159:GO190" si="186">IF(BI159=2,ROUND(O159+X159+Y159+GK159,2),0)</f>
        <v>198.43</v>
      </c>
      <c r="GP159">
        <f t="shared" ref="GP159:GP190" si="187">IF(BI159=4,ROUND(O159+X159+Y159+GK159,2)+GX159,0)</f>
        <v>0</v>
      </c>
      <c r="GR159">
        <v>0</v>
      </c>
      <c r="GS159">
        <v>3</v>
      </c>
      <c r="GT159">
        <v>0</v>
      </c>
      <c r="GU159" t="s">
        <v>6</v>
      </c>
      <c r="GV159">
        <f t="shared" ref="GV159:GV190" si="188">ROUND((GT159),2)</f>
        <v>0</v>
      </c>
      <c r="GW159">
        <v>1</v>
      </c>
      <c r="GX159">
        <f t="shared" ref="GX159:GX190" si="189">ROUND(HC159*I159,2)</f>
        <v>0</v>
      </c>
      <c r="HA159">
        <v>0</v>
      </c>
      <c r="HB159">
        <v>0</v>
      </c>
      <c r="HC159">
        <f t="shared" ref="HC159:HC190" si="190">GV159*GW159</f>
        <v>0</v>
      </c>
      <c r="IK159">
        <v>0</v>
      </c>
    </row>
    <row r="160" spans="1:245" x14ac:dyDescent="0.2">
      <c r="A160">
        <v>17</v>
      </c>
      <c r="B160">
        <v>1</v>
      </c>
      <c r="C160">
        <f>ROW(SmtRes!A308)</f>
        <v>308</v>
      </c>
      <c r="D160">
        <f>ROW(EtalonRes!A313)</f>
        <v>313</v>
      </c>
      <c r="E160" t="s">
        <v>495</v>
      </c>
      <c r="F160" t="s">
        <v>496</v>
      </c>
      <c r="G160" t="s">
        <v>497</v>
      </c>
      <c r="H160" t="s">
        <v>27</v>
      </c>
      <c r="I160">
        <f>ROUND(2/100,9)</f>
        <v>0.02</v>
      </c>
      <c r="J160">
        <v>0</v>
      </c>
      <c r="O160">
        <f t="shared" si="157"/>
        <v>31.6</v>
      </c>
      <c r="P160">
        <f t="shared" si="158"/>
        <v>0</v>
      </c>
      <c r="Q160">
        <f t="shared" si="159"/>
        <v>0.31</v>
      </c>
      <c r="R160">
        <f t="shared" si="160"/>
        <v>0.14000000000000001</v>
      </c>
      <c r="S160">
        <f t="shared" si="161"/>
        <v>31.29</v>
      </c>
      <c r="T160">
        <f t="shared" si="162"/>
        <v>0</v>
      </c>
      <c r="U160">
        <f t="shared" si="163"/>
        <v>0.51439999999999997</v>
      </c>
      <c r="V160">
        <f t="shared" si="164"/>
        <v>1.4000000000000002E-3</v>
      </c>
      <c r="W160">
        <f t="shared" si="165"/>
        <v>0</v>
      </c>
      <c r="X160">
        <f t="shared" si="166"/>
        <v>26.72</v>
      </c>
      <c r="Y160">
        <f t="shared" si="167"/>
        <v>20.43</v>
      </c>
      <c r="AA160">
        <v>16630606</v>
      </c>
      <c r="AB160">
        <f t="shared" si="168"/>
        <v>221.58</v>
      </c>
      <c r="AC160">
        <f>ROUND((ES160),2)</f>
        <v>0</v>
      </c>
      <c r="AD160">
        <f>ROUND((((ET160)-(EU160))+AE160),2)</f>
        <v>2.19</v>
      </c>
      <c r="AE160">
        <f>ROUND((EU160),2)</f>
        <v>0.95</v>
      </c>
      <c r="AF160">
        <f>ROUND((EV160),2)</f>
        <v>219.39</v>
      </c>
      <c r="AG160">
        <f t="shared" si="169"/>
        <v>0</v>
      </c>
      <c r="AH160">
        <f>(EW160)</f>
        <v>25.72</v>
      </c>
      <c r="AI160">
        <f>(EX160)</f>
        <v>7.0000000000000007E-2</v>
      </c>
      <c r="AJ160">
        <f t="shared" si="170"/>
        <v>0</v>
      </c>
      <c r="AK160">
        <v>221.58</v>
      </c>
      <c r="AL160">
        <v>0</v>
      </c>
      <c r="AM160">
        <v>2.19</v>
      </c>
      <c r="AN160">
        <v>0.95</v>
      </c>
      <c r="AO160">
        <v>219.39</v>
      </c>
      <c r="AP160">
        <v>0</v>
      </c>
      <c r="AQ160">
        <v>25.72</v>
      </c>
      <c r="AR160">
        <v>7.0000000000000007E-2</v>
      </c>
      <c r="AS160">
        <v>0</v>
      </c>
      <c r="AT160">
        <v>85</v>
      </c>
      <c r="AU160">
        <v>65</v>
      </c>
      <c r="AV160">
        <v>1</v>
      </c>
      <c r="AW160">
        <v>1</v>
      </c>
      <c r="AZ160">
        <v>7.13</v>
      </c>
      <c r="BA160">
        <v>7.13</v>
      </c>
      <c r="BB160">
        <v>7.13</v>
      </c>
      <c r="BC160">
        <v>7.13</v>
      </c>
      <c r="BD160" t="s">
        <v>6</v>
      </c>
      <c r="BE160" t="s">
        <v>6</v>
      </c>
      <c r="BF160" t="s">
        <v>6</v>
      </c>
      <c r="BG160" t="s">
        <v>6</v>
      </c>
      <c r="BH160">
        <v>0</v>
      </c>
      <c r="BI160">
        <v>1</v>
      </c>
      <c r="BJ160" t="s">
        <v>498</v>
      </c>
      <c r="BM160">
        <v>67001</v>
      </c>
      <c r="BN160">
        <v>0</v>
      </c>
      <c r="BO160" t="s">
        <v>6</v>
      </c>
      <c r="BP160">
        <v>0</v>
      </c>
      <c r="BQ160">
        <v>6</v>
      </c>
      <c r="BR160">
        <v>0</v>
      </c>
      <c r="BS160">
        <v>7.13</v>
      </c>
      <c r="BT160">
        <v>1</v>
      </c>
      <c r="BU160">
        <v>1</v>
      </c>
      <c r="BV160">
        <v>1</v>
      </c>
      <c r="BW160">
        <v>1</v>
      </c>
      <c r="BX160">
        <v>1</v>
      </c>
      <c r="BY160" t="s">
        <v>6</v>
      </c>
      <c r="BZ160">
        <v>85</v>
      </c>
      <c r="CA160">
        <v>65</v>
      </c>
      <c r="CE160">
        <v>0</v>
      </c>
      <c r="CF160">
        <v>0</v>
      </c>
      <c r="CG160">
        <v>0</v>
      </c>
      <c r="CM160">
        <v>0</v>
      </c>
      <c r="CN160" t="s">
        <v>6</v>
      </c>
      <c r="CO160">
        <v>0</v>
      </c>
      <c r="CP160">
        <f t="shared" si="171"/>
        <v>31.599999999999998</v>
      </c>
      <c r="CQ160">
        <f t="shared" si="172"/>
        <v>0</v>
      </c>
      <c r="CR160">
        <f t="shared" si="173"/>
        <v>15.614699999999999</v>
      </c>
      <c r="CS160">
        <f t="shared" si="174"/>
        <v>6.7734999999999994</v>
      </c>
      <c r="CT160">
        <f t="shared" si="175"/>
        <v>1564.2506999999998</v>
      </c>
      <c r="CU160">
        <f t="shared" si="176"/>
        <v>0</v>
      </c>
      <c r="CV160">
        <f t="shared" si="177"/>
        <v>25.72</v>
      </c>
      <c r="CW160">
        <f t="shared" si="178"/>
        <v>7.0000000000000007E-2</v>
      </c>
      <c r="CX160">
        <f t="shared" si="179"/>
        <v>0</v>
      </c>
      <c r="CY160">
        <f t="shared" si="180"/>
        <v>26.715500000000002</v>
      </c>
      <c r="CZ160">
        <f t="shared" si="181"/>
        <v>20.429500000000001</v>
      </c>
      <c r="DC160" t="s">
        <v>6</v>
      </c>
      <c r="DD160" t="s">
        <v>6</v>
      </c>
      <c r="DE160" t="s">
        <v>6</v>
      </c>
      <c r="DF160" t="s">
        <v>6</v>
      </c>
      <c r="DG160" t="s">
        <v>6</v>
      </c>
      <c r="DH160" t="s">
        <v>6</v>
      </c>
      <c r="DI160" t="s">
        <v>6</v>
      </c>
      <c r="DJ160" t="s">
        <v>6</v>
      </c>
      <c r="DK160" t="s">
        <v>6</v>
      </c>
      <c r="DL160" t="s">
        <v>6</v>
      </c>
      <c r="DM160" t="s">
        <v>6</v>
      </c>
      <c r="DN160">
        <v>0</v>
      </c>
      <c r="DO160">
        <v>0</v>
      </c>
      <c r="DP160">
        <v>1</v>
      </c>
      <c r="DQ160">
        <v>1</v>
      </c>
      <c r="DU160">
        <v>1013</v>
      </c>
      <c r="DV160" t="s">
        <v>27</v>
      </c>
      <c r="DW160" t="s">
        <v>27</v>
      </c>
      <c r="DX160">
        <v>1</v>
      </c>
      <c r="EE160">
        <v>16609212</v>
      </c>
      <c r="EF160">
        <v>6</v>
      </c>
      <c r="EG160" t="s">
        <v>39</v>
      </c>
      <c r="EH160">
        <v>0</v>
      </c>
      <c r="EI160" t="s">
        <v>6</v>
      </c>
      <c r="EJ160">
        <v>1</v>
      </c>
      <c r="EK160">
        <v>67001</v>
      </c>
      <c r="EL160" t="s">
        <v>499</v>
      </c>
      <c r="EM160" t="s">
        <v>500</v>
      </c>
      <c r="EO160" t="s">
        <v>6</v>
      </c>
      <c r="EQ160">
        <v>131072</v>
      </c>
      <c r="ER160">
        <v>221.58</v>
      </c>
      <c r="ES160">
        <v>0</v>
      </c>
      <c r="ET160">
        <v>2.19</v>
      </c>
      <c r="EU160">
        <v>0.95</v>
      </c>
      <c r="EV160">
        <v>219.39</v>
      </c>
      <c r="EW160">
        <v>25.72</v>
      </c>
      <c r="EX160">
        <v>7.0000000000000007E-2</v>
      </c>
      <c r="EY160">
        <v>0</v>
      </c>
      <c r="FQ160">
        <v>0</v>
      </c>
      <c r="FR160">
        <f t="shared" si="182"/>
        <v>0</v>
      </c>
      <c r="FS160">
        <v>0</v>
      </c>
      <c r="FX160">
        <v>85</v>
      </c>
      <c r="FY160">
        <v>65</v>
      </c>
      <c r="GA160" t="s">
        <v>6</v>
      </c>
      <c r="GD160">
        <v>0</v>
      </c>
      <c r="GF160">
        <v>-146176109</v>
      </c>
      <c r="GG160">
        <v>1</v>
      </c>
      <c r="GH160">
        <v>1</v>
      </c>
      <c r="GI160">
        <v>4</v>
      </c>
      <c r="GJ160">
        <v>0</v>
      </c>
      <c r="GK160">
        <f>ROUND(R160*(R12)/100,2)</f>
        <v>0</v>
      </c>
      <c r="GL160">
        <f t="shared" si="183"/>
        <v>0</v>
      </c>
      <c r="GM160">
        <f t="shared" si="184"/>
        <v>78.75</v>
      </c>
      <c r="GN160">
        <f t="shared" si="185"/>
        <v>78.75</v>
      </c>
      <c r="GO160">
        <f t="shared" si="186"/>
        <v>0</v>
      </c>
      <c r="GP160">
        <f t="shared" si="187"/>
        <v>0</v>
      </c>
      <c r="GR160">
        <v>0</v>
      </c>
      <c r="GS160">
        <v>3</v>
      </c>
      <c r="GT160">
        <v>0</v>
      </c>
      <c r="GU160" t="s">
        <v>6</v>
      </c>
      <c r="GV160">
        <f t="shared" si="188"/>
        <v>0</v>
      </c>
      <c r="GW160">
        <v>1</v>
      </c>
      <c r="GX160">
        <f t="shared" si="189"/>
        <v>0</v>
      </c>
      <c r="HA160">
        <v>0</v>
      </c>
      <c r="HB160">
        <v>0</v>
      </c>
      <c r="HC160">
        <f t="shared" si="190"/>
        <v>0</v>
      </c>
      <c r="IK160">
        <v>0</v>
      </c>
    </row>
    <row r="161" spans="1:245" x14ac:dyDescent="0.2">
      <c r="A161">
        <v>17</v>
      </c>
      <c r="B161">
        <v>1</v>
      </c>
      <c r="C161">
        <f>ROW(SmtRes!A309)</f>
        <v>309</v>
      </c>
      <c r="D161">
        <f>ROW(EtalonRes!A314)</f>
        <v>314</v>
      </c>
      <c r="E161" t="s">
        <v>501</v>
      </c>
      <c r="F161" t="s">
        <v>502</v>
      </c>
      <c r="G161" t="s">
        <v>503</v>
      </c>
      <c r="H161" t="s">
        <v>27</v>
      </c>
      <c r="I161">
        <f>ROUND(59/100,9)</f>
        <v>0.59</v>
      </c>
      <c r="J161">
        <v>0</v>
      </c>
      <c r="O161">
        <f t="shared" si="157"/>
        <v>191.62</v>
      </c>
      <c r="P161">
        <f t="shared" si="158"/>
        <v>0</v>
      </c>
      <c r="Q161">
        <f t="shared" si="159"/>
        <v>0</v>
      </c>
      <c r="R161">
        <f t="shared" si="160"/>
        <v>0</v>
      </c>
      <c r="S161">
        <f t="shared" si="161"/>
        <v>191.62</v>
      </c>
      <c r="T161">
        <f t="shared" si="162"/>
        <v>0</v>
      </c>
      <c r="U161">
        <f t="shared" si="163"/>
        <v>3.4455999999999998</v>
      </c>
      <c r="V161">
        <f t="shared" si="164"/>
        <v>0</v>
      </c>
      <c r="W161">
        <f t="shared" si="165"/>
        <v>0</v>
      </c>
      <c r="X161">
        <f t="shared" si="166"/>
        <v>162.88</v>
      </c>
      <c r="Y161">
        <f t="shared" si="167"/>
        <v>124.55</v>
      </c>
      <c r="AA161">
        <v>16630606</v>
      </c>
      <c r="AB161">
        <f t="shared" si="168"/>
        <v>45.55</v>
      </c>
      <c r="AC161">
        <f>ROUND((ES161),2)</f>
        <v>0</v>
      </c>
      <c r="AD161">
        <f>ROUND((((ET161)-(EU161))+AE161),2)</f>
        <v>0</v>
      </c>
      <c r="AE161">
        <f>ROUND((EU161),2)</f>
        <v>0</v>
      </c>
      <c r="AF161">
        <f>ROUND((EV161),2)</f>
        <v>45.55</v>
      </c>
      <c r="AG161">
        <f t="shared" si="169"/>
        <v>0</v>
      </c>
      <c r="AH161">
        <f>(EW161)</f>
        <v>5.84</v>
      </c>
      <c r="AI161">
        <f>(EX161)</f>
        <v>0</v>
      </c>
      <c r="AJ161">
        <f t="shared" si="170"/>
        <v>0</v>
      </c>
      <c r="AK161">
        <v>45.55</v>
      </c>
      <c r="AL161">
        <v>0</v>
      </c>
      <c r="AM161">
        <v>0</v>
      </c>
      <c r="AN161">
        <v>0</v>
      </c>
      <c r="AO161">
        <v>45.55</v>
      </c>
      <c r="AP161">
        <v>0</v>
      </c>
      <c r="AQ161">
        <v>5.84</v>
      </c>
      <c r="AR161">
        <v>0</v>
      </c>
      <c r="AS161">
        <v>0</v>
      </c>
      <c r="AT161">
        <v>85</v>
      </c>
      <c r="AU161">
        <v>65</v>
      </c>
      <c r="AV161">
        <v>1</v>
      </c>
      <c r="AW161">
        <v>1</v>
      </c>
      <c r="AZ161">
        <v>7.13</v>
      </c>
      <c r="BA161">
        <v>7.13</v>
      </c>
      <c r="BB161">
        <v>7.13</v>
      </c>
      <c r="BC161">
        <v>7.13</v>
      </c>
      <c r="BD161" t="s">
        <v>6</v>
      </c>
      <c r="BE161" t="s">
        <v>6</v>
      </c>
      <c r="BF161" t="s">
        <v>6</v>
      </c>
      <c r="BG161" t="s">
        <v>6</v>
      </c>
      <c r="BH161">
        <v>0</v>
      </c>
      <c r="BI161">
        <v>1</v>
      </c>
      <c r="BJ161" t="s">
        <v>504</v>
      </c>
      <c r="BM161">
        <v>67001</v>
      </c>
      <c r="BN161">
        <v>0</v>
      </c>
      <c r="BO161" t="s">
        <v>6</v>
      </c>
      <c r="BP161">
        <v>0</v>
      </c>
      <c r="BQ161">
        <v>6</v>
      </c>
      <c r="BR161">
        <v>0</v>
      </c>
      <c r="BS161">
        <v>7.13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6</v>
      </c>
      <c r="BZ161">
        <v>85</v>
      </c>
      <c r="CA161">
        <v>65</v>
      </c>
      <c r="CE161">
        <v>0</v>
      </c>
      <c r="CF161">
        <v>0</v>
      </c>
      <c r="CG161">
        <v>0</v>
      </c>
      <c r="CM161">
        <v>0</v>
      </c>
      <c r="CN161" t="s">
        <v>6</v>
      </c>
      <c r="CO161">
        <v>0</v>
      </c>
      <c r="CP161">
        <f t="shared" si="171"/>
        <v>191.62</v>
      </c>
      <c r="CQ161">
        <f t="shared" si="172"/>
        <v>0</v>
      </c>
      <c r="CR161">
        <f t="shared" si="173"/>
        <v>0</v>
      </c>
      <c r="CS161">
        <f t="shared" si="174"/>
        <v>0</v>
      </c>
      <c r="CT161">
        <f t="shared" si="175"/>
        <v>324.7715</v>
      </c>
      <c r="CU161">
        <f t="shared" si="176"/>
        <v>0</v>
      </c>
      <c r="CV161">
        <f t="shared" si="177"/>
        <v>5.84</v>
      </c>
      <c r="CW161">
        <f t="shared" si="178"/>
        <v>0</v>
      </c>
      <c r="CX161">
        <f t="shared" si="179"/>
        <v>0</v>
      </c>
      <c r="CY161">
        <f t="shared" si="180"/>
        <v>162.87700000000001</v>
      </c>
      <c r="CZ161">
        <f t="shared" si="181"/>
        <v>124.55300000000001</v>
      </c>
      <c r="DC161" t="s">
        <v>6</v>
      </c>
      <c r="DD161" t="s">
        <v>6</v>
      </c>
      <c r="DE161" t="s">
        <v>6</v>
      </c>
      <c r="DF161" t="s">
        <v>6</v>
      </c>
      <c r="DG161" t="s">
        <v>6</v>
      </c>
      <c r="DH161" t="s">
        <v>6</v>
      </c>
      <c r="DI161" t="s">
        <v>6</v>
      </c>
      <c r="DJ161" t="s">
        <v>6</v>
      </c>
      <c r="DK161" t="s">
        <v>6</v>
      </c>
      <c r="DL161" t="s">
        <v>6</v>
      </c>
      <c r="DM161" t="s">
        <v>6</v>
      </c>
      <c r="DN161">
        <v>0</v>
      </c>
      <c r="DO161">
        <v>0</v>
      </c>
      <c r="DP161">
        <v>1</v>
      </c>
      <c r="DQ161">
        <v>1</v>
      </c>
      <c r="DU161">
        <v>1013</v>
      </c>
      <c r="DV161" t="s">
        <v>27</v>
      </c>
      <c r="DW161" t="s">
        <v>27</v>
      </c>
      <c r="DX161">
        <v>1</v>
      </c>
      <c r="EE161">
        <v>16609212</v>
      </c>
      <c r="EF161">
        <v>6</v>
      </c>
      <c r="EG161" t="s">
        <v>39</v>
      </c>
      <c r="EH161">
        <v>0</v>
      </c>
      <c r="EI161" t="s">
        <v>6</v>
      </c>
      <c r="EJ161">
        <v>1</v>
      </c>
      <c r="EK161">
        <v>67001</v>
      </c>
      <c r="EL161" t="s">
        <v>499</v>
      </c>
      <c r="EM161" t="s">
        <v>500</v>
      </c>
      <c r="EO161" t="s">
        <v>6</v>
      </c>
      <c r="EQ161">
        <v>131072</v>
      </c>
      <c r="ER161">
        <v>45.55</v>
      </c>
      <c r="ES161">
        <v>0</v>
      </c>
      <c r="ET161">
        <v>0</v>
      </c>
      <c r="EU161">
        <v>0</v>
      </c>
      <c r="EV161">
        <v>45.55</v>
      </c>
      <c r="EW161">
        <v>5.84</v>
      </c>
      <c r="EX161">
        <v>0</v>
      </c>
      <c r="EY161">
        <v>0</v>
      </c>
      <c r="FQ161">
        <v>0</v>
      </c>
      <c r="FR161">
        <f t="shared" si="182"/>
        <v>0</v>
      </c>
      <c r="FS161">
        <v>0</v>
      </c>
      <c r="FX161">
        <v>85</v>
      </c>
      <c r="FY161">
        <v>65</v>
      </c>
      <c r="GA161" t="s">
        <v>6</v>
      </c>
      <c r="GD161">
        <v>0</v>
      </c>
      <c r="GF161">
        <v>-364073208</v>
      </c>
      <c r="GG161">
        <v>1</v>
      </c>
      <c r="GH161">
        <v>1</v>
      </c>
      <c r="GI161">
        <v>4</v>
      </c>
      <c r="GJ161">
        <v>0</v>
      </c>
      <c r="GK161">
        <f>ROUND(R161*(R12)/100,2)</f>
        <v>0</v>
      </c>
      <c r="GL161">
        <f t="shared" si="183"/>
        <v>0</v>
      </c>
      <c r="GM161">
        <f t="shared" si="184"/>
        <v>479.05</v>
      </c>
      <c r="GN161">
        <f t="shared" si="185"/>
        <v>479.05</v>
      </c>
      <c r="GO161">
        <f t="shared" si="186"/>
        <v>0</v>
      </c>
      <c r="GP161">
        <f t="shared" si="187"/>
        <v>0</v>
      </c>
      <c r="GR161">
        <v>0</v>
      </c>
      <c r="GS161">
        <v>3</v>
      </c>
      <c r="GT161">
        <v>0</v>
      </c>
      <c r="GU161" t="s">
        <v>6</v>
      </c>
      <c r="GV161">
        <f t="shared" si="188"/>
        <v>0</v>
      </c>
      <c r="GW161">
        <v>1</v>
      </c>
      <c r="GX161">
        <f t="shared" si="189"/>
        <v>0</v>
      </c>
      <c r="HA161">
        <v>0</v>
      </c>
      <c r="HB161">
        <v>0</v>
      </c>
      <c r="HC161">
        <f t="shared" si="190"/>
        <v>0</v>
      </c>
      <c r="IK161">
        <v>0</v>
      </c>
    </row>
    <row r="162" spans="1:245" x14ac:dyDescent="0.2">
      <c r="A162">
        <v>17</v>
      </c>
      <c r="B162">
        <v>1</v>
      </c>
      <c r="C162">
        <f>ROW(SmtRes!A323)</f>
        <v>323</v>
      </c>
      <c r="D162">
        <f>ROW(EtalonRes!A328)</f>
        <v>328</v>
      </c>
      <c r="E162" t="s">
        <v>505</v>
      </c>
      <c r="F162" t="s">
        <v>506</v>
      </c>
      <c r="G162" t="s">
        <v>507</v>
      </c>
      <c r="H162" t="s">
        <v>127</v>
      </c>
      <c r="I162">
        <v>2</v>
      </c>
      <c r="J162">
        <v>0</v>
      </c>
      <c r="O162">
        <f t="shared" si="157"/>
        <v>68.02</v>
      </c>
      <c r="P162">
        <f t="shared" si="158"/>
        <v>0</v>
      </c>
      <c r="Q162">
        <f t="shared" si="159"/>
        <v>4.5599999999999996</v>
      </c>
      <c r="R162">
        <f t="shared" si="160"/>
        <v>0</v>
      </c>
      <c r="S162">
        <f t="shared" si="161"/>
        <v>63.46</v>
      </c>
      <c r="T162">
        <f t="shared" si="162"/>
        <v>0</v>
      </c>
      <c r="U162">
        <f t="shared" si="163"/>
        <v>0.93599999999999994</v>
      </c>
      <c r="V162">
        <f t="shared" si="164"/>
        <v>0</v>
      </c>
      <c r="W162">
        <f t="shared" si="165"/>
        <v>0</v>
      </c>
      <c r="X162">
        <f t="shared" si="166"/>
        <v>60.29</v>
      </c>
      <c r="Y162">
        <f t="shared" si="167"/>
        <v>41.25</v>
      </c>
      <c r="AA162">
        <v>16630606</v>
      </c>
      <c r="AB162">
        <f t="shared" si="168"/>
        <v>4.7699999999999996</v>
      </c>
      <c r="AC162">
        <f>ROUND(((ES162*0)),2)</f>
        <v>0</v>
      </c>
      <c r="AD162">
        <f>ROUND(((((ET162*0.3))-((EU162*0.3)))+AE162),2)</f>
        <v>0.32</v>
      </c>
      <c r="AE162">
        <f t="shared" ref="AE162:AF164" si="191">ROUND(((EU162*0.3)),2)</f>
        <v>0</v>
      </c>
      <c r="AF162">
        <f t="shared" si="191"/>
        <v>4.45</v>
      </c>
      <c r="AG162">
        <f t="shared" si="169"/>
        <v>0</v>
      </c>
      <c r="AH162">
        <f t="shared" ref="AH162:AI164" si="192">((EW162*0.3))</f>
        <v>0.46799999999999997</v>
      </c>
      <c r="AI162">
        <f t="shared" si="192"/>
        <v>0</v>
      </c>
      <c r="AJ162">
        <f t="shared" si="170"/>
        <v>0</v>
      </c>
      <c r="AK162">
        <v>35.979999999999997</v>
      </c>
      <c r="AL162">
        <v>20.09</v>
      </c>
      <c r="AM162">
        <v>1.05</v>
      </c>
      <c r="AN162">
        <v>0</v>
      </c>
      <c r="AO162">
        <v>14.84</v>
      </c>
      <c r="AP162">
        <v>0</v>
      </c>
      <c r="AQ162">
        <v>1.56</v>
      </c>
      <c r="AR162">
        <v>0</v>
      </c>
      <c r="AS162">
        <v>0</v>
      </c>
      <c r="AT162">
        <v>95</v>
      </c>
      <c r="AU162">
        <v>65</v>
      </c>
      <c r="AV162">
        <v>1</v>
      </c>
      <c r="AW162">
        <v>1</v>
      </c>
      <c r="AZ162">
        <v>7.13</v>
      </c>
      <c r="BA162">
        <v>7.13</v>
      </c>
      <c r="BB162">
        <v>7.13</v>
      </c>
      <c r="BC162">
        <v>7.13</v>
      </c>
      <c r="BD162" t="s">
        <v>6</v>
      </c>
      <c r="BE162" t="s">
        <v>6</v>
      </c>
      <c r="BF162" t="s">
        <v>6</v>
      </c>
      <c r="BG162" t="s">
        <v>6</v>
      </c>
      <c r="BH162">
        <v>0</v>
      </c>
      <c r="BI162">
        <v>2</v>
      </c>
      <c r="BJ162" t="s">
        <v>508</v>
      </c>
      <c r="BM162">
        <v>108001</v>
      </c>
      <c r="BN162">
        <v>0</v>
      </c>
      <c r="BO162" t="s">
        <v>6</v>
      </c>
      <c r="BP162">
        <v>0</v>
      </c>
      <c r="BQ162">
        <v>3</v>
      </c>
      <c r="BR162">
        <v>0</v>
      </c>
      <c r="BS162">
        <v>7.13</v>
      </c>
      <c r="BT162">
        <v>1</v>
      </c>
      <c r="BU162">
        <v>1</v>
      </c>
      <c r="BV162">
        <v>1</v>
      </c>
      <c r="BW162">
        <v>1</v>
      </c>
      <c r="BX162">
        <v>1</v>
      </c>
      <c r="BY162" t="s">
        <v>6</v>
      </c>
      <c r="BZ162">
        <v>95</v>
      </c>
      <c r="CA162">
        <v>65</v>
      </c>
      <c r="CE162">
        <v>0</v>
      </c>
      <c r="CF162">
        <v>0</v>
      </c>
      <c r="CG162">
        <v>0</v>
      </c>
      <c r="CM162">
        <v>0</v>
      </c>
      <c r="CN162" t="s">
        <v>1759</v>
      </c>
      <c r="CO162">
        <v>0</v>
      </c>
      <c r="CP162">
        <f t="shared" si="171"/>
        <v>68.02</v>
      </c>
      <c r="CQ162">
        <f t="shared" si="172"/>
        <v>0</v>
      </c>
      <c r="CR162">
        <f t="shared" si="173"/>
        <v>2.2816000000000001</v>
      </c>
      <c r="CS162">
        <f t="shared" si="174"/>
        <v>0</v>
      </c>
      <c r="CT162">
        <f t="shared" si="175"/>
        <v>31.7285</v>
      </c>
      <c r="CU162">
        <f t="shared" si="176"/>
        <v>0</v>
      </c>
      <c r="CV162">
        <f t="shared" si="177"/>
        <v>0.46799999999999997</v>
      </c>
      <c r="CW162">
        <f t="shared" si="178"/>
        <v>0</v>
      </c>
      <c r="CX162">
        <f t="shared" si="179"/>
        <v>0</v>
      </c>
      <c r="CY162">
        <f t="shared" si="180"/>
        <v>60.286999999999999</v>
      </c>
      <c r="CZ162">
        <f t="shared" si="181"/>
        <v>41.248999999999995</v>
      </c>
      <c r="DC162" t="s">
        <v>6</v>
      </c>
      <c r="DD162" t="s">
        <v>30</v>
      </c>
      <c r="DE162" t="s">
        <v>490</v>
      </c>
      <c r="DF162" t="s">
        <v>490</v>
      </c>
      <c r="DG162" t="s">
        <v>490</v>
      </c>
      <c r="DH162" t="s">
        <v>6</v>
      </c>
      <c r="DI162" t="s">
        <v>490</v>
      </c>
      <c r="DJ162" t="s">
        <v>490</v>
      </c>
      <c r="DK162" t="s">
        <v>6</v>
      </c>
      <c r="DL162" t="s">
        <v>6</v>
      </c>
      <c r="DM162" t="s">
        <v>6</v>
      </c>
      <c r="DN162">
        <v>0</v>
      </c>
      <c r="DO162">
        <v>0</v>
      </c>
      <c r="DP162">
        <v>1</v>
      </c>
      <c r="DQ162">
        <v>1</v>
      </c>
      <c r="DU162">
        <v>1013</v>
      </c>
      <c r="DV162" t="s">
        <v>127</v>
      </c>
      <c r="DW162" t="s">
        <v>127</v>
      </c>
      <c r="DX162">
        <v>1</v>
      </c>
      <c r="EE162">
        <v>16609228</v>
      </c>
      <c r="EF162">
        <v>3</v>
      </c>
      <c r="EG162" t="s">
        <v>491</v>
      </c>
      <c r="EH162">
        <v>0</v>
      </c>
      <c r="EI162" t="s">
        <v>6</v>
      </c>
      <c r="EJ162">
        <v>2</v>
      </c>
      <c r="EK162">
        <v>108001</v>
      </c>
      <c r="EL162" t="s">
        <v>492</v>
      </c>
      <c r="EM162" t="s">
        <v>493</v>
      </c>
      <c r="EO162" t="s">
        <v>494</v>
      </c>
      <c r="EQ162">
        <v>131072</v>
      </c>
      <c r="ER162">
        <v>35.979999999999997</v>
      </c>
      <c r="ES162">
        <v>20.09</v>
      </c>
      <c r="ET162">
        <v>1.05</v>
      </c>
      <c r="EU162">
        <v>0</v>
      </c>
      <c r="EV162">
        <v>14.84</v>
      </c>
      <c r="EW162">
        <v>1.56</v>
      </c>
      <c r="EX162">
        <v>0</v>
      </c>
      <c r="EY162">
        <v>0</v>
      </c>
      <c r="FQ162">
        <v>0</v>
      </c>
      <c r="FR162">
        <f t="shared" si="182"/>
        <v>0</v>
      </c>
      <c r="FS162">
        <v>0</v>
      </c>
      <c r="FX162">
        <v>95</v>
      </c>
      <c r="FY162">
        <v>65</v>
      </c>
      <c r="GA162" t="s">
        <v>6</v>
      </c>
      <c r="GD162">
        <v>0</v>
      </c>
      <c r="GF162">
        <v>936269367</v>
      </c>
      <c r="GG162">
        <v>1</v>
      </c>
      <c r="GH162">
        <v>1</v>
      </c>
      <c r="GI162">
        <v>4</v>
      </c>
      <c r="GJ162">
        <v>0</v>
      </c>
      <c r="GK162">
        <f>ROUND(R162*(R12)/100,2)</f>
        <v>0</v>
      </c>
      <c r="GL162">
        <f t="shared" si="183"/>
        <v>0</v>
      </c>
      <c r="GM162">
        <f t="shared" si="184"/>
        <v>169.56</v>
      </c>
      <c r="GN162">
        <f t="shared" si="185"/>
        <v>0</v>
      </c>
      <c r="GO162">
        <f t="shared" si="186"/>
        <v>169.56</v>
      </c>
      <c r="GP162">
        <f t="shared" si="187"/>
        <v>0</v>
      </c>
      <c r="GR162">
        <v>0</v>
      </c>
      <c r="GS162">
        <v>3</v>
      </c>
      <c r="GT162">
        <v>0</v>
      </c>
      <c r="GU162" t="s">
        <v>6</v>
      </c>
      <c r="GV162">
        <f t="shared" si="188"/>
        <v>0</v>
      </c>
      <c r="GW162">
        <v>1</v>
      </c>
      <c r="GX162">
        <f t="shared" si="189"/>
        <v>0</v>
      </c>
      <c r="HA162">
        <v>0</v>
      </c>
      <c r="HB162">
        <v>0</v>
      </c>
      <c r="HC162">
        <f t="shared" si="190"/>
        <v>0</v>
      </c>
      <c r="IK162">
        <v>0</v>
      </c>
    </row>
    <row r="163" spans="1:245" x14ac:dyDescent="0.2">
      <c r="A163">
        <v>17</v>
      </c>
      <c r="B163">
        <v>1</v>
      </c>
      <c r="C163">
        <f>ROW(SmtRes!A329)</f>
        <v>329</v>
      </c>
      <c r="D163">
        <f>ROW(EtalonRes!A334)</f>
        <v>334</v>
      </c>
      <c r="E163" t="s">
        <v>509</v>
      </c>
      <c r="F163" t="s">
        <v>510</v>
      </c>
      <c r="G163" t="s">
        <v>511</v>
      </c>
      <c r="H163" t="s">
        <v>57</v>
      </c>
      <c r="I163">
        <v>0.08</v>
      </c>
      <c r="J163">
        <v>0</v>
      </c>
      <c r="O163">
        <f t="shared" si="157"/>
        <v>27.8</v>
      </c>
      <c r="P163">
        <f t="shared" si="158"/>
        <v>0</v>
      </c>
      <c r="Q163">
        <f t="shared" si="159"/>
        <v>7.55</v>
      </c>
      <c r="R163">
        <f t="shared" si="160"/>
        <v>0.84</v>
      </c>
      <c r="S163">
        <f t="shared" si="161"/>
        <v>20.25</v>
      </c>
      <c r="T163">
        <f t="shared" si="162"/>
        <v>0</v>
      </c>
      <c r="U163">
        <f t="shared" si="163"/>
        <v>0.29520000000000002</v>
      </c>
      <c r="V163">
        <f t="shared" si="164"/>
        <v>1.176E-2</v>
      </c>
      <c r="W163">
        <f t="shared" si="165"/>
        <v>0</v>
      </c>
      <c r="X163">
        <f t="shared" si="166"/>
        <v>16.87</v>
      </c>
      <c r="Y163">
        <f t="shared" si="167"/>
        <v>12.65</v>
      </c>
      <c r="AA163">
        <v>16630606</v>
      </c>
      <c r="AB163">
        <f t="shared" si="168"/>
        <v>48.73</v>
      </c>
      <c r="AC163">
        <f>ROUND(((ES163*0)),2)</f>
        <v>0</v>
      </c>
      <c r="AD163">
        <f>ROUND(((((ET163*0.3))-((EU163*0.3)))+AE163),2)</f>
        <v>13.23</v>
      </c>
      <c r="AE163">
        <f t="shared" si="191"/>
        <v>1.48</v>
      </c>
      <c r="AF163">
        <f t="shared" si="191"/>
        <v>35.5</v>
      </c>
      <c r="AG163">
        <f t="shared" si="169"/>
        <v>0</v>
      </c>
      <c r="AH163">
        <f t="shared" si="192"/>
        <v>3.69</v>
      </c>
      <c r="AI163">
        <f t="shared" si="192"/>
        <v>0.14699999999999999</v>
      </c>
      <c r="AJ163">
        <f t="shared" si="170"/>
        <v>0</v>
      </c>
      <c r="AK163">
        <v>165.97</v>
      </c>
      <c r="AL163">
        <v>3.54</v>
      </c>
      <c r="AM163">
        <v>44.1</v>
      </c>
      <c r="AN163">
        <v>4.93</v>
      </c>
      <c r="AO163">
        <v>118.33</v>
      </c>
      <c r="AP163">
        <v>0</v>
      </c>
      <c r="AQ163">
        <v>12.3</v>
      </c>
      <c r="AR163">
        <v>0.49</v>
      </c>
      <c r="AS163">
        <v>0</v>
      </c>
      <c r="AT163">
        <v>80</v>
      </c>
      <c r="AU163">
        <v>60</v>
      </c>
      <c r="AV163">
        <v>1</v>
      </c>
      <c r="AW163">
        <v>1</v>
      </c>
      <c r="AZ163">
        <v>7.13</v>
      </c>
      <c r="BA163">
        <v>7.13</v>
      </c>
      <c r="BB163">
        <v>7.13</v>
      </c>
      <c r="BC163">
        <v>7.13</v>
      </c>
      <c r="BD163" t="s">
        <v>6</v>
      </c>
      <c r="BE163" t="s">
        <v>6</v>
      </c>
      <c r="BF163" t="s">
        <v>6</v>
      </c>
      <c r="BG163" t="s">
        <v>6</v>
      </c>
      <c r="BH163">
        <v>0</v>
      </c>
      <c r="BI163">
        <v>2</v>
      </c>
      <c r="BJ163" t="s">
        <v>512</v>
      </c>
      <c r="BM163">
        <v>110001</v>
      </c>
      <c r="BN163">
        <v>0</v>
      </c>
      <c r="BO163" t="s">
        <v>6</v>
      </c>
      <c r="BP163">
        <v>0</v>
      </c>
      <c r="BQ163">
        <v>3</v>
      </c>
      <c r="BR163">
        <v>0</v>
      </c>
      <c r="BS163">
        <v>7.13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6</v>
      </c>
      <c r="BZ163">
        <v>80</v>
      </c>
      <c r="CA163">
        <v>60</v>
      </c>
      <c r="CE163">
        <v>0</v>
      </c>
      <c r="CF163">
        <v>0</v>
      </c>
      <c r="CG163">
        <v>0</v>
      </c>
      <c r="CM163">
        <v>0</v>
      </c>
      <c r="CN163" t="s">
        <v>1759</v>
      </c>
      <c r="CO163">
        <v>0</v>
      </c>
      <c r="CP163">
        <f t="shared" si="171"/>
        <v>27.8</v>
      </c>
      <c r="CQ163">
        <f t="shared" si="172"/>
        <v>0</v>
      </c>
      <c r="CR163">
        <f t="shared" si="173"/>
        <v>94.329899999999995</v>
      </c>
      <c r="CS163">
        <f t="shared" si="174"/>
        <v>10.5524</v>
      </c>
      <c r="CT163">
        <f t="shared" si="175"/>
        <v>253.11500000000001</v>
      </c>
      <c r="CU163">
        <f t="shared" si="176"/>
        <v>0</v>
      </c>
      <c r="CV163">
        <f t="shared" si="177"/>
        <v>3.69</v>
      </c>
      <c r="CW163">
        <f t="shared" si="178"/>
        <v>0.14699999999999999</v>
      </c>
      <c r="CX163">
        <f t="shared" si="179"/>
        <v>0</v>
      </c>
      <c r="CY163">
        <f t="shared" si="180"/>
        <v>16.872</v>
      </c>
      <c r="CZ163">
        <f t="shared" si="181"/>
        <v>12.654000000000002</v>
      </c>
      <c r="DC163" t="s">
        <v>6</v>
      </c>
      <c r="DD163" t="s">
        <v>30</v>
      </c>
      <c r="DE163" t="s">
        <v>490</v>
      </c>
      <c r="DF163" t="s">
        <v>490</v>
      </c>
      <c r="DG163" t="s">
        <v>490</v>
      </c>
      <c r="DH163" t="s">
        <v>6</v>
      </c>
      <c r="DI163" t="s">
        <v>490</v>
      </c>
      <c r="DJ163" t="s">
        <v>490</v>
      </c>
      <c r="DK163" t="s">
        <v>6</v>
      </c>
      <c r="DL163" t="s">
        <v>6</v>
      </c>
      <c r="DM163" t="s">
        <v>6</v>
      </c>
      <c r="DN163">
        <v>0</v>
      </c>
      <c r="DO163">
        <v>0</v>
      </c>
      <c r="DP163">
        <v>1</v>
      </c>
      <c r="DQ163">
        <v>1</v>
      </c>
      <c r="DU163">
        <v>1003</v>
      </c>
      <c r="DV163" t="s">
        <v>57</v>
      </c>
      <c r="DW163" t="s">
        <v>57</v>
      </c>
      <c r="DX163">
        <v>100</v>
      </c>
      <c r="EE163">
        <v>16609232</v>
      </c>
      <c r="EF163">
        <v>3</v>
      </c>
      <c r="EG163" t="s">
        <v>491</v>
      </c>
      <c r="EH163">
        <v>0</v>
      </c>
      <c r="EI163" t="s">
        <v>6</v>
      </c>
      <c r="EJ163">
        <v>2</v>
      </c>
      <c r="EK163">
        <v>110001</v>
      </c>
      <c r="EL163" t="s">
        <v>513</v>
      </c>
      <c r="EM163" t="s">
        <v>514</v>
      </c>
      <c r="EO163" t="s">
        <v>494</v>
      </c>
      <c r="EQ163">
        <v>131072</v>
      </c>
      <c r="ER163">
        <v>165.97</v>
      </c>
      <c r="ES163">
        <v>3.54</v>
      </c>
      <c r="ET163">
        <v>44.1</v>
      </c>
      <c r="EU163">
        <v>4.93</v>
      </c>
      <c r="EV163">
        <v>118.33</v>
      </c>
      <c r="EW163">
        <v>12.3</v>
      </c>
      <c r="EX163">
        <v>0.49</v>
      </c>
      <c r="EY163">
        <v>0</v>
      </c>
      <c r="FQ163">
        <v>0</v>
      </c>
      <c r="FR163">
        <f t="shared" si="182"/>
        <v>0</v>
      </c>
      <c r="FS163">
        <v>0</v>
      </c>
      <c r="FX163">
        <v>80</v>
      </c>
      <c r="FY163">
        <v>60</v>
      </c>
      <c r="GA163" t="s">
        <v>6</v>
      </c>
      <c r="GD163">
        <v>0</v>
      </c>
      <c r="GF163">
        <v>-855457503</v>
      </c>
      <c r="GG163">
        <v>1</v>
      </c>
      <c r="GH163">
        <v>1</v>
      </c>
      <c r="GI163">
        <v>4</v>
      </c>
      <c r="GJ163">
        <v>0</v>
      </c>
      <c r="GK163">
        <f>ROUND(R163*(R12)/100,2)</f>
        <v>0</v>
      </c>
      <c r="GL163">
        <f t="shared" si="183"/>
        <v>0</v>
      </c>
      <c r="GM163">
        <f t="shared" si="184"/>
        <v>57.32</v>
      </c>
      <c r="GN163">
        <f t="shared" si="185"/>
        <v>0</v>
      </c>
      <c r="GO163">
        <f t="shared" si="186"/>
        <v>57.32</v>
      </c>
      <c r="GP163">
        <f t="shared" si="187"/>
        <v>0</v>
      </c>
      <c r="GR163">
        <v>0</v>
      </c>
      <c r="GS163">
        <v>3</v>
      </c>
      <c r="GT163">
        <v>0</v>
      </c>
      <c r="GU163" t="s">
        <v>6</v>
      </c>
      <c r="GV163">
        <f t="shared" si="188"/>
        <v>0</v>
      </c>
      <c r="GW163">
        <v>1</v>
      </c>
      <c r="GX163">
        <f t="shared" si="189"/>
        <v>0</v>
      </c>
      <c r="HA163">
        <v>0</v>
      </c>
      <c r="HB163">
        <v>0</v>
      </c>
      <c r="HC163">
        <f t="shared" si="190"/>
        <v>0</v>
      </c>
      <c r="IK163">
        <v>0</v>
      </c>
    </row>
    <row r="164" spans="1:245" x14ac:dyDescent="0.2">
      <c r="A164">
        <v>17</v>
      </c>
      <c r="B164">
        <v>1</v>
      </c>
      <c r="C164">
        <f>ROW(SmtRes!A333)</f>
        <v>333</v>
      </c>
      <c r="D164">
        <f>ROW(EtalonRes!A339)</f>
        <v>339</v>
      </c>
      <c r="E164" t="s">
        <v>515</v>
      </c>
      <c r="F164" t="s">
        <v>516</v>
      </c>
      <c r="G164" t="s">
        <v>517</v>
      </c>
      <c r="H164" t="s">
        <v>127</v>
      </c>
      <c r="I164">
        <v>1</v>
      </c>
      <c r="J164">
        <v>0</v>
      </c>
      <c r="O164">
        <f t="shared" si="157"/>
        <v>19.39</v>
      </c>
      <c r="P164">
        <f t="shared" si="158"/>
        <v>0</v>
      </c>
      <c r="Q164">
        <f t="shared" si="159"/>
        <v>0</v>
      </c>
      <c r="R164">
        <f t="shared" si="160"/>
        <v>0</v>
      </c>
      <c r="S164">
        <f t="shared" si="161"/>
        <v>19.39</v>
      </c>
      <c r="T164">
        <f t="shared" si="162"/>
        <v>0</v>
      </c>
      <c r="U164">
        <f t="shared" si="163"/>
        <v>0.3</v>
      </c>
      <c r="V164">
        <f t="shared" si="164"/>
        <v>0</v>
      </c>
      <c r="W164">
        <f t="shared" si="165"/>
        <v>0</v>
      </c>
      <c r="X164">
        <f t="shared" si="166"/>
        <v>17.84</v>
      </c>
      <c r="Y164">
        <f t="shared" si="167"/>
        <v>12.6</v>
      </c>
      <c r="AA164">
        <v>16630606</v>
      </c>
      <c r="AB164">
        <f t="shared" si="168"/>
        <v>2.72</v>
      </c>
      <c r="AC164">
        <f>ROUND(((ES164*0)),2)</f>
        <v>0</v>
      </c>
      <c r="AD164">
        <f>ROUND(((((ET164*0.3))-((EU164*0.3)))+AE164),2)</f>
        <v>0</v>
      </c>
      <c r="AE164">
        <f t="shared" si="191"/>
        <v>0</v>
      </c>
      <c r="AF164">
        <f t="shared" si="191"/>
        <v>2.72</v>
      </c>
      <c r="AG164">
        <f t="shared" si="169"/>
        <v>0</v>
      </c>
      <c r="AH164">
        <f t="shared" si="192"/>
        <v>0.3</v>
      </c>
      <c r="AI164">
        <f t="shared" si="192"/>
        <v>0</v>
      </c>
      <c r="AJ164">
        <f t="shared" si="170"/>
        <v>0</v>
      </c>
      <c r="AK164">
        <v>9.69</v>
      </c>
      <c r="AL164">
        <v>0.62</v>
      </c>
      <c r="AM164">
        <v>0</v>
      </c>
      <c r="AN164">
        <v>0</v>
      </c>
      <c r="AO164">
        <v>9.07</v>
      </c>
      <c r="AP164">
        <v>0</v>
      </c>
      <c r="AQ164">
        <v>1</v>
      </c>
      <c r="AR164">
        <v>0</v>
      </c>
      <c r="AS164">
        <v>0</v>
      </c>
      <c r="AT164">
        <v>92</v>
      </c>
      <c r="AU164">
        <v>65</v>
      </c>
      <c r="AV164">
        <v>1</v>
      </c>
      <c r="AW164">
        <v>1</v>
      </c>
      <c r="AZ164">
        <v>7.13</v>
      </c>
      <c r="BA164">
        <v>7.13</v>
      </c>
      <c r="BB164">
        <v>7.13</v>
      </c>
      <c r="BC164">
        <v>7.13</v>
      </c>
      <c r="BD164" t="s">
        <v>6</v>
      </c>
      <c r="BE164" t="s">
        <v>6</v>
      </c>
      <c r="BF164" t="s">
        <v>6</v>
      </c>
      <c r="BG164" t="s">
        <v>6</v>
      </c>
      <c r="BH164">
        <v>0</v>
      </c>
      <c r="BI164">
        <v>2</v>
      </c>
      <c r="BJ164" t="s">
        <v>518</v>
      </c>
      <c r="BM164">
        <v>110004</v>
      </c>
      <c r="BN164">
        <v>0</v>
      </c>
      <c r="BO164" t="s">
        <v>6</v>
      </c>
      <c r="BP164">
        <v>0</v>
      </c>
      <c r="BQ164">
        <v>3</v>
      </c>
      <c r="BR164">
        <v>0</v>
      </c>
      <c r="BS164">
        <v>7.13</v>
      </c>
      <c r="BT164">
        <v>1</v>
      </c>
      <c r="BU164">
        <v>1</v>
      </c>
      <c r="BV164">
        <v>1</v>
      </c>
      <c r="BW164">
        <v>1</v>
      </c>
      <c r="BX164">
        <v>1</v>
      </c>
      <c r="BY164" t="s">
        <v>6</v>
      </c>
      <c r="BZ164">
        <v>92</v>
      </c>
      <c r="CA164">
        <v>65</v>
      </c>
      <c r="CE164">
        <v>0</v>
      </c>
      <c r="CF164">
        <v>0</v>
      </c>
      <c r="CG164">
        <v>0</v>
      </c>
      <c r="CM164">
        <v>0</v>
      </c>
      <c r="CN164" t="s">
        <v>1759</v>
      </c>
      <c r="CO164">
        <v>0</v>
      </c>
      <c r="CP164">
        <f t="shared" si="171"/>
        <v>19.39</v>
      </c>
      <c r="CQ164">
        <f t="shared" si="172"/>
        <v>0</v>
      </c>
      <c r="CR164">
        <f t="shared" si="173"/>
        <v>0</v>
      </c>
      <c r="CS164">
        <f t="shared" si="174"/>
        <v>0</v>
      </c>
      <c r="CT164">
        <f t="shared" si="175"/>
        <v>19.393600000000003</v>
      </c>
      <c r="CU164">
        <f t="shared" si="176"/>
        <v>0</v>
      </c>
      <c r="CV164">
        <f t="shared" si="177"/>
        <v>0.3</v>
      </c>
      <c r="CW164">
        <f t="shared" si="178"/>
        <v>0</v>
      </c>
      <c r="CX164">
        <f t="shared" si="179"/>
        <v>0</v>
      </c>
      <c r="CY164">
        <f t="shared" si="180"/>
        <v>17.838800000000003</v>
      </c>
      <c r="CZ164">
        <f t="shared" si="181"/>
        <v>12.603500000000002</v>
      </c>
      <c r="DC164" t="s">
        <v>6</v>
      </c>
      <c r="DD164" t="s">
        <v>30</v>
      </c>
      <c r="DE164" t="s">
        <v>490</v>
      </c>
      <c r="DF164" t="s">
        <v>490</v>
      </c>
      <c r="DG164" t="s">
        <v>490</v>
      </c>
      <c r="DH164" t="s">
        <v>6</v>
      </c>
      <c r="DI164" t="s">
        <v>490</v>
      </c>
      <c r="DJ164" t="s">
        <v>490</v>
      </c>
      <c r="DK164" t="s">
        <v>6</v>
      </c>
      <c r="DL164" t="s">
        <v>6</v>
      </c>
      <c r="DM164" t="s">
        <v>6</v>
      </c>
      <c r="DN164">
        <v>0</v>
      </c>
      <c r="DO164">
        <v>0</v>
      </c>
      <c r="DP164">
        <v>1</v>
      </c>
      <c r="DQ164">
        <v>1</v>
      </c>
      <c r="DU164">
        <v>1013</v>
      </c>
      <c r="DV164" t="s">
        <v>127</v>
      </c>
      <c r="DW164" t="s">
        <v>127</v>
      </c>
      <c r="DX164">
        <v>1</v>
      </c>
      <c r="EE164">
        <v>16609233</v>
      </c>
      <c r="EF164">
        <v>3</v>
      </c>
      <c r="EG164" t="s">
        <v>491</v>
      </c>
      <c r="EH164">
        <v>0</v>
      </c>
      <c r="EI164" t="s">
        <v>6</v>
      </c>
      <c r="EJ164">
        <v>2</v>
      </c>
      <c r="EK164">
        <v>110004</v>
      </c>
      <c r="EL164" t="s">
        <v>519</v>
      </c>
      <c r="EM164" t="s">
        <v>514</v>
      </c>
      <c r="EO164" t="s">
        <v>494</v>
      </c>
      <c r="EQ164">
        <v>131072</v>
      </c>
      <c r="ER164">
        <v>9.69</v>
      </c>
      <c r="ES164">
        <v>0.62</v>
      </c>
      <c r="ET164">
        <v>0</v>
      </c>
      <c r="EU164">
        <v>0</v>
      </c>
      <c r="EV164">
        <v>9.07</v>
      </c>
      <c r="EW164">
        <v>1</v>
      </c>
      <c r="EX164">
        <v>0</v>
      </c>
      <c r="EY164">
        <v>0</v>
      </c>
      <c r="FQ164">
        <v>0</v>
      </c>
      <c r="FR164">
        <f t="shared" si="182"/>
        <v>0</v>
      </c>
      <c r="FS164">
        <v>0</v>
      </c>
      <c r="FX164">
        <v>92</v>
      </c>
      <c r="FY164">
        <v>65</v>
      </c>
      <c r="GA164" t="s">
        <v>6</v>
      </c>
      <c r="GD164">
        <v>0</v>
      </c>
      <c r="GF164">
        <v>-2060827019</v>
      </c>
      <c r="GG164">
        <v>1</v>
      </c>
      <c r="GH164">
        <v>1</v>
      </c>
      <c r="GI164">
        <v>4</v>
      </c>
      <c r="GJ164">
        <v>0</v>
      </c>
      <c r="GK164">
        <f>ROUND(R164*(R12)/100,2)</f>
        <v>0</v>
      </c>
      <c r="GL164">
        <f t="shared" si="183"/>
        <v>0</v>
      </c>
      <c r="GM164">
        <f t="shared" si="184"/>
        <v>49.83</v>
      </c>
      <c r="GN164">
        <f t="shared" si="185"/>
        <v>0</v>
      </c>
      <c r="GO164">
        <f t="shared" si="186"/>
        <v>49.83</v>
      </c>
      <c r="GP164">
        <f t="shared" si="187"/>
        <v>0</v>
      </c>
      <c r="GR164">
        <v>0</v>
      </c>
      <c r="GS164">
        <v>3</v>
      </c>
      <c r="GT164">
        <v>0</v>
      </c>
      <c r="GU164" t="s">
        <v>6</v>
      </c>
      <c r="GV164">
        <f t="shared" si="188"/>
        <v>0</v>
      </c>
      <c r="GW164">
        <v>1</v>
      </c>
      <c r="GX164">
        <f t="shared" si="189"/>
        <v>0</v>
      </c>
      <c r="HA164">
        <v>0</v>
      </c>
      <c r="HB164">
        <v>0</v>
      </c>
      <c r="HC164">
        <f t="shared" si="190"/>
        <v>0</v>
      </c>
      <c r="IK164">
        <v>0</v>
      </c>
    </row>
    <row r="165" spans="1:245" x14ac:dyDescent="0.2">
      <c r="A165">
        <v>17</v>
      </c>
      <c r="B165">
        <v>1</v>
      </c>
      <c r="C165">
        <f>ROW(SmtRes!A336)</f>
        <v>336</v>
      </c>
      <c r="D165">
        <f>ROW(EtalonRes!A342)</f>
        <v>342</v>
      </c>
      <c r="E165" t="s">
        <v>520</v>
      </c>
      <c r="F165" t="s">
        <v>521</v>
      </c>
      <c r="G165" t="s">
        <v>522</v>
      </c>
      <c r="H165" t="s">
        <v>57</v>
      </c>
      <c r="I165">
        <f>ROUND(56/100,9)</f>
        <v>0.56000000000000005</v>
      </c>
      <c r="J165">
        <v>0</v>
      </c>
      <c r="O165">
        <f t="shared" si="157"/>
        <v>301.45999999999998</v>
      </c>
      <c r="P165">
        <f t="shared" si="158"/>
        <v>0</v>
      </c>
      <c r="Q165">
        <f t="shared" si="159"/>
        <v>1.24</v>
      </c>
      <c r="R165">
        <f t="shared" si="160"/>
        <v>0.56000000000000005</v>
      </c>
      <c r="S165">
        <f t="shared" si="161"/>
        <v>300.22000000000003</v>
      </c>
      <c r="T165">
        <f t="shared" si="162"/>
        <v>0</v>
      </c>
      <c r="U165">
        <f t="shared" si="163"/>
        <v>5.3984000000000005</v>
      </c>
      <c r="V165">
        <f t="shared" si="164"/>
        <v>5.6000000000000008E-3</v>
      </c>
      <c r="W165">
        <f t="shared" si="165"/>
        <v>0</v>
      </c>
      <c r="X165">
        <f t="shared" si="166"/>
        <v>255.66</v>
      </c>
      <c r="Y165">
        <f t="shared" si="167"/>
        <v>195.51</v>
      </c>
      <c r="AA165">
        <v>16630606</v>
      </c>
      <c r="AB165">
        <f t="shared" si="168"/>
        <v>75.5</v>
      </c>
      <c r="AC165">
        <f t="shared" ref="AC165:AC210" si="193">ROUND((ES165),2)</f>
        <v>0</v>
      </c>
      <c r="AD165">
        <f t="shared" ref="AD165:AD210" si="194">ROUND((((ET165)-(EU165))+AE165),2)</f>
        <v>0.31</v>
      </c>
      <c r="AE165">
        <f t="shared" ref="AE165:AE210" si="195">ROUND((EU165),2)</f>
        <v>0.14000000000000001</v>
      </c>
      <c r="AF165">
        <f t="shared" ref="AF165:AF210" si="196">ROUND((EV165),2)</f>
        <v>75.19</v>
      </c>
      <c r="AG165">
        <f t="shared" si="169"/>
        <v>0</v>
      </c>
      <c r="AH165">
        <f t="shared" ref="AH165:AH210" si="197">(EW165)</f>
        <v>9.64</v>
      </c>
      <c r="AI165">
        <f t="shared" ref="AI165:AI210" si="198">(EX165)</f>
        <v>0.01</v>
      </c>
      <c r="AJ165">
        <f t="shared" si="170"/>
        <v>0</v>
      </c>
      <c r="AK165">
        <v>75.5</v>
      </c>
      <c r="AL165">
        <v>0</v>
      </c>
      <c r="AM165">
        <v>0.31</v>
      </c>
      <c r="AN165">
        <v>0.14000000000000001</v>
      </c>
      <c r="AO165">
        <v>75.19</v>
      </c>
      <c r="AP165">
        <v>0</v>
      </c>
      <c r="AQ165">
        <v>9.64</v>
      </c>
      <c r="AR165">
        <v>0.01</v>
      </c>
      <c r="AS165">
        <v>0</v>
      </c>
      <c r="AT165">
        <v>85</v>
      </c>
      <c r="AU165">
        <v>65</v>
      </c>
      <c r="AV165">
        <v>1</v>
      </c>
      <c r="AW165">
        <v>1</v>
      </c>
      <c r="AZ165">
        <v>7.13</v>
      </c>
      <c r="BA165">
        <v>7.13</v>
      </c>
      <c r="BB165">
        <v>7.13</v>
      </c>
      <c r="BC165">
        <v>7.13</v>
      </c>
      <c r="BD165" t="s">
        <v>6</v>
      </c>
      <c r="BE165" t="s">
        <v>6</v>
      </c>
      <c r="BF165" t="s">
        <v>6</v>
      </c>
      <c r="BG165" t="s">
        <v>6</v>
      </c>
      <c r="BH165">
        <v>0</v>
      </c>
      <c r="BI165">
        <v>1</v>
      </c>
      <c r="BJ165" t="s">
        <v>523</v>
      </c>
      <c r="BM165">
        <v>67001</v>
      </c>
      <c r="BN165">
        <v>0</v>
      </c>
      <c r="BO165" t="s">
        <v>6</v>
      </c>
      <c r="BP165">
        <v>0</v>
      </c>
      <c r="BQ165">
        <v>6</v>
      </c>
      <c r="BR165">
        <v>0</v>
      </c>
      <c r="BS165">
        <v>7.13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6</v>
      </c>
      <c r="BZ165">
        <v>85</v>
      </c>
      <c r="CA165">
        <v>65</v>
      </c>
      <c r="CE165">
        <v>0</v>
      </c>
      <c r="CF165">
        <v>0</v>
      </c>
      <c r="CG165">
        <v>0</v>
      </c>
      <c r="CM165">
        <v>0</v>
      </c>
      <c r="CN165" t="s">
        <v>6</v>
      </c>
      <c r="CO165">
        <v>0</v>
      </c>
      <c r="CP165">
        <f t="shared" si="171"/>
        <v>301.46000000000004</v>
      </c>
      <c r="CQ165">
        <f t="shared" si="172"/>
        <v>0</v>
      </c>
      <c r="CR165">
        <f t="shared" si="173"/>
        <v>2.2103000000000002</v>
      </c>
      <c r="CS165">
        <f t="shared" si="174"/>
        <v>0.99820000000000009</v>
      </c>
      <c r="CT165">
        <f t="shared" si="175"/>
        <v>536.10469999999998</v>
      </c>
      <c r="CU165">
        <f t="shared" si="176"/>
        <v>0</v>
      </c>
      <c r="CV165">
        <f t="shared" si="177"/>
        <v>9.64</v>
      </c>
      <c r="CW165">
        <f t="shared" si="178"/>
        <v>0.01</v>
      </c>
      <c r="CX165">
        <f t="shared" si="179"/>
        <v>0</v>
      </c>
      <c r="CY165">
        <f t="shared" si="180"/>
        <v>255.66300000000004</v>
      </c>
      <c r="CZ165">
        <f t="shared" si="181"/>
        <v>195.50700000000001</v>
      </c>
      <c r="DC165" t="s">
        <v>6</v>
      </c>
      <c r="DD165" t="s">
        <v>6</v>
      </c>
      <c r="DE165" t="s">
        <v>6</v>
      </c>
      <c r="DF165" t="s">
        <v>6</v>
      </c>
      <c r="DG165" t="s">
        <v>6</v>
      </c>
      <c r="DH165" t="s">
        <v>6</v>
      </c>
      <c r="DI165" t="s">
        <v>6</v>
      </c>
      <c r="DJ165" t="s">
        <v>6</v>
      </c>
      <c r="DK165" t="s">
        <v>6</v>
      </c>
      <c r="DL165" t="s">
        <v>6</v>
      </c>
      <c r="DM165" t="s">
        <v>6</v>
      </c>
      <c r="DN165">
        <v>0</v>
      </c>
      <c r="DO165">
        <v>0</v>
      </c>
      <c r="DP165">
        <v>1</v>
      </c>
      <c r="DQ165">
        <v>1</v>
      </c>
      <c r="DU165">
        <v>1003</v>
      </c>
      <c r="DV165" t="s">
        <v>57</v>
      </c>
      <c r="DW165" t="s">
        <v>57</v>
      </c>
      <c r="DX165">
        <v>100</v>
      </c>
      <c r="EE165">
        <v>16609212</v>
      </c>
      <c r="EF165">
        <v>6</v>
      </c>
      <c r="EG165" t="s">
        <v>39</v>
      </c>
      <c r="EH165">
        <v>0</v>
      </c>
      <c r="EI165" t="s">
        <v>6</v>
      </c>
      <c r="EJ165">
        <v>1</v>
      </c>
      <c r="EK165">
        <v>67001</v>
      </c>
      <c r="EL165" t="s">
        <v>499</v>
      </c>
      <c r="EM165" t="s">
        <v>500</v>
      </c>
      <c r="EO165" t="s">
        <v>6</v>
      </c>
      <c r="EQ165">
        <v>131072</v>
      </c>
      <c r="ER165">
        <v>75.5</v>
      </c>
      <c r="ES165">
        <v>0</v>
      </c>
      <c r="ET165">
        <v>0.31</v>
      </c>
      <c r="EU165">
        <v>0.14000000000000001</v>
      </c>
      <c r="EV165">
        <v>75.19</v>
      </c>
      <c r="EW165">
        <v>9.64</v>
      </c>
      <c r="EX165">
        <v>0.01</v>
      </c>
      <c r="EY165">
        <v>0</v>
      </c>
      <c r="FQ165">
        <v>0</v>
      </c>
      <c r="FR165">
        <f t="shared" si="182"/>
        <v>0</v>
      </c>
      <c r="FS165">
        <v>0</v>
      </c>
      <c r="FX165">
        <v>85</v>
      </c>
      <c r="FY165">
        <v>65</v>
      </c>
      <c r="GA165" t="s">
        <v>6</v>
      </c>
      <c r="GD165">
        <v>0</v>
      </c>
      <c r="GF165">
        <v>-240526577</v>
      </c>
      <c r="GG165">
        <v>1</v>
      </c>
      <c r="GH165">
        <v>1</v>
      </c>
      <c r="GI165">
        <v>4</v>
      </c>
      <c r="GJ165">
        <v>0</v>
      </c>
      <c r="GK165">
        <f>ROUND(R165*(R12)/100,2)</f>
        <v>0</v>
      </c>
      <c r="GL165">
        <f t="shared" si="183"/>
        <v>0</v>
      </c>
      <c r="GM165">
        <f t="shared" si="184"/>
        <v>752.63</v>
      </c>
      <c r="GN165">
        <f t="shared" si="185"/>
        <v>752.63</v>
      </c>
      <c r="GO165">
        <f t="shared" si="186"/>
        <v>0</v>
      </c>
      <c r="GP165">
        <f t="shared" si="187"/>
        <v>0</v>
      </c>
      <c r="GR165">
        <v>0</v>
      </c>
      <c r="GS165">
        <v>3</v>
      </c>
      <c r="GT165">
        <v>0</v>
      </c>
      <c r="GU165" t="s">
        <v>6</v>
      </c>
      <c r="GV165">
        <f t="shared" si="188"/>
        <v>0</v>
      </c>
      <c r="GW165">
        <v>1</v>
      </c>
      <c r="GX165">
        <f t="shared" si="189"/>
        <v>0</v>
      </c>
      <c r="HA165">
        <v>0</v>
      </c>
      <c r="HB165">
        <v>0</v>
      </c>
      <c r="HC165">
        <f t="shared" si="190"/>
        <v>0</v>
      </c>
      <c r="IK165">
        <v>0</v>
      </c>
    </row>
    <row r="166" spans="1:245" x14ac:dyDescent="0.2">
      <c r="A166">
        <v>17</v>
      </c>
      <c r="B166">
        <v>1</v>
      </c>
      <c r="C166">
        <f>ROW(SmtRes!A339)</f>
        <v>339</v>
      </c>
      <c r="D166">
        <f>ROW(EtalonRes!A345)</f>
        <v>345</v>
      </c>
      <c r="E166" t="s">
        <v>524</v>
      </c>
      <c r="F166" t="s">
        <v>525</v>
      </c>
      <c r="G166" t="s">
        <v>526</v>
      </c>
      <c r="H166" t="s">
        <v>27</v>
      </c>
      <c r="I166">
        <f>ROUND(8/100,9)</f>
        <v>0.08</v>
      </c>
      <c r="J166">
        <v>0</v>
      </c>
      <c r="O166">
        <f t="shared" si="157"/>
        <v>28.66</v>
      </c>
      <c r="P166">
        <f t="shared" si="158"/>
        <v>0</v>
      </c>
      <c r="Q166">
        <f t="shared" si="159"/>
        <v>0.54</v>
      </c>
      <c r="R166">
        <f t="shared" si="160"/>
        <v>0.23</v>
      </c>
      <c r="S166">
        <f t="shared" si="161"/>
        <v>28.12</v>
      </c>
      <c r="T166">
        <f t="shared" si="162"/>
        <v>0</v>
      </c>
      <c r="U166">
        <f t="shared" si="163"/>
        <v>0.50560000000000005</v>
      </c>
      <c r="V166">
        <f t="shared" si="164"/>
        <v>2.3999999999999998E-3</v>
      </c>
      <c r="W166">
        <f t="shared" si="165"/>
        <v>0</v>
      </c>
      <c r="X166">
        <f t="shared" si="166"/>
        <v>24.1</v>
      </c>
      <c r="Y166">
        <f t="shared" si="167"/>
        <v>18.43</v>
      </c>
      <c r="AA166">
        <v>16630606</v>
      </c>
      <c r="AB166">
        <f t="shared" si="168"/>
        <v>50.24</v>
      </c>
      <c r="AC166">
        <f t="shared" si="193"/>
        <v>0</v>
      </c>
      <c r="AD166">
        <f t="shared" si="194"/>
        <v>0.94</v>
      </c>
      <c r="AE166">
        <f t="shared" si="195"/>
        <v>0.41</v>
      </c>
      <c r="AF166">
        <f t="shared" si="196"/>
        <v>49.3</v>
      </c>
      <c r="AG166">
        <f t="shared" si="169"/>
        <v>0</v>
      </c>
      <c r="AH166">
        <f t="shared" si="197"/>
        <v>6.32</v>
      </c>
      <c r="AI166">
        <f t="shared" si="198"/>
        <v>0.03</v>
      </c>
      <c r="AJ166">
        <f t="shared" si="170"/>
        <v>0</v>
      </c>
      <c r="AK166">
        <v>50.24</v>
      </c>
      <c r="AL166">
        <v>0</v>
      </c>
      <c r="AM166">
        <v>0.94</v>
      </c>
      <c r="AN166">
        <v>0.41</v>
      </c>
      <c r="AO166">
        <v>49.3</v>
      </c>
      <c r="AP166">
        <v>0</v>
      </c>
      <c r="AQ166">
        <v>6.32</v>
      </c>
      <c r="AR166">
        <v>0.03</v>
      </c>
      <c r="AS166">
        <v>0</v>
      </c>
      <c r="AT166">
        <v>85</v>
      </c>
      <c r="AU166">
        <v>65</v>
      </c>
      <c r="AV166">
        <v>1</v>
      </c>
      <c r="AW166">
        <v>1</v>
      </c>
      <c r="AZ166">
        <v>7.13</v>
      </c>
      <c r="BA166">
        <v>7.13</v>
      </c>
      <c r="BB166">
        <v>7.13</v>
      </c>
      <c r="BC166">
        <v>7.13</v>
      </c>
      <c r="BD166" t="s">
        <v>6</v>
      </c>
      <c r="BE166" t="s">
        <v>6</v>
      </c>
      <c r="BF166" t="s">
        <v>6</v>
      </c>
      <c r="BG166" t="s">
        <v>6</v>
      </c>
      <c r="BH166">
        <v>0</v>
      </c>
      <c r="BI166">
        <v>1</v>
      </c>
      <c r="BJ166" t="s">
        <v>527</v>
      </c>
      <c r="BM166">
        <v>67001</v>
      </c>
      <c r="BN166">
        <v>0</v>
      </c>
      <c r="BO166" t="s">
        <v>6</v>
      </c>
      <c r="BP166">
        <v>0</v>
      </c>
      <c r="BQ166">
        <v>6</v>
      </c>
      <c r="BR166">
        <v>0</v>
      </c>
      <c r="BS166">
        <v>7.13</v>
      </c>
      <c r="BT166">
        <v>1</v>
      </c>
      <c r="BU166">
        <v>1</v>
      </c>
      <c r="BV166">
        <v>1</v>
      </c>
      <c r="BW166">
        <v>1</v>
      </c>
      <c r="BX166">
        <v>1</v>
      </c>
      <c r="BY166" t="s">
        <v>6</v>
      </c>
      <c r="BZ166">
        <v>85</v>
      </c>
      <c r="CA166">
        <v>65</v>
      </c>
      <c r="CE166">
        <v>0</v>
      </c>
      <c r="CF166">
        <v>0</v>
      </c>
      <c r="CG166">
        <v>0</v>
      </c>
      <c r="CM166">
        <v>0</v>
      </c>
      <c r="CN166" t="s">
        <v>6</v>
      </c>
      <c r="CO166">
        <v>0</v>
      </c>
      <c r="CP166">
        <f t="shared" si="171"/>
        <v>28.66</v>
      </c>
      <c r="CQ166">
        <f t="shared" si="172"/>
        <v>0</v>
      </c>
      <c r="CR166">
        <f t="shared" si="173"/>
        <v>6.7021999999999995</v>
      </c>
      <c r="CS166">
        <f t="shared" si="174"/>
        <v>2.9232999999999998</v>
      </c>
      <c r="CT166">
        <f t="shared" si="175"/>
        <v>351.50899999999996</v>
      </c>
      <c r="CU166">
        <f t="shared" si="176"/>
        <v>0</v>
      </c>
      <c r="CV166">
        <f t="shared" si="177"/>
        <v>6.32</v>
      </c>
      <c r="CW166">
        <f t="shared" si="178"/>
        <v>0.03</v>
      </c>
      <c r="CX166">
        <f t="shared" si="179"/>
        <v>0</v>
      </c>
      <c r="CY166">
        <f t="shared" si="180"/>
        <v>24.0975</v>
      </c>
      <c r="CZ166">
        <f t="shared" si="181"/>
        <v>18.427499999999998</v>
      </c>
      <c r="DC166" t="s">
        <v>6</v>
      </c>
      <c r="DD166" t="s">
        <v>6</v>
      </c>
      <c r="DE166" t="s">
        <v>6</v>
      </c>
      <c r="DF166" t="s">
        <v>6</v>
      </c>
      <c r="DG166" t="s">
        <v>6</v>
      </c>
      <c r="DH166" t="s">
        <v>6</v>
      </c>
      <c r="DI166" t="s">
        <v>6</v>
      </c>
      <c r="DJ166" t="s">
        <v>6</v>
      </c>
      <c r="DK166" t="s">
        <v>6</v>
      </c>
      <c r="DL166" t="s">
        <v>6</v>
      </c>
      <c r="DM166" t="s">
        <v>6</v>
      </c>
      <c r="DN166">
        <v>0</v>
      </c>
      <c r="DO166">
        <v>0</v>
      </c>
      <c r="DP166">
        <v>1</v>
      </c>
      <c r="DQ166">
        <v>1</v>
      </c>
      <c r="DU166">
        <v>1013</v>
      </c>
      <c r="DV166" t="s">
        <v>27</v>
      </c>
      <c r="DW166" t="s">
        <v>27</v>
      </c>
      <c r="DX166">
        <v>1</v>
      </c>
      <c r="EE166">
        <v>16609212</v>
      </c>
      <c r="EF166">
        <v>6</v>
      </c>
      <c r="EG166" t="s">
        <v>39</v>
      </c>
      <c r="EH166">
        <v>0</v>
      </c>
      <c r="EI166" t="s">
        <v>6</v>
      </c>
      <c r="EJ166">
        <v>1</v>
      </c>
      <c r="EK166">
        <v>67001</v>
      </c>
      <c r="EL166" t="s">
        <v>499</v>
      </c>
      <c r="EM166" t="s">
        <v>500</v>
      </c>
      <c r="EO166" t="s">
        <v>6</v>
      </c>
      <c r="EQ166">
        <v>131072</v>
      </c>
      <c r="ER166">
        <v>50.24</v>
      </c>
      <c r="ES166">
        <v>0</v>
      </c>
      <c r="ET166">
        <v>0.94</v>
      </c>
      <c r="EU166">
        <v>0.41</v>
      </c>
      <c r="EV166">
        <v>49.3</v>
      </c>
      <c r="EW166">
        <v>6.32</v>
      </c>
      <c r="EX166">
        <v>0.03</v>
      </c>
      <c r="EY166">
        <v>0</v>
      </c>
      <c r="FQ166">
        <v>0</v>
      </c>
      <c r="FR166">
        <f t="shared" si="182"/>
        <v>0</v>
      </c>
      <c r="FS166">
        <v>0</v>
      </c>
      <c r="FX166">
        <v>85</v>
      </c>
      <c r="FY166">
        <v>65</v>
      </c>
      <c r="GA166" t="s">
        <v>6</v>
      </c>
      <c r="GD166">
        <v>0</v>
      </c>
      <c r="GF166">
        <v>-611963713</v>
      </c>
      <c r="GG166">
        <v>1</v>
      </c>
      <c r="GH166">
        <v>1</v>
      </c>
      <c r="GI166">
        <v>4</v>
      </c>
      <c r="GJ166">
        <v>0</v>
      </c>
      <c r="GK166">
        <f>ROUND(R166*(R12)/100,2)</f>
        <v>0</v>
      </c>
      <c r="GL166">
        <f t="shared" si="183"/>
        <v>0</v>
      </c>
      <c r="GM166">
        <f t="shared" si="184"/>
        <v>71.19</v>
      </c>
      <c r="GN166">
        <f t="shared" si="185"/>
        <v>71.19</v>
      </c>
      <c r="GO166">
        <f t="shared" si="186"/>
        <v>0</v>
      </c>
      <c r="GP166">
        <f t="shared" si="187"/>
        <v>0</v>
      </c>
      <c r="GR166">
        <v>0</v>
      </c>
      <c r="GS166">
        <v>3</v>
      </c>
      <c r="GT166">
        <v>0</v>
      </c>
      <c r="GU166" t="s">
        <v>6</v>
      </c>
      <c r="GV166">
        <f t="shared" si="188"/>
        <v>0</v>
      </c>
      <c r="GW166">
        <v>1</v>
      </c>
      <c r="GX166">
        <f t="shared" si="189"/>
        <v>0</v>
      </c>
      <c r="HA166">
        <v>0</v>
      </c>
      <c r="HB166">
        <v>0</v>
      </c>
      <c r="HC166">
        <f t="shared" si="190"/>
        <v>0</v>
      </c>
      <c r="IK166">
        <v>0</v>
      </c>
    </row>
    <row r="167" spans="1:245" x14ac:dyDescent="0.2">
      <c r="A167">
        <v>17</v>
      </c>
      <c r="B167">
        <v>1</v>
      </c>
      <c r="C167">
        <f>ROW(SmtRes!A342)</f>
        <v>342</v>
      </c>
      <c r="D167">
        <f>ROW(EtalonRes!A348)</f>
        <v>348</v>
      </c>
      <c r="E167" t="s">
        <v>528</v>
      </c>
      <c r="F167" t="s">
        <v>529</v>
      </c>
      <c r="G167" t="s">
        <v>530</v>
      </c>
      <c r="H167" t="s">
        <v>27</v>
      </c>
      <c r="I167">
        <f>ROUND(35/100,9)</f>
        <v>0.35</v>
      </c>
      <c r="J167">
        <v>0</v>
      </c>
      <c r="O167">
        <f t="shared" si="157"/>
        <v>364.29</v>
      </c>
      <c r="P167">
        <f t="shared" si="158"/>
        <v>0</v>
      </c>
      <c r="Q167">
        <f t="shared" si="159"/>
        <v>6.24</v>
      </c>
      <c r="R167">
        <f t="shared" si="160"/>
        <v>2.7</v>
      </c>
      <c r="S167">
        <f t="shared" si="161"/>
        <v>358.05</v>
      </c>
      <c r="T167">
        <f t="shared" si="162"/>
        <v>0</v>
      </c>
      <c r="U167">
        <f t="shared" si="163"/>
        <v>6.2614999999999998</v>
      </c>
      <c r="V167">
        <f t="shared" si="164"/>
        <v>2.7999999999999997E-2</v>
      </c>
      <c r="W167">
        <f t="shared" si="165"/>
        <v>0</v>
      </c>
      <c r="X167">
        <f t="shared" si="166"/>
        <v>306.64</v>
      </c>
      <c r="Y167">
        <f t="shared" si="167"/>
        <v>234.49</v>
      </c>
      <c r="AA167">
        <v>16630606</v>
      </c>
      <c r="AB167">
        <f t="shared" si="168"/>
        <v>145.97999999999999</v>
      </c>
      <c r="AC167">
        <f t="shared" si="193"/>
        <v>0</v>
      </c>
      <c r="AD167">
        <f t="shared" si="194"/>
        <v>2.5</v>
      </c>
      <c r="AE167">
        <f t="shared" si="195"/>
        <v>1.08</v>
      </c>
      <c r="AF167">
        <f t="shared" si="196"/>
        <v>143.47999999999999</v>
      </c>
      <c r="AG167">
        <f t="shared" si="169"/>
        <v>0</v>
      </c>
      <c r="AH167">
        <f t="shared" si="197"/>
        <v>17.89</v>
      </c>
      <c r="AI167">
        <f t="shared" si="198"/>
        <v>0.08</v>
      </c>
      <c r="AJ167">
        <f t="shared" si="170"/>
        <v>0</v>
      </c>
      <c r="AK167">
        <v>145.97999999999999</v>
      </c>
      <c r="AL167">
        <v>0</v>
      </c>
      <c r="AM167">
        <v>2.5</v>
      </c>
      <c r="AN167">
        <v>1.08</v>
      </c>
      <c r="AO167">
        <v>143.47999999999999</v>
      </c>
      <c r="AP167">
        <v>0</v>
      </c>
      <c r="AQ167">
        <v>17.89</v>
      </c>
      <c r="AR167">
        <v>0.08</v>
      </c>
      <c r="AS167">
        <v>0</v>
      </c>
      <c r="AT167">
        <v>85</v>
      </c>
      <c r="AU167">
        <v>65</v>
      </c>
      <c r="AV167">
        <v>1</v>
      </c>
      <c r="AW167">
        <v>1</v>
      </c>
      <c r="AZ167">
        <v>7.13</v>
      </c>
      <c r="BA167">
        <v>7.13</v>
      </c>
      <c r="BB167">
        <v>7.13</v>
      </c>
      <c r="BC167">
        <v>7.13</v>
      </c>
      <c r="BD167" t="s">
        <v>6</v>
      </c>
      <c r="BE167" t="s">
        <v>6</v>
      </c>
      <c r="BF167" t="s">
        <v>6</v>
      </c>
      <c r="BG167" t="s">
        <v>6</v>
      </c>
      <c r="BH167">
        <v>0</v>
      </c>
      <c r="BI167">
        <v>1</v>
      </c>
      <c r="BJ167" t="s">
        <v>531</v>
      </c>
      <c r="BM167">
        <v>67001</v>
      </c>
      <c r="BN167">
        <v>0</v>
      </c>
      <c r="BO167" t="s">
        <v>6</v>
      </c>
      <c r="BP167">
        <v>0</v>
      </c>
      <c r="BQ167">
        <v>6</v>
      </c>
      <c r="BR167">
        <v>0</v>
      </c>
      <c r="BS167">
        <v>7.13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6</v>
      </c>
      <c r="BZ167">
        <v>85</v>
      </c>
      <c r="CA167">
        <v>65</v>
      </c>
      <c r="CE167">
        <v>0</v>
      </c>
      <c r="CF167">
        <v>0</v>
      </c>
      <c r="CG167">
        <v>0</v>
      </c>
      <c r="CM167">
        <v>0</v>
      </c>
      <c r="CN167" t="s">
        <v>6</v>
      </c>
      <c r="CO167">
        <v>0</v>
      </c>
      <c r="CP167">
        <f t="shared" si="171"/>
        <v>364.29</v>
      </c>
      <c r="CQ167">
        <f t="shared" si="172"/>
        <v>0</v>
      </c>
      <c r="CR167">
        <f t="shared" si="173"/>
        <v>17.824999999999999</v>
      </c>
      <c r="CS167">
        <f t="shared" si="174"/>
        <v>7.7004000000000001</v>
      </c>
      <c r="CT167">
        <f t="shared" si="175"/>
        <v>1023.0124</v>
      </c>
      <c r="CU167">
        <f t="shared" si="176"/>
        <v>0</v>
      </c>
      <c r="CV167">
        <f t="shared" si="177"/>
        <v>17.89</v>
      </c>
      <c r="CW167">
        <f t="shared" si="178"/>
        <v>0.08</v>
      </c>
      <c r="CX167">
        <f t="shared" si="179"/>
        <v>0</v>
      </c>
      <c r="CY167">
        <f t="shared" si="180"/>
        <v>306.63749999999999</v>
      </c>
      <c r="CZ167">
        <f t="shared" si="181"/>
        <v>234.48750000000001</v>
      </c>
      <c r="DC167" t="s">
        <v>6</v>
      </c>
      <c r="DD167" t="s">
        <v>6</v>
      </c>
      <c r="DE167" t="s">
        <v>6</v>
      </c>
      <c r="DF167" t="s">
        <v>6</v>
      </c>
      <c r="DG167" t="s">
        <v>6</v>
      </c>
      <c r="DH167" t="s">
        <v>6</v>
      </c>
      <c r="DI167" t="s">
        <v>6</v>
      </c>
      <c r="DJ167" t="s">
        <v>6</v>
      </c>
      <c r="DK167" t="s">
        <v>6</v>
      </c>
      <c r="DL167" t="s">
        <v>6</v>
      </c>
      <c r="DM167" t="s">
        <v>6</v>
      </c>
      <c r="DN167">
        <v>0</v>
      </c>
      <c r="DO167">
        <v>0</v>
      </c>
      <c r="DP167">
        <v>1</v>
      </c>
      <c r="DQ167">
        <v>1</v>
      </c>
      <c r="DU167">
        <v>1013</v>
      </c>
      <c r="DV167" t="s">
        <v>27</v>
      </c>
      <c r="DW167" t="s">
        <v>27</v>
      </c>
      <c r="DX167">
        <v>1</v>
      </c>
      <c r="EE167">
        <v>16609212</v>
      </c>
      <c r="EF167">
        <v>6</v>
      </c>
      <c r="EG167" t="s">
        <v>39</v>
      </c>
      <c r="EH167">
        <v>0</v>
      </c>
      <c r="EI167" t="s">
        <v>6</v>
      </c>
      <c r="EJ167">
        <v>1</v>
      </c>
      <c r="EK167">
        <v>67001</v>
      </c>
      <c r="EL167" t="s">
        <v>499</v>
      </c>
      <c r="EM167" t="s">
        <v>500</v>
      </c>
      <c r="EO167" t="s">
        <v>6</v>
      </c>
      <c r="EQ167">
        <v>131072</v>
      </c>
      <c r="ER167">
        <v>145.97999999999999</v>
      </c>
      <c r="ES167">
        <v>0</v>
      </c>
      <c r="ET167">
        <v>2.5</v>
      </c>
      <c r="EU167">
        <v>1.08</v>
      </c>
      <c r="EV167">
        <v>143.47999999999999</v>
      </c>
      <c r="EW167">
        <v>17.89</v>
      </c>
      <c r="EX167">
        <v>0.08</v>
      </c>
      <c r="EY167">
        <v>0</v>
      </c>
      <c r="FQ167">
        <v>0</v>
      </c>
      <c r="FR167">
        <f t="shared" si="182"/>
        <v>0</v>
      </c>
      <c r="FS167">
        <v>0</v>
      </c>
      <c r="FX167">
        <v>85</v>
      </c>
      <c r="FY167">
        <v>65</v>
      </c>
      <c r="GA167" t="s">
        <v>6</v>
      </c>
      <c r="GD167">
        <v>0</v>
      </c>
      <c r="GF167">
        <v>-194580641</v>
      </c>
      <c r="GG167">
        <v>1</v>
      </c>
      <c r="GH167">
        <v>1</v>
      </c>
      <c r="GI167">
        <v>4</v>
      </c>
      <c r="GJ167">
        <v>0</v>
      </c>
      <c r="GK167">
        <f>ROUND(R167*(R12)/100,2)</f>
        <v>0</v>
      </c>
      <c r="GL167">
        <f t="shared" si="183"/>
        <v>0</v>
      </c>
      <c r="GM167">
        <f t="shared" si="184"/>
        <v>905.42</v>
      </c>
      <c r="GN167">
        <f t="shared" si="185"/>
        <v>905.42</v>
      </c>
      <c r="GO167">
        <f t="shared" si="186"/>
        <v>0</v>
      </c>
      <c r="GP167">
        <f t="shared" si="187"/>
        <v>0</v>
      </c>
      <c r="GR167">
        <v>0</v>
      </c>
      <c r="GS167">
        <v>3</v>
      </c>
      <c r="GT167">
        <v>0</v>
      </c>
      <c r="GU167" t="s">
        <v>6</v>
      </c>
      <c r="GV167">
        <f t="shared" si="188"/>
        <v>0</v>
      </c>
      <c r="GW167">
        <v>1</v>
      </c>
      <c r="GX167">
        <f t="shared" si="189"/>
        <v>0</v>
      </c>
      <c r="HA167">
        <v>0</v>
      </c>
      <c r="HB167">
        <v>0</v>
      </c>
      <c r="HC167">
        <f t="shared" si="190"/>
        <v>0</v>
      </c>
      <c r="IK167">
        <v>0</v>
      </c>
    </row>
    <row r="168" spans="1:245" x14ac:dyDescent="0.2">
      <c r="A168">
        <v>17</v>
      </c>
      <c r="B168">
        <v>1</v>
      </c>
      <c r="C168">
        <f>ROW(SmtRes!A351)</f>
        <v>351</v>
      </c>
      <c r="D168">
        <f>ROW(EtalonRes!A355)</f>
        <v>355</v>
      </c>
      <c r="E168" t="s">
        <v>532</v>
      </c>
      <c r="F168" t="s">
        <v>533</v>
      </c>
      <c r="G168" t="s">
        <v>534</v>
      </c>
      <c r="H168" t="s">
        <v>27</v>
      </c>
      <c r="I168">
        <f>ROUND(12/100,9)</f>
        <v>0.12</v>
      </c>
      <c r="J168">
        <v>0</v>
      </c>
      <c r="O168">
        <f t="shared" si="157"/>
        <v>1166.99</v>
      </c>
      <c r="P168">
        <f t="shared" si="158"/>
        <v>116.45</v>
      </c>
      <c r="Q168">
        <f t="shared" si="159"/>
        <v>45.61</v>
      </c>
      <c r="R168">
        <f t="shared" si="160"/>
        <v>6.44</v>
      </c>
      <c r="S168">
        <f t="shared" si="161"/>
        <v>1004.93</v>
      </c>
      <c r="T168">
        <f t="shared" si="162"/>
        <v>0</v>
      </c>
      <c r="U168">
        <f t="shared" si="163"/>
        <v>14.208</v>
      </c>
      <c r="V168">
        <f t="shared" si="164"/>
        <v>7.1999999999999995E-2</v>
      </c>
      <c r="W168">
        <f t="shared" si="165"/>
        <v>0</v>
      </c>
      <c r="X168">
        <f t="shared" si="166"/>
        <v>960.8</v>
      </c>
      <c r="Y168">
        <f t="shared" si="167"/>
        <v>657.39</v>
      </c>
      <c r="AA168">
        <v>16630606</v>
      </c>
      <c r="AB168">
        <f t="shared" si="168"/>
        <v>1363.94</v>
      </c>
      <c r="AC168">
        <f t="shared" si="193"/>
        <v>136.1</v>
      </c>
      <c r="AD168">
        <f t="shared" si="194"/>
        <v>53.31</v>
      </c>
      <c r="AE168">
        <f t="shared" si="195"/>
        <v>7.53</v>
      </c>
      <c r="AF168">
        <f t="shared" si="196"/>
        <v>1174.53</v>
      </c>
      <c r="AG168">
        <f t="shared" si="169"/>
        <v>0</v>
      </c>
      <c r="AH168">
        <f t="shared" si="197"/>
        <v>118.4</v>
      </c>
      <c r="AI168">
        <f t="shared" si="198"/>
        <v>0.6</v>
      </c>
      <c r="AJ168">
        <f t="shared" si="170"/>
        <v>0</v>
      </c>
      <c r="AK168">
        <v>1363.94</v>
      </c>
      <c r="AL168">
        <v>136.1</v>
      </c>
      <c r="AM168">
        <v>53.31</v>
      </c>
      <c r="AN168">
        <v>7.53</v>
      </c>
      <c r="AO168">
        <v>1174.53</v>
      </c>
      <c r="AP168">
        <v>0</v>
      </c>
      <c r="AQ168">
        <v>118.4</v>
      </c>
      <c r="AR168">
        <v>0.6</v>
      </c>
      <c r="AS168">
        <v>0</v>
      </c>
      <c r="AT168">
        <v>95</v>
      </c>
      <c r="AU168">
        <v>65</v>
      </c>
      <c r="AV168">
        <v>1</v>
      </c>
      <c r="AW168">
        <v>1</v>
      </c>
      <c r="AZ168">
        <v>7.13</v>
      </c>
      <c r="BA168">
        <v>7.13</v>
      </c>
      <c r="BB168">
        <v>7.13</v>
      </c>
      <c r="BC168">
        <v>7.13</v>
      </c>
      <c r="BD168" t="s">
        <v>6</v>
      </c>
      <c r="BE168" t="s">
        <v>6</v>
      </c>
      <c r="BF168" t="s">
        <v>6</v>
      </c>
      <c r="BG168" t="s">
        <v>6</v>
      </c>
      <c r="BH168">
        <v>0</v>
      </c>
      <c r="BI168">
        <v>2</v>
      </c>
      <c r="BJ168" t="s">
        <v>535</v>
      </c>
      <c r="BM168">
        <v>108001</v>
      </c>
      <c r="BN168">
        <v>0</v>
      </c>
      <c r="BO168" t="s">
        <v>6</v>
      </c>
      <c r="BP168">
        <v>0</v>
      </c>
      <c r="BQ168">
        <v>3</v>
      </c>
      <c r="BR168">
        <v>0</v>
      </c>
      <c r="BS168">
        <v>7.13</v>
      </c>
      <c r="BT168">
        <v>1</v>
      </c>
      <c r="BU168">
        <v>1</v>
      </c>
      <c r="BV168">
        <v>1</v>
      </c>
      <c r="BW168">
        <v>1</v>
      </c>
      <c r="BX168">
        <v>1</v>
      </c>
      <c r="BY168" t="s">
        <v>6</v>
      </c>
      <c r="BZ168">
        <v>95</v>
      </c>
      <c r="CA168">
        <v>65</v>
      </c>
      <c r="CE168">
        <v>0</v>
      </c>
      <c r="CF168">
        <v>0</v>
      </c>
      <c r="CG168">
        <v>0</v>
      </c>
      <c r="CM168">
        <v>0</v>
      </c>
      <c r="CN168" t="s">
        <v>6</v>
      </c>
      <c r="CO168">
        <v>0</v>
      </c>
      <c r="CP168">
        <f t="shared" si="171"/>
        <v>1166.99</v>
      </c>
      <c r="CQ168">
        <f t="shared" si="172"/>
        <v>970.39299999999992</v>
      </c>
      <c r="CR168">
        <f t="shared" si="173"/>
        <v>380.1003</v>
      </c>
      <c r="CS168">
        <f t="shared" si="174"/>
        <v>53.688900000000004</v>
      </c>
      <c r="CT168">
        <f t="shared" si="175"/>
        <v>8374.3989000000001</v>
      </c>
      <c r="CU168">
        <f t="shared" si="176"/>
        <v>0</v>
      </c>
      <c r="CV168">
        <f t="shared" si="177"/>
        <v>118.4</v>
      </c>
      <c r="CW168">
        <f t="shared" si="178"/>
        <v>0.6</v>
      </c>
      <c r="CX168">
        <f t="shared" si="179"/>
        <v>0</v>
      </c>
      <c r="CY168">
        <f t="shared" si="180"/>
        <v>960.80149999999992</v>
      </c>
      <c r="CZ168">
        <f t="shared" si="181"/>
        <v>657.39049999999997</v>
      </c>
      <c r="DC168" t="s">
        <v>6</v>
      </c>
      <c r="DD168" t="s">
        <v>6</v>
      </c>
      <c r="DE168" t="s">
        <v>6</v>
      </c>
      <c r="DF168" t="s">
        <v>6</v>
      </c>
      <c r="DG168" t="s">
        <v>6</v>
      </c>
      <c r="DH168" t="s">
        <v>6</v>
      </c>
      <c r="DI168" t="s">
        <v>6</v>
      </c>
      <c r="DJ168" t="s">
        <v>6</v>
      </c>
      <c r="DK168" t="s">
        <v>6</v>
      </c>
      <c r="DL168" t="s">
        <v>6</v>
      </c>
      <c r="DM168" t="s">
        <v>6</v>
      </c>
      <c r="DN168">
        <v>0</v>
      </c>
      <c r="DO168">
        <v>0</v>
      </c>
      <c r="DP168">
        <v>1</v>
      </c>
      <c r="DQ168">
        <v>1</v>
      </c>
      <c r="DU168">
        <v>1013</v>
      </c>
      <c r="DV168" t="s">
        <v>27</v>
      </c>
      <c r="DW168" t="s">
        <v>27</v>
      </c>
      <c r="DX168">
        <v>1</v>
      </c>
      <c r="EE168">
        <v>16609228</v>
      </c>
      <c r="EF168">
        <v>3</v>
      </c>
      <c r="EG168" t="s">
        <v>491</v>
      </c>
      <c r="EH168">
        <v>0</v>
      </c>
      <c r="EI168" t="s">
        <v>6</v>
      </c>
      <c r="EJ168">
        <v>2</v>
      </c>
      <c r="EK168">
        <v>108001</v>
      </c>
      <c r="EL168" t="s">
        <v>492</v>
      </c>
      <c r="EM168" t="s">
        <v>493</v>
      </c>
      <c r="EO168" t="s">
        <v>6</v>
      </c>
      <c r="EQ168">
        <v>131072</v>
      </c>
      <c r="ER168">
        <v>1363.94</v>
      </c>
      <c r="ES168">
        <v>136.1</v>
      </c>
      <c r="ET168">
        <v>53.31</v>
      </c>
      <c r="EU168">
        <v>7.53</v>
      </c>
      <c r="EV168">
        <v>1174.53</v>
      </c>
      <c r="EW168">
        <v>118.4</v>
      </c>
      <c r="EX168">
        <v>0.6</v>
      </c>
      <c r="EY168">
        <v>0</v>
      </c>
      <c r="FQ168">
        <v>0</v>
      </c>
      <c r="FR168">
        <f t="shared" si="182"/>
        <v>0</v>
      </c>
      <c r="FS168">
        <v>0</v>
      </c>
      <c r="FX168">
        <v>95</v>
      </c>
      <c r="FY168">
        <v>65</v>
      </c>
      <c r="GA168" t="s">
        <v>6</v>
      </c>
      <c r="GD168">
        <v>0</v>
      </c>
      <c r="GF168">
        <v>396699014</v>
      </c>
      <c r="GG168">
        <v>1</v>
      </c>
      <c r="GH168">
        <v>1</v>
      </c>
      <c r="GI168">
        <v>4</v>
      </c>
      <c r="GJ168">
        <v>0</v>
      </c>
      <c r="GK168">
        <f>ROUND(R168*(R12)/100,2)</f>
        <v>0</v>
      </c>
      <c r="GL168">
        <f t="shared" si="183"/>
        <v>0</v>
      </c>
      <c r="GM168">
        <f t="shared" si="184"/>
        <v>2785.18</v>
      </c>
      <c r="GN168">
        <f t="shared" si="185"/>
        <v>0</v>
      </c>
      <c r="GO168">
        <f t="shared" si="186"/>
        <v>2785.18</v>
      </c>
      <c r="GP168">
        <f t="shared" si="187"/>
        <v>0</v>
      </c>
      <c r="GR168">
        <v>0</v>
      </c>
      <c r="GS168">
        <v>3</v>
      </c>
      <c r="GT168">
        <v>0</v>
      </c>
      <c r="GU168" t="s">
        <v>6</v>
      </c>
      <c r="GV168">
        <f t="shared" si="188"/>
        <v>0</v>
      </c>
      <c r="GW168">
        <v>1</v>
      </c>
      <c r="GX168">
        <f t="shared" si="189"/>
        <v>0</v>
      </c>
      <c r="HA168">
        <v>0</v>
      </c>
      <c r="HB168">
        <v>0</v>
      </c>
      <c r="HC168">
        <f t="shared" si="190"/>
        <v>0</v>
      </c>
      <c r="IK168">
        <v>0</v>
      </c>
    </row>
    <row r="169" spans="1:245" x14ac:dyDescent="0.2">
      <c r="A169">
        <v>18</v>
      </c>
      <c r="B169">
        <v>1</v>
      </c>
      <c r="C169">
        <v>349</v>
      </c>
      <c r="E169" t="s">
        <v>536</v>
      </c>
      <c r="F169" t="s">
        <v>537</v>
      </c>
      <c r="G169" t="s">
        <v>538</v>
      </c>
      <c r="H169" t="s">
        <v>132</v>
      </c>
      <c r="I169">
        <f>I168*J169</f>
        <v>8</v>
      </c>
      <c r="J169">
        <v>66.666666666666671</v>
      </c>
      <c r="O169">
        <f t="shared" si="157"/>
        <v>18509.48</v>
      </c>
      <c r="P169">
        <f t="shared" si="158"/>
        <v>18509.48</v>
      </c>
      <c r="Q169">
        <f t="shared" si="159"/>
        <v>0</v>
      </c>
      <c r="R169">
        <f t="shared" si="160"/>
        <v>0</v>
      </c>
      <c r="S169">
        <f t="shared" si="161"/>
        <v>0</v>
      </c>
      <c r="T169">
        <f t="shared" si="162"/>
        <v>0</v>
      </c>
      <c r="U169">
        <f t="shared" si="163"/>
        <v>0</v>
      </c>
      <c r="V169">
        <f t="shared" si="164"/>
        <v>0</v>
      </c>
      <c r="W169">
        <f t="shared" si="165"/>
        <v>0</v>
      </c>
      <c r="X169">
        <f t="shared" si="166"/>
        <v>0</v>
      </c>
      <c r="Y169">
        <f t="shared" si="167"/>
        <v>0</v>
      </c>
      <c r="AA169">
        <v>16630606</v>
      </c>
      <c r="AB169">
        <f t="shared" si="168"/>
        <v>324.5</v>
      </c>
      <c r="AC169">
        <f t="shared" si="193"/>
        <v>324.5</v>
      </c>
      <c r="AD169">
        <f t="shared" si="194"/>
        <v>0</v>
      </c>
      <c r="AE169">
        <f t="shared" si="195"/>
        <v>0</v>
      </c>
      <c r="AF169">
        <f t="shared" si="196"/>
        <v>0</v>
      </c>
      <c r="AG169">
        <f t="shared" si="169"/>
        <v>0</v>
      </c>
      <c r="AH169">
        <f t="shared" si="197"/>
        <v>0</v>
      </c>
      <c r="AI169">
        <f t="shared" si="198"/>
        <v>0</v>
      </c>
      <c r="AJ169">
        <f t="shared" si="170"/>
        <v>0</v>
      </c>
      <c r="AK169">
        <v>324.5</v>
      </c>
      <c r="AL169">
        <v>324.5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95</v>
      </c>
      <c r="AU169">
        <v>65</v>
      </c>
      <c r="AV169">
        <v>1</v>
      </c>
      <c r="AW169">
        <v>1</v>
      </c>
      <c r="AZ169">
        <v>7.13</v>
      </c>
      <c r="BA169">
        <v>1</v>
      </c>
      <c r="BB169">
        <v>1</v>
      </c>
      <c r="BC169">
        <v>7.13</v>
      </c>
      <c r="BD169" t="s">
        <v>6</v>
      </c>
      <c r="BE169" t="s">
        <v>6</v>
      </c>
      <c r="BF169" t="s">
        <v>6</v>
      </c>
      <c r="BG169" t="s">
        <v>6</v>
      </c>
      <c r="BH169">
        <v>3</v>
      </c>
      <c r="BI169">
        <v>2</v>
      </c>
      <c r="BJ169" t="s">
        <v>539</v>
      </c>
      <c r="BM169">
        <v>108001</v>
      </c>
      <c r="BN169">
        <v>0</v>
      </c>
      <c r="BO169" t="s">
        <v>6</v>
      </c>
      <c r="BP169">
        <v>0</v>
      </c>
      <c r="BQ169">
        <v>3</v>
      </c>
      <c r="BR169">
        <v>0</v>
      </c>
      <c r="BS169">
        <v>1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6</v>
      </c>
      <c r="BZ169">
        <v>95</v>
      </c>
      <c r="CA169">
        <v>65</v>
      </c>
      <c r="CE169">
        <v>0</v>
      </c>
      <c r="CF169">
        <v>0</v>
      </c>
      <c r="CG169">
        <v>0</v>
      </c>
      <c r="CM169">
        <v>0</v>
      </c>
      <c r="CN169" t="s">
        <v>6</v>
      </c>
      <c r="CO169">
        <v>0</v>
      </c>
      <c r="CP169">
        <f t="shared" si="171"/>
        <v>18509.48</v>
      </c>
      <c r="CQ169">
        <f t="shared" si="172"/>
        <v>2313.6849999999999</v>
      </c>
      <c r="CR169">
        <f t="shared" si="173"/>
        <v>0</v>
      </c>
      <c r="CS169">
        <f t="shared" si="174"/>
        <v>0</v>
      </c>
      <c r="CT169">
        <f t="shared" si="175"/>
        <v>0</v>
      </c>
      <c r="CU169">
        <f t="shared" si="176"/>
        <v>0</v>
      </c>
      <c r="CV169">
        <f t="shared" si="177"/>
        <v>0</v>
      </c>
      <c r="CW169">
        <f t="shared" si="178"/>
        <v>0</v>
      </c>
      <c r="CX169">
        <f t="shared" si="179"/>
        <v>0</v>
      </c>
      <c r="CY169">
        <f t="shared" si="180"/>
        <v>0</v>
      </c>
      <c r="CZ169">
        <f t="shared" si="181"/>
        <v>0</v>
      </c>
      <c r="DC169" t="s">
        <v>6</v>
      </c>
      <c r="DD169" t="s">
        <v>6</v>
      </c>
      <c r="DE169" t="s">
        <v>6</v>
      </c>
      <c r="DF169" t="s">
        <v>6</v>
      </c>
      <c r="DG169" t="s">
        <v>6</v>
      </c>
      <c r="DH169" t="s">
        <v>6</v>
      </c>
      <c r="DI169" t="s">
        <v>6</v>
      </c>
      <c r="DJ169" t="s">
        <v>6</v>
      </c>
      <c r="DK169" t="s">
        <v>6</v>
      </c>
      <c r="DL169" t="s">
        <v>6</v>
      </c>
      <c r="DM169" t="s">
        <v>6</v>
      </c>
      <c r="DN169">
        <v>0</v>
      </c>
      <c r="DO169">
        <v>0</v>
      </c>
      <c r="DP169">
        <v>1</v>
      </c>
      <c r="DQ169">
        <v>1</v>
      </c>
      <c r="DU169">
        <v>1010</v>
      </c>
      <c r="DV169" t="s">
        <v>132</v>
      </c>
      <c r="DW169" t="s">
        <v>132</v>
      </c>
      <c r="DX169">
        <v>1</v>
      </c>
      <c r="EE169">
        <v>16609228</v>
      </c>
      <c r="EF169">
        <v>3</v>
      </c>
      <c r="EG169" t="s">
        <v>491</v>
      </c>
      <c r="EH169">
        <v>0</v>
      </c>
      <c r="EI169" t="s">
        <v>6</v>
      </c>
      <c r="EJ169">
        <v>2</v>
      </c>
      <c r="EK169">
        <v>108001</v>
      </c>
      <c r="EL169" t="s">
        <v>492</v>
      </c>
      <c r="EM169" t="s">
        <v>493</v>
      </c>
      <c r="EO169" t="s">
        <v>6</v>
      </c>
      <c r="EQ169">
        <v>0</v>
      </c>
      <c r="ER169">
        <v>324.5</v>
      </c>
      <c r="ES169">
        <v>324.5</v>
      </c>
      <c r="ET169">
        <v>0</v>
      </c>
      <c r="EU169">
        <v>0</v>
      </c>
      <c r="EV169">
        <v>0</v>
      </c>
      <c r="EW169">
        <v>0</v>
      </c>
      <c r="EX169">
        <v>0</v>
      </c>
      <c r="FQ169">
        <v>0</v>
      </c>
      <c r="FR169">
        <f t="shared" si="182"/>
        <v>0</v>
      </c>
      <c r="FS169">
        <v>0</v>
      </c>
      <c r="FX169">
        <v>95</v>
      </c>
      <c r="FY169">
        <v>65</v>
      </c>
      <c r="GA169" t="s">
        <v>6</v>
      </c>
      <c r="GD169">
        <v>0</v>
      </c>
      <c r="GF169">
        <v>-1636632573</v>
      </c>
      <c r="GG169">
        <v>1</v>
      </c>
      <c r="GH169">
        <v>1</v>
      </c>
      <c r="GI169">
        <v>4</v>
      </c>
      <c r="GJ169">
        <v>0</v>
      </c>
      <c r="GK169">
        <f>ROUND(R169*(R12)/100,2)</f>
        <v>0</v>
      </c>
      <c r="GL169">
        <f t="shared" si="183"/>
        <v>0</v>
      </c>
      <c r="GM169">
        <f t="shared" si="184"/>
        <v>18509.48</v>
      </c>
      <c r="GN169">
        <f t="shared" si="185"/>
        <v>0</v>
      </c>
      <c r="GO169">
        <f t="shared" si="186"/>
        <v>18509.48</v>
      </c>
      <c r="GP169">
        <f t="shared" si="187"/>
        <v>0</v>
      </c>
      <c r="GR169">
        <v>0</v>
      </c>
      <c r="GS169">
        <v>3</v>
      </c>
      <c r="GT169">
        <v>0</v>
      </c>
      <c r="GU169" t="s">
        <v>6</v>
      </c>
      <c r="GV169">
        <f t="shared" si="188"/>
        <v>0</v>
      </c>
      <c r="GW169">
        <v>1</v>
      </c>
      <c r="GX169">
        <f t="shared" si="189"/>
        <v>0</v>
      </c>
      <c r="HA169">
        <v>0</v>
      </c>
      <c r="HB169">
        <v>0</v>
      </c>
      <c r="HC169">
        <f t="shared" si="190"/>
        <v>0</v>
      </c>
      <c r="IK169">
        <v>0</v>
      </c>
    </row>
    <row r="170" spans="1:245" x14ac:dyDescent="0.2">
      <c r="A170">
        <v>18</v>
      </c>
      <c r="B170">
        <v>1</v>
      </c>
      <c r="C170">
        <v>348</v>
      </c>
      <c r="E170" t="s">
        <v>540</v>
      </c>
      <c r="F170" t="s">
        <v>541</v>
      </c>
      <c r="G170" t="s">
        <v>542</v>
      </c>
      <c r="H170" t="s">
        <v>132</v>
      </c>
      <c r="I170">
        <f>I168*J170</f>
        <v>4</v>
      </c>
      <c r="J170">
        <v>33.333333333333336</v>
      </c>
      <c r="O170">
        <f t="shared" si="157"/>
        <v>2907.9</v>
      </c>
      <c r="P170">
        <f t="shared" si="158"/>
        <v>2907.9</v>
      </c>
      <c r="Q170">
        <f t="shared" si="159"/>
        <v>0</v>
      </c>
      <c r="R170">
        <f t="shared" si="160"/>
        <v>0</v>
      </c>
      <c r="S170">
        <f t="shared" si="161"/>
        <v>0</v>
      </c>
      <c r="T170">
        <f t="shared" si="162"/>
        <v>0</v>
      </c>
      <c r="U170">
        <f t="shared" si="163"/>
        <v>0</v>
      </c>
      <c r="V170">
        <f t="shared" si="164"/>
        <v>0</v>
      </c>
      <c r="W170">
        <f t="shared" si="165"/>
        <v>0</v>
      </c>
      <c r="X170">
        <f t="shared" si="166"/>
        <v>0</v>
      </c>
      <c r="Y170">
        <f t="shared" si="167"/>
        <v>0</v>
      </c>
      <c r="AA170">
        <v>16630606</v>
      </c>
      <c r="AB170">
        <f t="shared" si="168"/>
        <v>101.96</v>
      </c>
      <c r="AC170">
        <f t="shared" si="193"/>
        <v>101.96</v>
      </c>
      <c r="AD170">
        <f t="shared" si="194"/>
        <v>0</v>
      </c>
      <c r="AE170">
        <f t="shared" si="195"/>
        <v>0</v>
      </c>
      <c r="AF170">
        <f t="shared" si="196"/>
        <v>0</v>
      </c>
      <c r="AG170">
        <f t="shared" si="169"/>
        <v>0</v>
      </c>
      <c r="AH170">
        <f t="shared" si="197"/>
        <v>0</v>
      </c>
      <c r="AI170">
        <f t="shared" si="198"/>
        <v>0</v>
      </c>
      <c r="AJ170">
        <f t="shared" si="170"/>
        <v>0</v>
      </c>
      <c r="AK170">
        <v>101.96</v>
      </c>
      <c r="AL170">
        <v>101.96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95</v>
      </c>
      <c r="AU170">
        <v>65</v>
      </c>
      <c r="AV170">
        <v>1</v>
      </c>
      <c r="AW170">
        <v>1</v>
      </c>
      <c r="AZ170">
        <v>7.13</v>
      </c>
      <c r="BA170">
        <v>1</v>
      </c>
      <c r="BB170">
        <v>1</v>
      </c>
      <c r="BC170">
        <v>7.13</v>
      </c>
      <c r="BD170" t="s">
        <v>6</v>
      </c>
      <c r="BE170" t="s">
        <v>6</v>
      </c>
      <c r="BF170" t="s">
        <v>6</v>
      </c>
      <c r="BG170" t="s">
        <v>6</v>
      </c>
      <c r="BH170">
        <v>3</v>
      </c>
      <c r="BI170">
        <v>2</v>
      </c>
      <c r="BJ170" t="s">
        <v>543</v>
      </c>
      <c r="BM170">
        <v>108001</v>
      </c>
      <c r="BN170">
        <v>0</v>
      </c>
      <c r="BO170" t="s">
        <v>6</v>
      </c>
      <c r="BP170">
        <v>0</v>
      </c>
      <c r="BQ170">
        <v>3</v>
      </c>
      <c r="BR170">
        <v>0</v>
      </c>
      <c r="BS170">
        <v>1</v>
      </c>
      <c r="BT170">
        <v>1</v>
      </c>
      <c r="BU170">
        <v>1</v>
      </c>
      <c r="BV170">
        <v>1</v>
      </c>
      <c r="BW170">
        <v>1</v>
      </c>
      <c r="BX170">
        <v>1</v>
      </c>
      <c r="BY170" t="s">
        <v>6</v>
      </c>
      <c r="BZ170">
        <v>95</v>
      </c>
      <c r="CA170">
        <v>65</v>
      </c>
      <c r="CE170">
        <v>0</v>
      </c>
      <c r="CF170">
        <v>0</v>
      </c>
      <c r="CG170">
        <v>0</v>
      </c>
      <c r="CM170">
        <v>0</v>
      </c>
      <c r="CN170" t="s">
        <v>6</v>
      </c>
      <c r="CO170">
        <v>0</v>
      </c>
      <c r="CP170">
        <f t="shared" si="171"/>
        <v>2907.9</v>
      </c>
      <c r="CQ170">
        <f t="shared" si="172"/>
        <v>726.97479999999996</v>
      </c>
      <c r="CR170">
        <f t="shared" si="173"/>
        <v>0</v>
      </c>
      <c r="CS170">
        <f t="shared" si="174"/>
        <v>0</v>
      </c>
      <c r="CT170">
        <f t="shared" si="175"/>
        <v>0</v>
      </c>
      <c r="CU170">
        <f t="shared" si="176"/>
        <v>0</v>
      </c>
      <c r="CV170">
        <f t="shared" si="177"/>
        <v>0</v>
      </c>
      <c r="CW170">
        <f t="shared" si="178"/>
        <v>0</v>
      </c>
      <c r="CX170">
        <f t="shared" si="179"/>
        <v>0</v>
      </c>
      <c r="CY170">
        <f t="shared" si="180"/>
        <v>0</v>
      </c>
      <c r="CZ170">
        <f t="shared" si="181"/>
        <v>0</v>
      </c>
      <c r="DC170" t="s">
        <v>6</v>
      </c>
      <c r="DD170" t="s">
        <v>6</v>
      </c>
      <c r="DE170" t="s">
        <v>6</v>
      </c>
      <c r="DF170" t="s">
        <v>6</v>
      </c>
      <c r="DG170" t="s">
        <v>6</v>
      </c>
      <c r="DH170" t="s">
        <v>6</v>
      </c>
      <c r="DI170" t="s">
        <v>6</v>
      </c>
      <c r="DJ170" t="s">
        <v>6</v>
      </c>
      <c r="DK170" t="s">
        <v>6</v>
      </c>
      <c r="DL170" t="s">
        <v>6</v>
      </c>
      <c r="DM170" t="s">
        <v>6</v>
      </c>
      <c r="DN170">
        <v>0</v>
      </c>
      <c r="DO170">
        <v>0</v>
      </c>
      <c r="DP170">
        <v>1</v>
      </c>
      <c r="DQ170">
        <v>1</v>
      </c>
      <c r="DU170">
        <v>1010</v>
      </c>
      <c r="DV170" t="s">
        <v>132</v>
      </c>
      <c r="DW170" t="s">
        <v>132</v>
      </c>
      <c r="DX170">
        <v>1</v>
      </c>
      <c r="EE170">
        <v>16609228</v>
      </c>
      <c r="EF170">
        <v>3</v>
      </c>
      <c r="EG170" t="s">
        <v>491</v>
      </c>
      <c r="EH170">
        <v>0</v>
      </c>
      <c r="EI170" t="s">
        <v>6</v>
      </c>
      <c r="EJ170">
        <v>2</v>
      </c>
      <c r="EK170">
        <v>108001</v>
      </c>
      <c r="EL170" t="s">
        <v>492</v>
      </c>
      <c r="EM170" t="s">
        <v>493</v>
      </c>
      <c r="EO170" t="s">
        <v>6</v>
      </c>
      <c r="EQ170">
        <v>0</v>
      </c>
      <c r="ER170">
        <v>101.96</v>
      </c>
      <c r="ES170">
        <v>101.96</v>
      </c>
      <c r="ET170">
        <v>0</v>
      </c>
      <c r="EU170">
        <v>0</v>
      </c>
      <c r="EV170">
        <v>0</v>
      </c>
      <c r="EW170">
        <v>0</v>
      </c>
      <c r="EX170">
        <v>0</v>
      </c>
      <c r="FQ170">
        <v>0</v>
      </c>
      <c r="FR170">
        <f t="shared" si="182"/>
        <v>0</v>
      </c>
      <c r="FS170">
        <v>0</v>
      </c>
      <c r="FX170">
        <v>95</v>
      </c>
      <c r="FY170">
        <v>65</v>
      </c>
      <c r="GA170" t="s">
        <v>6</v>
      </c>
      <c r="GD170">
        <v>0</v>
      </c>
      <c r="GF170">
        <v>1153549738</v>
      </c>
      <c r="GG170">
        <v>1</v>
      </c>
      <c r="GH170">
        <v>1</v>
      </c>
      <c r="GI170">
        <v>4</v>
      </c>
      <c r="GJ170">
        <v>0</v>
      </c>
      <c r="GK170">
        <f>ROUND(R170*(R12)/100,2)</f>
        <v>0</v>
      </c>
      <c r="GL170">
        <f t="shared" si="183"/>
        <v>0</v>
      </c>
      <c r="GM170">
        <f t="shared" si="184"/>
        <v>2907.9</v>
      </c>
      <c r="GN170">
        <f t="shared" si="185"/>
        <v>0</v>
      </c>
      <c r="GO170">
        <f t="shared" si="186"/>
        <v>2907.9</v>
      </c>
      <c r="GP170">
        <f t="shared" si="187"/>
        <v>0</v>
      </c>
      <c r="GR170">
        <v>0</v>
      </c>
      <c r="GS170">
        <v>3</v>
      </c>
      <c r="GT170">
        <v>0</v>
      </c>
      <c r="GU170" t="s">
        <v>6</v>
      </c>
      <c r="GV170">
        <f t="shared" si="188"/>
        <v>0</v>
      </c>
      <c r="GW170">
        <v>1</v>
      </c>
      <c r="GX170">
        <f t="shared" si="189"/>
        <v>0</v>
      </c>
      <c r="HA170">
        <v>0</v>
      </c>
      <c r="HB170">
        <v>0</v>
      </c>
      <c r="HC170">
        <f t="shared" si="190"/>
        <v>0</v>
      </c>
      <c r="IK170">
        <v>0</v>
      </c>
    </row>
    <row r="171" spans="1:245" x14ac:dyDescent="0.2">
      <c r="A171">
        <v>17</v>
      </c>
      <c r="B171">
        <v>1</v>
      </c>
      <c r="C171">
        <f>ROW(SmtRes!A359)</f>
        <v>359</v>
      </c>
      <c r="D171">
        <f>ROW(EtalonRes!A362)</f>
        <v>362</v>
      </c>
      <c r="E171" t="s">
        <v>544</v>
      </c>
      <c r="F171" t="s">
        <v>545</v>
      </c>
      <c r="G171" t="s">
        <v>546</v>
      </c>
      <c r="H171" t="s">
        <v>27</v>
      </c>
      <c r="I171">
        <f>ROUND(34/100,9)</f>
        <v>0.34</v>
      </c>
      <c r="J171">
        <v>0</v>
      </c>
      <c r="O171">
        <f t="shared" si="157"/>
        <v>4032.5</v>
      </c>
      <c r="P171">
        <f t="shared" si="158"/>
        <v>344.16</v>
      </c>
      <c r="Q171">
        <f t="shared" si="159"/>
        <v>129.22999999999999</v>
      </c>
      <c r="R171">
        <f t="shared" si="160"/>
        <v>18.25</v>
      </c>
      <c r="S171">
        <f t="shared" si="161"/>
        <v>3559.11</v>
      </c>
      <c r="T171">
        <f t="shared" si="162"/>
        <v>0</v>
      </c>
      <c r="U171">
        <f t="shared" si="163"/>
        <v>50.32</v>
      </c>
      <c r="V171">
        <f t="shared" si="164"/>
        <v>0.20400000000000001</v>
      </c>
      <c r="W171">
        <f t="shared" si="165"/>
        <v>0</v>
      </c>
      <c r="X171">
        <f t="shared" si="166"/>
        <v>3398.49</v>
      </c>
      <c r="Y171">
        <f t="shared" si="167"/>
        <v>2325.2800000000002</v>
      </c>
      <c r="AA171">
        <v>16630606</v>
      </c>
      <c r="AB171">
        <f t="shared" si="168"/>
        <v>1663.44</v>
      </c>
      <c r="AC171">
        <f t="shared" si="193"/>
        <v>141.97</v>
      </c>
      <c r="AD171">
        <f t="shared" si="194"/>
        <v>53.31</v>
      </c>
      <c r="AE171">
        <f t="shared" si="195"/>
        <v>7.53</v>
      </c>
      <c r="AF171">
        <f t="shared" si="196"/>
        <v>1468.16</v>
      </c>
      <c r="AG171">
        <f t="shared" si="169"/>
        <v>0</v>
      </c>
      <c r="AH171">
        <f t="shared" si="197"/>
        <v>148</v>
      </c>
      <c r="AI171">
        <f t="shared" si="198"/>
        <v>0.6</v>
      </c>
      <c r="AJ171">
        <f t="shared" si="170"/>
        <v>0</v>
      </c>
      <c r="AK171">
        <v>1663.44</v>
      </c>
      <c r="AL171">
        <v>141.97</v>
      </c>
      <c r="AM171">
        <v>53.31</v>
      </c>
      <c r="AN171">
        <v>7.53</v>
      </c>
      <c r="AO171">
        <v>1468.16</v>
      </c>
      <c r="AP171">
        <v>0</v>
      </c>
      <c r="AQ171">
        <v>148</v>
      </c>
      <c r="AR171">
        <v>0.6</v>
      </c>
      <c r="AS171">
        <v>0</v>
      </c>
      <c r="AT171">
        <v>95</v>
      </c>
      <c r="AU171">
        <v>65</v>
      </c>
      <c r="AV171">
        <v>1</v>
      </c>
      <c r="AW171">
        <v>1</v>
      </c>
      <c r="AZ171">
        <v>7.13</v>
      </c>
      <c r="BA171">
        <v>7.13</v>
      </c>
      <c r="BB171">
        <v>7.13</v>
      </c>
      <c r="BC171">
        <v>7.13</v>
      </c>
      <c r="BD171" t="s">
        <v>6</v>
      </c>
      <c r="BE171" t="s">
        <v>6</v>
      </c>
      <c r="BF171" t="s">
        <v>6</v>
      </c>
      <c r="BG171" t="s">
        <v>6</v>
      </c>
      <c r="BH171">
        <v>0</v>
      </c>
      <c r="BI171">
        <v>2</v>
      </c>
      <c r="BJ171" t="s">
        <v>547</v>
      </c>
      <c r="BM171">
        <v>108001</v>
      </c>
      <c r="BN171">
        <v>0</v>
      </c>
      <c r="BO171" t="s">
        <v>6</v>
      </c>
      <c r="BP171">
        <v>0</v>
      </c>
      <c r="BQ171">
        <v>3</v>
      </c>
      <c r="BR171">
        <v>0</v>
      </c>
      <c r="BS171">
        <v>7.13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6</v>
      </c>
      <c r="BZ171">
        <v>95</v>
      </c>
      <c r="CA171">
        <v>65</v>
      </c>
      <c r="CE171">
        <v>0</v>
      </c>
      <c r="CF171">
        <v>0</v>
      </c>
      <c r="CG171">
        <v>0</v>
      </c>
      <c r="CM171">
        <v>0</v>
      </c>
      <c r="CN171" t="s">
        <v>6</v>
      </c>
      <c r="CO171">
        <v>0</v>
      </c>
      <c r="CP171">
        <f t="shared" si="171"/>
        <v>4032.5</v>
      </c>
      <c r="CQ171">
        <f t="shared" si="172"/>
        <v>1012.2461</v>
      </c>
      <c r="CR171">
        <f t="shared" si="173"/>
        <v>380.1003</v>
      </c>
      <c r="CS171">
        <f t="shared" si="174"/>
        <v>53.688900000000004</v>
      </c>
      <c r="CT171">
        <f t="shared" si="175"/>
        <v>10467.980800000001</v>
      </c>
      <c r="CU171">
        <f t="shared" si="176"/>
        <v>0</v>
      </c>
      <c r="CV171">
        <f t="shared" si="177"/>
        <v>148</v>
      </c>
      <c r="CW171">
        <f t="shared" si="178"/>
        <v>0.6</v>
      </c>
      <c r="CX171">
        <f t="shared" si="179"/>
        <v>0</v>
      </c>
      <c r="CY171">
        <f t="shared" si="180"/>
        <v>3398.4920000000002</v>
      </c>
      <c r="CZ171">
        <f t="shared" si="181"/>
        <v>2325.2840000000001</v>
      </c>
      <c r="DC171" t="s">
        <v>6</v>
      </c>
      <c r="DD171" t="s">
        <v>6</v>
      </c>
      <c r="DE171" t="s">
        <v>6</v>
      </c>
      <c r="DF171" t="s">
        <v>6</v>
      </c>
      <c r="DG171" t="s">
        <v>6</v>
      </c>
      <c r="DH171" t="s">
        <v>6</v>
      </c>
      <c r="DI171" t="s">
        <v>6</v>
      </c>
      <c r="DJ171" t="s">
        <v>6</v>
      </c>
      <c r="DK171" t="s">
        <v>6</v>
      </c>
      <c r="DL171" t="s">
        <v>6</v>
      </c>
      <c r="DM171" t="s">
        <v>6</v>
      </c>
      <c r="DN171">
        <v>0</v>
      </c>
      <c r="DO171">
        <v>0</v>
      </c>
      <c r="DP171">
        <v>1</v>
      </c>
      <c r="DQ171">
        <v>1</v>
      </c>
      <c r="DU171">
        <v>1013</v>
      </c>
      <c r="DV171" t="s">
        <v>27</v>
      </c>
      <c r="DW171" t="s">
        <v>27</v>
      </c>
      <c r="DX171">
        <v>1</v>
      </c>
      <c r="EE171">
        <v>16609228</v>
      </c>
      <c r="EF171">
        <v>3</v>
      </c>
      <c r="EG171" t="s">
        <v>491</v>
      </c>
      <c r="EH171">
        <v>0</v>
      </c>
      <c r="EI171" t="s">
        <v>6</v>
      </c>
      <c r="EJ171">
        <v>2</v>
      </c>
      <c r="EK171">
        <v>108001</v>
      </c>
      <c r="EL171" t="s">
        <v>492</v>
      </c>
      <c r="EM171" t="s">
        <v>493</v>
      </c>
      <c r="EO171" t="s">
        <v>6</v>
      </c>
      <c r="EQ171">
        <v>131072</v>
      </c>
      <c r="ER171">
        <v>1663.44</v>
      </c>
      <c r="ES171">
        <v>141.97</v>
      </c>
      <c r="ET171">
        <v>53.31</v>
      </c>
      <c r="EU171">
        <v>7.53</v>
      </c>
      <c r="EV171">
        <v>1468.16</v>
      </c>
      <c r="EW171">
        <v>148</v>
      </c>
      <c r="EX171">
        <v>0.6</v>
      </c>
      <c r="EY171">
        <v>0</v>
      </c>
      <c r="FQ171">
        <v>0</v>
      </c>
      <c r="FR171">
        <f t="shared" si="182"/>
        <v>0</v>
      </c>
      <c r="FS171">
        <v>0</v>
      </c>
      <c r="FX171">
        <v>95</v>
      </c>
      <c r="FY171">
        <v>65</v>
      </c>
      <c r="GA171" t="s">
        <v>6</v>
      </c>
      <c r="GD171">
        <v>0</v>
      </c>
      <c r="GF171">
        <v>-8156874</v>
      </c>
      <c r="GG171">
        <v>1</v>
      </c>
      <c r="GH171">
        <v>1</v>
      </c>
      <c r="GI171">
        <v>4</v>
      </c>
      <c r="GJ171">
        <v>0</v>
      </c>
      <c r="GK171">
        <f>ROUND(R171*(R12)/100,2)</f>
        <v>0</v>
      </c>
      <c r="GL171">
        <f t="shared" si="183"/>
        <v>0</v>
      </c>
      <c r="GM171">
        <f t="shared" si="184"/>
        <v>9756.27</v>
      </c>
      <c r="GN171">
        <f t="shared" si="185"/>
        <v>0</v>
      </c>
      <c r="GO171">
        <f t="shared" si="186"/>
        <v>9756.27</v>
      </c>
      <c r="GP171">
        <f t="shared" si="187"/>
        <v>0</v>
      </c>
      <c r="GR171">
        <v>0</v>
      </c>
      <c r="GS171">
        <v>3</v>
      </c>
      <c r="GT171">
        <v>0</v>
      </c>
      <c r="GU171" t="s">
        <v>6</v>
      </c>
      <c r="GV171">
        <f t="shared" si="188"/>
        <v>0</v>
      </c>
      <c r="GW171">
        <v>1</v>
      </c>
      <c r="GX171">
        <f t="shared" si="189"/>
        <v>0</v>
      </c>
      <c r="HA171">
        <v>0</v>
      </c>
      <c r="HB171">
        <v>0</v>
      </c>
      <c r="HC171">
        <f t="shared" si="190"/>
        <v>0</v>
      </c>
      <c r="IK171">
        <v>0</v>
      </c>
    </row>
    <row r="172" spans="1:245" x14ac:dyDescent="0.2">
      <c r="A172">
        <v>18</v>
      </c>
      <c r="B172">
        <v>1</v>
      </c>
      <c r="C172">
        <v>357</v>
      </c>
      <c r="E172" t="s">
        <v>548</v>
      </c>
      <c r="F172" t="s">
        <v>549</v>
      </c>
      <c r="G172" t="s">
        <v>550</v>
      </c>
      <c r="H172" t="s">
        <v>132</v>
      </c>
      <c r="I172">
        <f>I171*J172</f>
        <v>34</v>
      </c>
      <c r="J172">
        <v>99.999999999999986</v>
      </c>
      <c r="O172">
        <f t="shared" si="157"/>
        <v>82670.070000000007</v>
      </c>
      <c r="P172">
        <f t="shared" si="158"/>
        <v>82670.070000000007</v>
      </c>
      <c r="Q172">
        <f t="shared" si="159"/>
        <v>0</v>
      </c>
      <c r="R172">
        <f t="shared" si="160"/>
        <v>0</v>
      </c>
      <c r="S172">
        <f t="shared" si="161"/>
        <v>0</v>
      </c>
      <c r="T172">
        <f t="shared" si="162"/>
        <v>0</v>
      </c>
      <c r="U172">
        <f t="shared" si="163"/>
        <v>0</v>
      </c>
      <c r="V172">
        <f t="shared" si="164"/>
        <v>0</v>
      </c>
      <c r="W172">
        <f t="shared" si="165"/>
        <v>0</v>
      </c>
      <c r="X172">
        <f t="shared" si="166"/>
        <v>0</v>
      </c>
      <c r="Y172">
        <f t="shared" si="167"/>
        <v>0</v>
      </c>
      <c r="AA172">
        <v>16630606</v>
      </c>
      <c r="AB172">
        <f t="shared" si="168"/>
        <v>341.02</v>
      </c>
      <c r="AC172">
        <f t="shared" si="193"/>
        <v>341.02</v>
      </c>
      <c r="AD172">
        <f t="shared" si="194"/>
        <v>0</v>
      </c>
      <c r="AE172">
        <f t="shared" si="195"/>
        <v>0</v>
      </c>
      <c r="AF172">
        <f t="shared" si="196"/>
        <v>0</v>
      </c>
      <c r="AG172">
        <f t="shared" si="169"/>
        <v>0</v>
      </c>
      <c r="AH172">
        <f t="shared" si="197"/>
        <v>0</v>
      </c>
      <c r="AI172">
        <f t="shared" si="198"/>
        <v>0</v>
      </c>
      <c r="AJ172">
        <f t="shared" si="170"/>
        <v>0</v>
      </c>
      <c r="AK172">
        <v>341.02</v>
      </c>
      <c r="AL172">
        <v>341.02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95</v>
      </c>
      <c r="AU172">
        <v>65</v>
      </c>
      <c r="AV172">
        <v>1</v>
      </c>
      <c r="AW172">
        <v>1</v>
      </c>
      <c r="AZ172">
        <v>7.13</v>
      </c>
      <c r="BA172">
        <v>1</v>
      </c>
      <c r="BB172">
        <v>1</v>
      </c>
      <c r="BC172">
        <v>7.13</v>
      </c>
      <c r="BD172" t="s">
        <v>6</v>
      </c>
      <c r="BE172" t="s">
        <v>6</v>
      </c>
      <c r="BF172" t="s">
        <v>6</v>
      </c>
      <c r="BG172" t="s">
        <v>6</v>
      </c>
      <c r="BH172">
        <v>3</v>
      </c>
      <c r="BI172">
        <v>2</v>
      </c>
      <c r="BJ172" t="s">
        <v>551</v>
      </c>
      <c r="BM172">
        <v>108001</v>
      </c>
      <c r="BN172">
        <v>0</v>
      </c>
      <c r="BO172" t="s">
        <v>6</v>
      </c>
      <c r="BP172">
        <v>0</v>
      </c>
      <c r="BQ172">
        <v>3</v>
      </c>
      <c r="BR172">
        <v>0</v>
      </c>
      <c r="BS172">
        <v>1</v>
      </c>
      <c r="BT172">
        <v>1</v>
      </c>
      <c r="BU172">
        <v>1</v>
      </c>
      <c r="BV172">
        <v>1</v>
      </c>
      <c r="BW172">
        <v>1</v>
      </c>
      <c r="BX172">
        <v>1</v>
      </c>
      <c r="BY172" t="s">
        <v>6</v>
      </c>
      <c r="BZ172">
        <v>95</v>
      </c>
      <c r="CA172">
        <v>65</v>
      </c>
      <c r="CE172">
        <v>0</v>
      </c>
      <c r="CF172">
        <v>0</v>
      </c>
      <c r="CG172">
        <v>0</v>
      </c>
      <c r="CM172">
        <v>0</v>
      </c>
      <c r="CN172" t="s">
        <v>6</v>
      </c>
      <c r="CO172">
        <v>0</v>
      </c>
      <c r="CP172">
        <f t="shared" si="171"/>
        <v>82670.070000000007</v>
      </c>
      <c r="CQ172">
        <f t="shared" si="172"/>
        <v>2431.4726000000001</v>
      </c>
      <c r="CR172">
        <f t="shared" si="173"/>
        <v>0</v>
      </c>
      <c r="CS172">
        <f t="shared" si="174"/>
        <v>0</v>
      </c>
      <c r="CT172">
        <f t="shared" si="175"/>
        <v>0</v>
      </c>
      <c r="CU172">
        <f t="shared" si="176"/>
        <v>0</v>
      </c>
      <c r="CV172">
        <f t="shared" si="177"/>
        <v>0</v>
      </c>
      <c r="CW172">
        <f t="shared" si="178"/>
        <v>0</v>
      </c>
      <c r="CX172">
        <f t="shared" si="179"/>
        <v>0</v>
      </c>
      <c r="CY172">
        <f t="shared" si="180"/>
        <v>0</v>
      </c>
      <c r="CZ172">
        <f t="shared" si="181"/>
        <v>0</v>
      </c>
      <c r="DC172" t="s">
        <v>6</v>
      </c>
      <c r="DD172" t="s">
        <v>6</v>
      </c>
      <c r="DE172" t="s">
        <v>6</v>
      </c>
      <c r="DF172" t="s">
        <v>6</v>
      </c>
      <c r="DG172" t="s">
        <v>6</v>
      </c>
      <c r="DH172" t="s">
        <v>6</v>
      </c>
      <c r="DI172" t="s">
        <v>6</v>
      </c>
      <c r="DJ172" t="s">
        <v>6</v>
      </c>
      <c r="DK172" t="s">
        <v>6</v>
      </c>
      <c r="DL172" t="s">
        <v>6</v>
      </c>
      <c r="DM172" t="s">
        <v>6</v>
      </c>
      <c r="DN172">
        <v>0</v>
      </c>
      <c r="DO172">
        <v>0</v>
      </c>
      <c r="DP172">
        <v>1</v>
      </c>
      <c r="DQ172">
        <v>1</v>
      </c>
      <c r="DU172">
        <v>1010</v>
      </c>
      <c r="DV172" t="s">
        <v>132</v>
      </c>
      <c r="DW172" t="s">
        <v>132</v>
      </c>
      <c r="DX172">
        <v>1</v>
      </c>
      <c r="EE172">
        <v>16609228</v>
      </c>
      <c r="EF172">
        <v>3</v>
      </c>
      <c r="EG172" t="s">
        <v>491</v>
      </c>
      <c r="EH172">
        <v>0</v>
      </c>
      <c r="EI172" t="s">
        <v>6</v>
      </c>
      <c r="EJ172">
        <v>2</v>
      </c>
      <c r="EK172">
        <v>108001</v>
      </c>
      <c r="EL172" t="s">
        <v>492</v>
      </c>
      <c r="EM172" t="s">
        <v>493</v>
      </c>
      <c r="EO172" t="s">
        <v>6</v>
      </c>
      <c r="EQ172">
        <v>0</v>
      </c>
      <c r="ER172">
        <v>341.02</v>
      </c>
      <c r="ES172">
        <v>341.02</v>
      </c>
      <c r="ET172">
        <v>0</v>
      </c>
      <c r="EU172">
        <v>0</v>
      </c>
      <c r="EV172">
        <v>0</v>
      </c>
      <c r="EW172">
        <v>0</v>
      </c>
      <c r="EX172">
        <v>0</v>
      </c>
      <c r="FQ172">
        <v>0</v>
      </c>
      <c r="FR172">
        <f t="shared" si="182"/>
        <v>0</v>
      </c>
      <c r="FS172">
        <v>0</v>
      </c>
      <c r="FX172">
        <v>95</v>
      </c>
      <c r="FY172">
        <v>65</v>
      </c>
      <c r="GA172" t="s">
        <v>6</v>
      </c>
      <c r="GD172">
        <v>0</v>
      </c>
      <c r="GF172">
        <v>-1871075309</v>
      </c>
      <c r="GG172">
        <v>1</v>
      </c>
      <c r="GH172">
        <v>1</v>
      </c>
      <c r="GI172">
        <v>4</v>
      </c>
      <c r="GJ172">
        <v>0</v>
      </c>
      <c r="GK172">
        <f>ROUND(R172*(R12)/100,2)</f>
        <v>0</v>
      </c>
      <c r="GL172">
        <f t="shared" si="183"/>
        <v>0</v>
      </c>
      <c r="GM172">
        <f t="shared" si="184"/>
        <v>82670.070000000007</v>
      </c>
      <c r="GN172">
        <f t="shared" si="185"/>
        <v>0</v>
      </c>
      <c r="GO172">
        <f t="shared" si="186"/>
        <v>82670.070000000007</v>
      </c>
      <c r="GP172">
        <f t="shared" si="187"/>
        <v>0</v>
      </c>
      <c r="GR172">
        <v>0</v>
      </c>
      <c r="GS172">
        <v>3</v>
      </c>
      <c r="GT172">
        <v>0</v>
      </c>
      <c r="GU172" t="s">
        <v>6</v>
      </c>
      <c r="GV172">
        <f t="shared" si="188"/>
        <v>0</v>
      </c>
      <c r="GW172">
        <v>1</v>
      </c>
      <c r="GX172">
        <f t="shared" si="189"/>
        <v>0</v>
      </c>
      <c r="HA172">
        <v>0</v>
      </c>
      <c r="HB172">
        <v>0</v>
      </c>
      <c r="HC172">
        <f t="shared" si="190"/>
        <v>0</v>
      </c>
      <c r="IK172">
        <v>0</v>
      </c>
    </row>
    <row r="173" spans="1:245" x14ac:dyDescent="0.2">
      <c r="A173">
        <v>17</v>
      </c>
      <c r="B173">
        <v>1</v>
      </c>
      <c r="C173">
        <f>ROW(SmtRes!A368)</f>
        <v>368</v>
      </c>
      <c r="D173">
        <f>ROW(EtalonRes!A370)</f>
        <v>370</v>
      </c>
      <c r="E173" t="s">
        <v>552</v>
      </c>
      <c r="F173" t="s">
        <v>553</v>
      </c>
      <c r="G173" t="s">
        <v>554</v>
      </c>
      <c r="H173" t="s">
        <v>27</v>
      </c>
      <c r="I173">
        <f>ROUND(3/100,9)</f>
        <v>0.03</v>
      </c>
      <c r="J173">
        <v>0</v>
      </c>
      <c r="O173">
        <f t="shared" si="157"/>
        <v>285.61</v>
      </c>
      <c r="P173">
        <f t="shared" si="158"/>
        <v>111.31</v>
      </c>
      <c r="Q173">
        <f t="shared" si="159"/>
        <v>7.6</v>
      </c>
      <c r="R173">
        <f t="shared" si="160"/>
        <v>1.07</v>
      </c>
      <c r="S173">
        <f t="shared" si="161"/>
        <v>166.7</v>
      </c>
      <c r="T173">
        <f t="shared" si="162"/>
        <v>0</v>
      </c>
      <c r="U173">
        <f t="shared" si="163"/>
        <v>2.3567999999999998</v>
      </c>
      <c r="V173">
        <f t="shared" si="164"/>
        <v>1.2E-2</v>
      </c>
      <c r="W173">
        <f t="shared" si="165"/>
        <v>0</v>
      </c>
      <c r="X173">
        <f t="shared" si="166"/>
        <v>159.38</v>
      </c>
      <c r="Y173">
        <f t="shared" si="167"/>
        <v>109.05</v>
      </c>
      <c r="AA173">
        <v>16630606</v>
      </c>
      <c r="AB173">
        <f t="shared" si="168"/>
        <v>1335.26</v>
      </c>
      <c r="AC173">
        <f t="shared" si="193"/>
        <v>520.4</v>
      </c>
      <c r="AD173">
        <f t="shared" si="194"/>
        <v>35.54</v>
      </c>
      <c r="AE173">
        <f t="shared" si="195"/>
        <v>5.0199999999999996</v>
      </c>
      <c r="AF173">
        <f t="shared" si="196"/>
        <v>779.32</v>
      </c>
      <c r="AG173">
        <f t="shared" si="169"/>
        <v>0</v>
      </c>
      <c r="AH173">
        <f t="shared" si="197"/>
        <v>78.56</v>
      </c>
      <c r="AI173">
        <f t="shared" si="198"/>
        <v>0.4</v>
      </c>
      <c r="AJ173">
        <f t="shared" si="170"/>
        <v>0</v>
      </c>
      <c r="AK173">
        <v>1335.26</v>
      </c>
      <c r="AL173">
        <v>520.4</v>
      </c>
      <c r="AM173">
        <v>35.54</v>
      </c>
      <c r="AN173">
        <v>5.0199999999999996</v>
      </c>
      <c r="AO173">
        <v>779.32</v>
      </c>
      <c r="AP173">
        <v>0</v>
      </c>
      <c r="AQ173">
        <v>78.56</v>
      </c>
      <c r="AR173">
        <v>0.4</v>
      </c>
      <c r="AS173">
        <v>0</v>
      </c>
      <c r="AT173">
        <v>95</v>
      </c>
      <c r="AU173">
        <v>65</v>
      </c>
      <c r="AV173">
        <v>1</v>
      </c>
      <c r="AW173">
        <v>1</v>
      </c>
      <c r="AZ173">
        <v>7.13</v>
      </c>
      <c r="BA173">
        <v>7.13</v>
      </c>
      <c r="BB173">
        <v>7.13</v>
      </c>
      <c r="BC173">
        <v>7.13</v>
      </c>
      <c r="BD173" t="s">
        <v>6</v>
      </c>
      <c r="BE173" t="s">
        <v>6</v>
      </c>
      <c r="BF173" t="s">
        <v>6</v>
      </c>
      <c r="BG173" t="s">
        <v>6</v>
      </c>
      <c r="BH173">
        <v>0</v>
      </c>
      <c r="BI173">
        <v>2</v>
      </c>
      <c r="BJ173" t="s">
        <v>555</v>
      </c>
      <c r="BM173">
        <v>108001</v>
      </c>
      <c r="BN173">
        <v>0</v>
      </c>
      <c r="BO173" t="s">
        <v>6</v>
      </c>
      <c r="BP173">
        <v>0</v>
      </c>
      <c r="BQ173">
        <v>3</v>
      </c>
      <c r="BR173">
        <v>0</v>
      </c>
      <c r="BS173">
        <v>7.13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6</v>
      </c>
      <c r="BZ173">
        <v>95</v>
      </c>
      <c r="CA173">
        <v>65</v>
      </c>
      <c r="CE173">
        <v>0</v>
      </c>
      <c r="CF173">
        <v>0</v>
      </c>
      <c r="CG173">
        <v>0</v>
      </c>
      <c r="CM173">
        <v>0</v>
      </c>
      <c r="CN173" t="s">
        <v>6</v>
      </c>
      <c r="CO173">
        <v>0</v>
      </c>
      <c r="CP173">
        <f t="shared" si="171"/>
        <v>285.61</v>
      </c>
      <c r="CQ173">
        <f t="shared" si="172"/>
        <v>3710.4519999999998</v>
      </c>
      <c r="CR173">
        <f t="shared" si="173"/>
        <v>253.40019999999998</v>
      </c>
      <c r="CS173">
        <f t="shared" si="174"/>
        <v>35.792599999999993</v>
      </c>
      <c r="CT173">
        <f t="shared" si="175"/>
        <v>5556.5516000000007</v>
      </c>
      <c r="CU173">
        <f t="shared" si="176"/>
        <v>0</v>
      </c>
      <c r="CV173">
        <f t="shared" si="177"/>
        <v>78.56</v>
      </c>
      <c r="CW173">
        <f t="shared" si="178"/>
        <v>0.4</v>
      </c>
      <c r="CX173">
        <f t="shared" si="179"/>
        <v>0</v>
      </c>
      <c r="CY173">
        <f t="shared" si="180"/>
        <v>159.38149999999999</v>
      </c>
      <c r="CZ173">
        <f t="shared" si="181"/>
        <v>109.0505</v>
      </c>
      <c r="DC173" t="s">
        <v>6</v>
      </c>
      <c r="DD173" t="s">
        <v>6</v>
      </c>
      <c r="DE173" t="s">
        <v>6</v>
      </c>
      <c r="DF173" t="s">
        <v>6</v>
      </c>
      <c r="DG173" t="s">
        <v>6</v>
      </c>
      <c r="DH173" t="s">
        <v>6</v>
      </c>
      <c r="DI173" t="s">
        <v>6</v>
      </c>
      <c r="DJ173" t="s">
        <v>6</v>
      </c>
      <c r="DK173" t="s">
        <v>6</v>
      </c>
      <c r="DL173" t="s">
        <v>6</v>
      </c>
      <c r="DM173" t="s">
        <v>6</v>
      </c>
      <c r="DN173">
        <v>0</v>
      </c>
      <c r="DO173">
        <v>0</v>
      </c>
      <c r="DP173">
        <v>1</v>
      </c>
      <c r="DQ173">
        <v>1</v>
      </c>
      <c r="DU173">
        <v>1013</v>
      </c>
      <c r="DV173" t="s">
        <v>27</v>
      </c>
      <c r="DW173" t="s">
        <v>27</v>
      </c>
      <c r="DX173">
        <v>1</v>
      </c>
      <c r="EE173">
        <v>16609228</v>
      </c>
      <c r="EF173">
        <v>3</v>
      </c>
      <c r="EG173" t="s">
        <v>491</v>
      </c>
      <c r="EH173">
        <v>0</v>
      </c>
      <c r="EI173" t="s">
        <v>6</v>
      </c>
      <c r="EJ173">
        <v>2</v>
      </c>
      <c r="EK173">
        <v>108001</v>
      </c>
      <c r="EL173" t="s">
        <v>492</v>
      </c>
      <c r="EM173" t="s">
        <v>493</v>
      </c>
      <c r="EO173" t="s">
        <v>6</v>
      </c>
      <c r="EQ173">
        <v>131072</v>
      </c>
      <c r="ER173">
        <v>1335.26</v>
      </c>
      <c r="ES173">
        <v>520.4</v>
      </c>
      <c r="ET173">
        <v>35.54</v>
      </c>
      <c r="EU173">
        <v>5.0199999999999996</v>
      </c>
      <c r="EV173">
        <v>779.32</v>
      </c>
      <c r="EW173">
        <v>78.56</v>
      </c>
      <c r="EX173">
        <v>0.4</v>
      </c>
      <c r="EY173">
        <v>0</v>
      </c>
      <c r="FQ173">
        <v>0</v>
      </c>
      <c r="FR173">
        <f t="shared" si="182"/>
        <v>0</v>
      </c>
      <c r="FS173">
        <v>0</v>
      </c>
      <c r="FX173">
        <v>95</v>
      </c>
      <c r="FY173">
        <v>65</v>
      </c>
      <c r="GA173" t="s">
        <v>6</v>
      </c>
      <c r="GD173">
        <v>0</v>
      </c>
      <c r="GF173">
        <v>3132797</v>
      </c>
      <c r="GG173">
        <v>1</v>
      </c>
      <c r="GH173">
        <v>1</v>
      </c>
      <c r="GI173">
        <v>4</v>
      </c>
      <c r="GJ173">
        <v>0</v>
      </c>
      <c r="GK173">
        <f>ROUND(R173*(R12)/100,2)</f>
        <v>0</v>
      </c>
      <c r="GL173">
        <f t="shared" si="183"/>
        <v>0</v>
      </c>
      <c r="GM173">
        <f t="shared" si="184"/>
        <v>554.04</v>
      </c>
      <c r="GN173">
        <f t="shared" si="185"/>
        <v>0</v>
      </c>
      <c r="GO173">
        <f t="shared" si="186"/>
        <v>554.04</v>
      </c>
      <c r="GP173">
        <f t="shared" si="187"/>
        <v>0</v>
      </c>
      <c r="GR173">
        <v>0</v>
      </c>
      <c r="GS173">
        <v>3</v>
      </c>
      <c r="GT173">
        <v>0</v>
      </c>
      <c r="GU173" t="s">
        <v>6</v>
      </c>
      <c r="GV173">
        <f t="shared" si="188"/>
        <v>0</v>
      </c>
      <c r="GW173">
        <v>1</v>
      </c>
      <c r="GX173">
        <f t="shared" si="189"/>
        <v>0</v>
      </c>
      <c r="HA173">
        <v>0</v>
      </c>
      <c r="HB173">
        <v>0</v>
      </c>
      <c r="HC173">
        <f t="shared" si="190"/>
        <v>0</v>
      </c>
      <c r="IK173">
        <v>0</v>
      </c>
    </row>
    <row r="174" spans="1:245" x14ac:dyDescent="0.2">
      <c r="A174">
        <v>18</v>
      </c>
      <c r="B174">
        <v>1</v>
      </c>
      <c r="C174">
        <v>366</v>
      </c>
      <c r="E174" t="s">
        <v>556</v>
      </c>
      <c r="F174" t="s">
        <v>557</v>
      </c>
      <c r="G174" t="s">
        <v>558</v>
      </c>
      <c r="H174" t="s">
        <v>132</v>
      </c>
      <c r="I174">
        <f>I173*J174</f>
        <v>3</v>
      </c>
      <c r="J174">
        <v>100</v>
      </c>
      <c r="O174">
        <f t="shared" si="157"/>
        <v>7088.22</v>
      </c>
      <c r="P174">
        <f t="shared" si="158"/>
        <v>7088.22</v>
      </c>
      <c r="Q174">
        <f t="shared" si="159"/>
        <v>0</v>
      </c>
      <c r="R174">
        <f t="shared" si="160"/>
        <v>0</v>
      </c>
      <c r="S174">
        <f t="shared" si="161"/>
        <v>0</v>
      </c>
      <c r="T174">
        <f t="shared" si="162"/>
        <v>0</v>
      </c>
      <c r="U174">
        <f t="shared" si="163"/>
        <v>0</v>
      </c>
      <c r="V174">
        <f t="shared" si="164"/>
        <v>0</v>
      </c>
      <c r="W174">
        <f t="shared" si="165"/>
        <v>0</v>
      </c>
      <c r="X174">
        <f t="shared" si="166"/>
        <v>0</v>
      </c>
      <c r="Y174">
        <f t="shared" si="167"/>
        <v>0</v>
      </c>
      <c r="AA174">
        <v>16630606</v>
      </c>
      <c r="AB174">
        <f t="shared" si="168"/>
        <v>331.38</v>
      </c>
      <c r="AC174">
        <f t="shared" si="193"/>
        <v>331.38</v>
      </c>
      <c r="AD174">
        <f t="shared" si="194"/>
        <v>0</v>
      </c>
      <c r="AE174">
        <f t="shared" si="195"/>
        <v>0</v>
      </c>
      <c r="AF174">
        <f t="shared" si="196"/>
        <v>0</v>
      </c>
      <c r="AG174">
        <f t="shared" si="169"/>
        <v>0</v>
      </c>
      <c r="AH174">
        <f t="shared" si="197"/>
        <v>0</v>
      </c>
      <c r="AI174">
        <f t="shared" si="198"/>
        <v>0</v>
      </c>
      <c r="AJ174">
        <f t="shared" si="170"/>
        <v>0</v>
      </c>
      <c r="AK174">
        <v>331.38</v>
      </c>
      <c r="AL174">
        <v>331.38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95</v>
      </c>
      <c r="AU174">
        <v>65</v>
      </c>
      <c r="AV174">
        <v>1</v>
      </c>
      <c r="AW174">
        <v>1</v>
      </c>
      <c r="AZ174">
        <v>7.13</v>
      </c>
      <c r="BA174">
        <v>1</v>
      </c>
      <c r="BB174">
        <v>1</v>
      </c>
      <c r="BC174">
        <v>7.13</v>
      </c>
      <c r="BD174" t="s">
        <v>6</v>
      </c>
      <c r="BE174" t="s">
        <v>6</v>
      </c>
      <c r="BF174" t="s">
        <v>6</v>
      </c>
      <c r="BG174" t="s">
        <v>6</v>
      </c>
      <c r="BH174">
        <v>3</v>
      </c>
      <c r="BI174">
        <v>2</v>
      </c>
      <c r="BJ174" t="s">
        <v>559</v>
      </c>
      <c r="BM174">
        <v>108001</v>
      </c>
      <c r="BN174">
        <v>0</v>
      </c>
      <c r="BO174" t="s">
        <v>6</v>
      </c>
      <c r="BP174">
        <v>0</v>
      </c>
      <c r="BQ174">
        <v>3</v>
      </c>
      <c r="BR174">
        <v>0</v>
      </c>
      <c r="BS174">
        <v>1</v>
      </c>
      <c r="BT174">
        <v>1</v>
      </c>
      <c r="BU174">
        <v>1</v>
      </c>
      <c r="BV174">
        <v>1</v>
      </c>
      <c r="BW174">
        <v>1</v>
      </c>
      <c r="BX174">
        <v>1</v>
      </c>
      <c r="BY174" t="s">
        <v>6</v>
      </c>
      <c r="BZ174">
        <v>95</v>
      </c>
      <c r="CA174">
        <v>65</v>
      </c>
      <c r="CE174">
        <v>0</v>
      </c>
      <c r="CF174">
        <v>0</v>
      </c>
      <c r="CG174">
        <v>0</v>
      </c>
      <c r="CM174">
        <v>0</v>
      </c>
      <c r="CN174" t="s">
        <v>6</v>
      </c>
      <c r="CO174">
        <v>0</v>
      </c>
      <c r="CP174">
        <f t="shared" si="171"/>
        <v>7088.22</v>
      </c>
      <c r="CQ174">
        <f t="shared" si="172"/>
        <v>2362.7393999999999</v>
      </c>
      <c r="CR174">
        <f t="shared" si="173"/>
        <v>0</v>
      </c>
      <c r="CS174">
        <f t="shared" si="174"/>
        <v>0</v>
      </c>
      <c r="CT174">
        <f t="shared" si="175"/>
        <v>0</v>
      </c>
      <c r="CU174">
        <f t="shared" si="176"/>
        <v>0</v>
      </c>
      <c r="CV174">
        <f t="shared" si="177"/>
        <v>0</v>
      </c>
      <c r="CW174">
        <f t="shared" si="178"/>
        <v>0</v>
      </c>
      <c r="CX174">
        <f t="shared" si="179"/>
        <v>0</v>
      </c>
      <c r="CY174">
        <f t="shared" si="180"/>
        <v>0</v>
      </c>
      <c r="CZ174">
        <f t="shared" si="181"/>
        <v>0</v>
      </c>
      <c r="DC174" t="s">
        <v>6</v>
      </c>
      <c r="DD174" t="s">
        <v>6</v>
      </c>
      <c r="DE174" t="s">
        <v>6</v>
      </c>
      <c r="DF174" t="s">
        <v>6</v>
      </c>
      <c r="DG174" t="s">
        <v>6</v>
      </c>
      <c r="DH174" t="s">
        <v>6</v>
      </c>
      <c r="DI174" t="s">
        <v>6</v>
      </c>
      <c r="DJ174" t="s">
        <v>6</v>
      </c>
      <c r="DK174" t="s">
        <v>6</v>
      </c>
      <c r="DL174" t="s">
        <v>6</v>
      </c>
      <c r="DM174" t="s">
        <v>6</v>
      </c>
      <c r="DN174">
        <v>0</v>
      </c>
      <c r="DO174">
        <v>0</v>
      </c>
      <c r="DP174">
        <v>1</v>
      </c>
      <c r="DQ174">
        <v>1</v>
      </c>
      <c r="DU174">
        <v>1010</v>
      </c>
      <c r="DV174" t="s">
        <v>132</v>
      </c>
      <c r="DW174" t="s">
        <v>132</v>
      </c>
      <c r="DX174">
        <v>1</v>
      </c>
      <c r="EE174">
        <v>16609228</v>
      </c>
      <c r="EF174">
        <v>3</v>
      </c>
      <c r="EG174" t="s">
        <v>491</v>
      </c>
      <c r="EH174">
        <v>0</v>
      </c>
      <c r="EI174" t="s">
        <v>6</v>
      </c>
      <c r="EJ174">
        <v>2</v>
      </c>
      <c r="EK174">
        <v>108001</v>
      </c>
      <c r="EL174" t="s">
        <v>492</v>
      </c>
      <c r="EM174" t="s">
        <v>493</v>
      </c>
      <c r="EO174" t="s">
        <v>6</v>
      </c>
      <c r="EQ174">
        <v>0</v>
      </c>
      <c r="ER174">
        <v>331.38</v>
      </c>
      <c r="ES174">
        <v>331.38</v>
      </c>
      <c r="ET174">
        <v>0</v>
      </c>
      <c r="EU174">
        <v>0</v>
      </c>
      <c r="EV174">
        <v>0</v>
      </c>
      <c r="EW174">
        <v>0</v>
      </c>
      <c r="EX174">
        <v>0</v>
      </c>
      <c r="FQ174">
        <v>0</v>
      </c>
      <c r="FR174">
        <f t="shared" si="182"/>
        <v>0</v>
      </c>
      <c r="FS174">
        <v>0</v>
      </c>
      <c r="FX174">
        <v>95</v>
      </c>
      <c r="FY174">
        <v>65</v>
      </c>
      <c r="GA174" t="s">
        <v>6</v>
      </c>
      <c r="GD174">
        <v>0</v>
      </c>
      <c r="GF174">
        <v>2146108662</v>
      </c>
      <c r="GG174">
        <v>1</v>
      </c>
      <c r="GH174">
        <v>1</v>
      </c>
      <c r="GI174">
        <v>4</v>
      </c>
      <c r="GJ174">
        <v>0</v>
      </c>
      <c r="GK174">
        <f>ROUND(R174*(R12)/100,2)</f>
        <v>0</v>
      </c>
      <c r="GL174">
        <f t="shared" si="183"/>
        <v>0</v>
      </c>
      <c r="GM174">
        <f t="shared" si="184"/>
        <v>7088.22</v>
      </c>
      <c r="GN174">
        <f t="shared" si="185"/>
        <v>0</v>
      </c>
      <c r="GO174">
        <f t="shared" si="186"/>
        <v>7088.22</v>
      </c>
      <c r="GP174">
        <f t="shared" si="187"/>
        <v>0</v>
      </c>
      <c r="GR174">
        <v>0</v>
      </c>
      <c r="GS174">
        <v>3</v>
      </c>
      <c r="GT174">
        <v>0</v>
      </c>
      <c r="GU174" t="s">
        <v>6</v>
      </c>
      <c r="GV174">
        <f t="shared" si="188"/>
        <v>0</v>
      </c>
      <c r="GW174">
        <v>1</v>
      </c>
      <c r="GX174">
        <f t="shared" si="189"/>
        <v>0</v>
      </c>
      <c r="HA174">
        <v>0</v>
      </c>
      <c r="HB174">
        <v>0</v>
      </c>
      <c r="HC174">
        <f t="shared" si="190"/>
        <v>0</v>
      </c>
      <c r="IK174">
        <v>0</v>
      </c>
    </row>
    <row r="175" spans="1:245" x14ac:dyDescent="0.2">
      <c r="A175">
        <v>17</v>
      </c>
      <c r="B175">
        <v>1</v>
      </c>
      <c r="C175">
        <f>ROW(SmtRes!A380)</f>
        <v>380</v>
      </c>
      <c r="D175">
        <f>ROW(EtalonRes!A379)</f>
        <v>379</v>
      </c>
      <c r="E175" t="s">
        <v>560</v>
      </c>
      <c r="F175" t="s">
        <v>561</v>
      </c>
      <c r="G175" t="s">
        <v>562</v>
      </c>
      <c r="H175" t="s">
        <v>27</v>
      </c>
      <c r="I175">
        <f>ROUND(34/100,9)</f>
        <v>0.34</v>
      </c>
      <c r="J175">
        <v>0</v>
      </c>
      <c r="O175">
        <f t="shared" si="157"/>
        <v>1100.4100000000001</v>
      </c>
      <c r="P175">
        <f t="shared" si="158"/>
        <v>257.98</v>
      </c>
      <c r="Q175">
        <f t="shared" si="159"/>
        <v>11.32</v>
      </c>
      <c r="R175">
        <f t="shared" si="160"/>
        <v>1.55</v>
      </c>
      <c r="S175">
        <f t="shared" si="161"/>
        <v>831.11</v>
      </c>
      <c r="T175">
        <f t="shared" si="162"/>
        <v>0</v>
      </c>
      <c r="U175">
        <f t="shared" si="163"/>
        <v>11.750400000000001</v>
      </c>
      <c r="V175">
        <f t="shared" si="164"/>
        <v>1.7000000000000001E-2</v>
      </c>
      <c r="W175">
        <f t="shared" si="165"/>
        <v>0</v>
      </c>
      <c r="X175">
        <f t="shared" si="166"/>
        <v>791.03</v>
      </c>
      <c r="Y175">
        <f t="shared" si="167"/>
        <v>541.23</v>
      </c>
      <c r="AA175">
        <v>16630606</v>
      </c>
      <c r="AB175">
        <f t="shared" si="168"/>
        <v>453.93</v>
      </c>
      <c r="AC175">
        <f t="shared" si="193"/>
        <v>106.42</v>
      </c>
      <c r="AD175">
        <f t="shared" si="194"/>
        <v>4.67</v>
      </c>
      <c r="AE175">
        <f t="shared" si="195"/>
        <v>0.64</v>
      </c>
      <c r="AF175">
        <f t="shared" si="196"/>
        <v>342.84</v>
      </c>
      <c r="AG175">
        <f t="shared" si="169"/>
        <v>0</v>
      </c>
      <c r="AH175">
        <f t="shared" si="197"/>
        <v>34.56</v>
      </c>
      <c r="AI175">
        <f t="shared" si="198"/>
        <v>0.05</v>
      </c>
      <c r="AJ175">
        <f t="shared" si="170"/>
        <v>0</v>
      </c>
      <c r="AK175">
        <v>453.93</v>
      </c>
      <c r="AL175">
        <v>106.42</v>
      </c>
      <c r="AM175">
        <v>4.67</v>
      </c>
      <c r="AN175">
        <v>0.64</v>
      </c>
      <c r="AO175">
        <v>342.84</v>
      </c>
      <c r="AP175">
        <v>0</v>
      </c>
      <c r="AQ175">
        <v>34.56</v>
      </c>
      <c r="AR175">
        <v>0.05</v>
      </c>
      <c r="AS175">
        <v>0</v>
      </c>
      <c r="AT175">
        <v>95</v>
      </c>
      <c r="AU175">
        <v>65</v>
      </c>
      <c r="AV175">
        <v>1</v>
      </c>
      <c r="AW175">
        <v>1</v>
      </c>
      <c r="AZ175">
        <v>7.13</v>
      </c>
      <c r="BA175">
        <v>7.13</v>
      </c>
      <c r="BB175">
        <v>7.13</v>
      </c>
      <c r="BC175">
        <v>7.13</v>
      </c>
      <c r="BD175" t="s">
        <v>6</v>
      </c>
      <c r="BE175" t="s">
        <v>6</v>
      </c>
      <c r="BF175" t="s">
        <v>6</v>
      </c>
      <c r="BG175" t="s">
        <v>6</v>
      </c>
      <c r="BH175">
        <v>0</v>
      </c>
      <c r="BI175">
        <v>2</v>
      </c>
      <c r="BJ175" t="s">
        <v>563</v>
      </c>
      <c r="BM175">
        <v>108001</v>
      </c>
      <c r="BN175">
        <v>0</v>
      </c>
      <c r="BO175" t="s">
        <v>6</v>
      </c>
      <c r="BP175">
        <v>0</v>
      </c>
      <c r="BQ175">
        <v>3</v>
      </c>
      <c r="BR175">
        <v>0</v>
      </c>
      <c r="BS175">
        <v>7.13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6</v>
      </c>
      <c r="BZ175">
        <v>95</v>
      </c>
      <c r="CA175">
        <v>65</v>
      </c>
      <c r="CE175">
        <v>0</v>
      </c>
      <c r="CF175">
        <v>0</v>
      </c>
      <c r="CG175">
        <v>0</v>
      </c>
      <c r="CM175">
        <v>0</v>
      </c>
      <c r="CN175" t="s">
        <v>6</v>
      </c>
      <c r="CO175">
        <v>0</v>
      </c>
      <c r="CP175">
        <f t="shared" si="171"/>
        <v>1100.4100000000001</v>
      </c>
      <c r="CQ175">
        <f t="shared" si="172"/>
        <v>758.77459999999996</v>
      </c>
      <c r="CR175">
        <f t="shared" si="173"/>
        <v>33.2971</v>
      </c>
      <c r="CS175">
        <f t="shared" si="174"/>
        <v>4.5632000000000001</v>
      </c>
      <c r="CT175">
        <f t="shared" si="175"/>
        <v>2444.4491999999996</v>
      </c>
      <c r="CU175">
        <f t="shared" si="176"/>
        <v>0</v>
      </c>
      <c r="CV175">
        <f t="shared" si="177"/>
        <v>34.56</v>
      </c>
      <c r="CW175">
        <f t="shared" si="178"/>
        <v>0.05</v>
      </c>
      <c r="CX175">
        <f t="shared" si="179"/>
        <v>0</v>
      </c>
      <c r="CY175">
        <f t="shared" si="180"/>
        <v>791.02699999999993</v>
      </c>
      <c r="CZ175">
        <f t="shared" si="181"/>
        <v>541.22900000000004</v>
      </c>
      <c r="DC175" t="s">
        <v>6</v>
      </c>
      <c r="DD175" t="s">
        <v>6</v>
      </c>
      <c r="DE175" t="s">
        <v>6</v>
      </c>
      <c r="DF175" t="s">
        <v>6</v>
      </c>
      <c r="DG175" t="s">
        <v>6</v>
      </c>
      <c r="DH175" t="s">
        <v>6</v>
      </c>
      <c r="DI175" t="s">
        <v>6</v>
      </c>
      <c r="DJ175" t="s">
        <v>6</v>
      </c>
      <c r="DK175" t="s">
        <v>6</v>
      </c>
      <c r="DL175" t="s">
        <v>6</v>
      </c>
      <c r="DM175" t="s">
        <v>6</v>
      </c>
      <c r="DN175">
        <v>0</v>
      </c>
      <c r="DO175">
        <v>0</v>
      </c>
      <c r="DP175">
        <v>1</v>
      </c>
      <c r="DQ175">
        <v>1</v>
      </c>
      <c r="DU175">
        <v>1013</v>
      </c>
      <c r="DV175" t="s">
        <v>27</v>
      </c>
      <c r="DW175" t="s">
        <v>27</v>
      </c>
      <c r="DX175">
        <v>1</v>
      </c>
      <c r="EE175">
        <v>16609228</v>
      </c>
      <c r="EF175">
        <v>3</v>
      </c>
      <c r="EG175" t="s">
        <v>491</v>
      </c>
      <c r="EH175">
        <v>0</v>
      </c>
      <c r="EI175" t="s">
        <v>6</v>
      </c>
      <c r="EJ175">
        <v>2</v>
      </c>
      <c r="EK175">
        <v>108001</v>
      </c>
      <c r="EL175" t="s">
        <v>492</v>
      </c>
      <c r="EM175" t="s">
        <v>493</v>
      </c>
      <c r="EO175" t="s">
        <v>6</v>
      </c>
      <c r="EQ175">
        <v>131072</v>
      </c>
      <c r="ER175">
        <v>453.93</v>
      </c>
      <c r="ES175">
        <v>106.42</v>
      </c>
      <c r="ET175">
        <v>4.67</v>
      </c>
      <c r="EU175">
        <v>0.64</v>
      </c>
      <c r="EV175">
        <v>342.84</v>
      </c>
      <c r="EW175">
        <v>34.56</v>
      </c>
      <c r="EX175">
        <v>0.05</v>
      </c>
      <c r="EY175">
        <v>0</v>
      </c>
      <c r="FQ175">
        <v>0</v>
      </c>
      <c r="FR175">
        <f t="shared" si="182"/>
        <v>0</v>
      </c>
      <c r="FS175">
        <v>0</v>
      </c>
      <c r="FX175">
        <v>95</v>
      </c>
      <c r="FY175">
        <v>65</v>
      </c>
      <c r="GA175" t="s">
        <v>6</v>
      </c>
      <c r="GD175">
        <v>0</v>
      </c>
      <c r="GF175">
        <v>1467084021</v>
      </c>
      <c r="GG175">
        <v>1</v>
      </c>
      <c r="GH175">
        <v>1</v>
      </c>
      <c r="GI175">
        <v>4</v>
      </c>
      <c r="GJ175">
        <v>0</v>
      </c>
      <c r="GK175">
        <f>ROUND(R175*(R12)/100,2)</f>
        <v>0</v>
      </c>
      <c r="GL175">
        <f t="shared" si="183"/>
        <v>0</v>
      </c>
      <c r="GM175">
        <f t="shared" si="184"/>
        <v>2432.67</v>
      </c>
      <c r="GN175">
        <f t="shared" si="185"/>
        <v>0</v>
      </c>
      <c r="GO175">
        <f t="shared" si="186"/>
        <v>2432.67</v>
      </c>
      <c r="GP175">
        <f t="shared" si="187"/>
        <v>0</v>
      </c>
      <c r="GR175">
        <v>0</v>
      </c>
      <c r="GS175">
        <v>3</v>
      </c>
      <c r="GT175">
        <v>0</v>
      </c>
      <c r="GU175" t="s">
        <v>6</v>
      </c>
      <c r="GV175">
        <f t="shared" si="188"/>
        <v>0</v>
      </c>
      <c r="GW175">
        <v>1</v>
      </c>
      <c r="GX175">
        <f t="shared" si="189"/>
        <v>0</v>
      </c>
      <c r="HA175">
        <v>0</v>
      </c>
      <c r="HB175">
        <v>0</v>
      </c>
      <c r="HC175">
        <f t="shared" si="190"/>
        <v>0</v>
      </c>
      <c r="IK175">
        <v>0</v>
      </c>
    </row>
    <row r="176" spans="1:245" x14ac:dyDescent="0.2">
      <c r="A176">
        <v>18</v>
      </c>
      <c r="B176">
        <v>1</v>
      </c>
      <c r="C176">
        <v>379</v>
      </c>
      <c r="E176" t="s">
        <v>564</v>
      </c>
      <c r="F176" t="s">
        <v>565</v>
      </c>
      <c r="G176" t="s">
        <v>566</v>
      </c>
      <c r="H176" t="s">
        <v>243</v>
      </c>
      <c r="I176">
        <f>I175*J176</f>
        <v>0.08</v>
      </c>
      <c r="J176">
        <v>0.23529411764705882</v>
      </c>
      <c r="O176">
        <f t="shared" si="157"/>
        <v>1256.02</v>
      </c>
      <c r="P176">
        <f t="shared" si="158"/>
        <v>1256.02</v>
      </c>
      <c r="Q176">
        <f t="shared" si="159"/>
        <v>0</v>
      </c>
      <c r="R176">
        <f t="shared" si="160"/>
        <v>0</v>
      </c>
      <c r="S176">
        <f t="shared" si="161"/>
        <v>0</v>
      </c>
      <c r="T176">
        <f t="shared" si="162"/>
        <v>0</v>
      </c>
      <c r="U176">
        <f t="shared" si="163"/>
        <v>0</v>
      </c>
      <c r="V176">
        <f t="shared" si="164"/>
        <v>0</v>
      </c>
      <c r="W176">
        <f t="shared" si="165"/>
        <v>0</v>
      </c>
      <c r="X176">
        <f t="shared" si="166"/>
        <v>0</v>
      </c>
      <c r="Y176">
        <f t="shared" si="167"/>
        <v>0</v>
      </c>
      <c r="AA176">
        <v>16630606</v>
      </c>
      <c r="AB176">
        <f t="shared" si="168"/>
        <v>2202</v>
      </c>
      <c r="AC176">
        <f t="shared" si="193"/>
        <v>2202</v>
      </c>
      <c r="AD176">
        <f t="shared" si="194"/>
        <v>0</v>
      </c>
      <c r="AE176">
        <f t="shared" si="195"/>
        <v>0</v>
      </c>
      <c r="AF176">
        <f t="shared" si="196"/>
        <v>0</v>
      </c>
      <c r="AG176">
        <f t="shared" si="169"/>
        <v>0</v>
      </c>
      <c r="AH176">
        <f t="shared" si="197"/>
        <v>0</v>
      </c>
      <c r="AI176">
        <f t="shared" si="198"/>
        <v>0</v>
      </c>
      <c r="AJ176">
        <f t="shared" si="170"/>
        <v>0</v>
      </c>
      <c r="AK176">
        <v>2202</v>
      </c>
      <c r="AL176">
        <v>2202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95</v>
      </c>
      <c r="AU176">
        <v>65</v>
      </c>
      <c r="AV176">
        <v>1</v>
      </c>
      <c r="AW176">
        <v>1</v>
      </c>
      <c r="AZ176">
        <v>7.13</v>
      </c>
      <c r="BA176">
        <v>1</v>
      </c>
      <c r="BB176">
        <v>1</v>
      </c>
      <c r="BC176">
        <v>7.13</v>
      </c>
      <c r="BD176" t="s">
        <v>6</v>
      </c>
      <c r="BE176" t="s">
        <v>6</v>
      </c>
      <c r="BF176" t="s">
        <v>6</v>
      </c>
      <c r="BG176" t="s">
        <v>6</v>
      </c>
      <c r="BH176">
        <v>3</v>
      </c>
      <c r="BI176">
        <v>2</v>
      </c>
      <c r="BJ176" t="s">
        <v>567</v>
      </c>
      <c r="BM176">
        <v>108001</v>
      </c>
      <c r="BN176">
        <v>0</v>
      </c>
      <c r="BO176" t="s">
        <v>6</v>
      </c>
      <c r="BP176">
        <v>0</v>
      </c>
      <c r="BQ176">
        <v>3</v>
      </c>
      <c r="BR176">
        <v>0</v>
      </c>
      <c r="BS176">
        <v>1</v>
      </c>
      <c r="BT176">
        <v>1</v>
      </c>
      <c r="BU176">
        <v>1</v>
      </c>
      <c r="BV176">
        <v>1</v>
      </c>
      <c r="BW176">
        <v>1</v>
      </c>
      <c r="BX176">
        <v>1</v>
      </c>
      <c r="BY176" t="s">
        <v>6</v>
      </c>
      <c r="BZ176">
        <v>95</v>
      </c>
      <c r="CA176">
        <v>65</v>
      </c>
      <c r="CE176">
        <v>0</v>
      </c>
      <c r="CF176">
        <v>0</v>
      </c>
      <c r="CG176">
        <v>0</v>
      </c>
      <c r="CM176">
        <v>0</v>
      </c>
      <c r="CN176" t="s">
        <v>6</v>
      </c>
      <c r="CO176">
        <v>0</v>
      </c>
      <c r="CP176">
        <f t="shared" si="171"/>
        <v>1256.02</v>
      </c>
      <c r="CQ176">
        <f t="shared" si="172"/>
        <v>15700.26</v>
      </c>
      <c r="CR176">
        <f t="shared" si="173"/>
        <v>0</v>
      </c>
      <c r="CS176">
        <f t="shared" si="174"/>
        <v>0</v>
      </c>
      <c r="CT176">
        <f t="shared" si="175"/>
        <v>0</v>
      </c>
      <c r="CU176">
        <f t="shared" si="176"/>
        <v>0</v>
      </c>
      <c r="CV176">
        <f t="shared" si="177"/>
        <v>0</v>
      </c>
      <c r="CW176">
        <f t="shared" si="178"/>
        <v>0</v>
      </c>
      <c r="CX176">
        <f t="shared" si="179"/>
        <v>0</v>
      </c>
      <c r="CY176">
        <f t="shared" si="180"/>
        <v>0</v>
      </c>
      <c r="CZ176">
        <f t="shared" si="181"/>
        <v>0</v>
      </c>
      <c r="DC176" t="s">
        <v>6</v>
      </c>
      <c r="DD176" t="s">
        <v>6</v>
      </c>
      <c r="DE176" t="s">
        <v>6</v>
      </c>
      <c r="DF176" t="s">
        <v>6</v>
      </c>
      <c r="DG176" t="s">
        <v>6</v>
      </c>
      <c r="DH176" t="s">
        <v>6</v>
      </c>
      <c r="DI176" t="s">
        <v>6</v>
      </c>
      <c r="DJ176" t="s">
        <v>6</v>
      </c>
      <c r="DK176" t="s">
        <v>6</v>
      </c>
      <c r="DL176" t="s">
        <v>6</v>
      </c>
      <c r="DM176" t="s">
        <v>6</v>
      </c>
      <c r="DN176">
        <v>0</v>
      </c>
      <c r="DO176">
        <v>0</v>
      </c>
      <c r="DP176">
        <v>1</v>
      </c>
      <c r="DQ176">
        <v>1</v>
      </c>
      <c r="DU176">
        <v>1010</v>
      </c>
      <c r="DV176" t="s">
        <v>243</v>
      </c>
      <c r="DW176" t="s">
        <v>243</v>
      </c>
      <c r="DX176">
        <v>100</v>
      </c>
      <c r="EE176">
        <v>16609228</v>
      </c>
      <c r="EF176">
        <v>3</v>
      </c>
      <c r="EG176" t="s">
        <v>491</v>
      </c>
      <c r="EH176">
        <v>0</v>
      </c>
      <c r="EI176" t="s">
        <v>6</v>
      </c>
      <c r="EJ176">
        <v>2</v>
      </c>
      <c r="EK176">
        <v>108001</v>
      </c>
      <c r="EL176" t="s">
        <v>492</v>
      </c>
      <c r="EM176" t="s">
        <v>493</v>
      </c>
      <c r="EO176" t="s">
        <v>6</v>
      </c>
      <c r="EQ176">
        <v>0</v>
      </c>
      <c r="ER176">
        <v>2202</v>
      </c>
      <c r="ES176">
        <v>2202</v>
      </c>
      <c r="ET176">
        <v>0</v>
      </c>
      <c r="EU176">
        <v>0</v>
      </c>
      <c r="EV176">
        <v>0</v>
      </c>
      <c r="EW176">
        <v>0</v>
      </c>
      <c r="EX176">
        <v>0</v>
      </c>
      <c r="FQ176">
        <v>0</v>
      </c>
      <c r="FR176">
        <f t="shared" si="182"/>
        <v>0</v>
      </c>
      <c r="FS176">
        <v>0</v>
      </c>
      <c r="FX176">
        <v>95</v>
      </c>
      <c r="FY176">
        <v>65</v>
      </c>
      <c r="GA176" t="s">
        <v>6</v>
      </c>
      <c r="GD176">
        <v>0</v>
      </c>
      <c r="GF176">
        <v>-647283413</v>
      </c>
      <c r="GG176">
        <v>1</v>
      </c>
      <c r="GH176">
        <v>1</v>
      </c>
      <c r="GI176">
        <v>4</v>
      </c>
      <c r="GJ176">
        <v>0</v>
      </c>
      <c r="GK176">
        <f>ROUND(R176*(R12)/100,2)</f>
        <v>0</v>
      </c>
      <c r="GL176">
        <f t="shared" si="183"/>
        <v>0</v>
      </c>
      <c r="GM176">
        <f t="shared" si="184"/>
        <v>1256.02</v>
      </c>
      <c r="GN176">
        <f t="shared" si="185"/>
        <v>0</v>
      </c>
      <c r="GO176">
        <f t="shared" si="186"/>
        <v>1256.02</v>
      </c>
      <c r="GP176">
        <f t="shared" si="187"/>
        <v>0</v>
      </c>
      <c r="GR176">
        <v>0</v>
      </c>
      <c r="GS176">
        <v>3</v>
      </c>
      <c r="GT176">
        <v>0</v>
      </c>
      <c r="GU176" t="s">
        <v>6</v>
      </c>
      <c r="GV176">
        <f t="shared" si="188"/>
        <v>0</v>
      </c>
      <c r="GW176">
        <v>1</v>
      </c>
      <c r="GX176">
        <f t="shared" si="189"/>
        <v>0</v>
      </c>
      <c r="HA176">
        <v>0</v>
      </c>
      <c r="HB176">
        <v>0</v>
      </c>
      <c r="HC176">
        <f t="shared" si="190"/>
        <v>0</v>
      </c>
      <c r="IK176">
        <v>0</v>
      </c>
    </row>
    <row r="177" spans="1:245" x14ac:dyDescent="0.2">
      <c r="A177">
        <v>18</v>
      </c>
      <c r="B177">
        <v>1</v>
      </c>
      <c r="C177">
        <v>378</v>
      </c>
      <c r="E177" t="s">
        <v>568</v>
      </c>
      <c r="F177" t="s">
        <v>569</v>
      </c>
      <c r="G177" t="s">
        <v>570</v>
      </c>
      <c r="H177" t="s">
        <v>243</v>
      </c>
      <c r="I177">
        <f>I175*J177</f>
        <v>0.24</v>
      </c>
      <c r="J177">
        <v>0.70588235294117641</v>
      </c>
      <c r="O177">
        <f t="shared" si="157"/>
        <v>987.36</v>
      </c>
      <c r="P177">
        <f t="shared" si="158"/>
        <v>987.36</v>
      </c>
      <c r="Q177">
        <f t="shared" si="159"/>
        <v>0</v>
      </c>
      <c r="R177">
        <f t="shared" si="160"/>
        <v>0</v>
      </c>
      <c r="S177">
        <f t="shared" si="161"/>
        <v>0</v>
      </c>
      <c r="T177">
        <f t="shared" si="162"/>
        <v>0</v>
      </c>
      <c r="U177">
        <f t="shared" si="163"/>
        <v>0</v>
      </c>
      <c r="V177">
        <f t="shared" si="164"/>
        <v>0</v>
      </c>
      <c r="W177">
        <f t="shared" si="165"/>
        <v>0</v>
      </c>
      <c r="X177">
        <f t="shared" si="166"/>
        <v>0</v>
      </c>
      <c r="Y177">
        <f t="shared" si="167"/>
        <v>0</v>
      </c>
      <c r="AA177">
        <v>16630606</v>
      </c>
      <c r="AB177">
        <f t="shared" si="168"/>
        <v>577</v>
      </c>
      <c r="AC177">
        <f t="shared" si="193"/>
        <v>577</v>
      </c>
      <c r="AD177">
        <f t="shared" si="194"/>
        <v>0</v>
      </c>
      <c r="AE177">
        <f t="shared" si="195"/>
        <v>0</v>
      </c>
      <c r="AF177">
        <f t="shared" si="196"/>
        <v>0</v>
      </c>
      <c r="AG177">
        <f t="shared" si="169"/>
        <v>0</v>
      </c>
      <c r="AH177">
        <f t="shared" si="197"/>
        <v>0</v>
      </c>
      <c r="AI177">
        <f t="shared" si="198"/>
        <v>0</v>
      </c>
      <c r="AJ177">
        <f t="shared" si="170"/>
        <v>0</v>
      </c>
      <c r="AK177">
        <v>577</v>
      </c>
      <c r="AL177">
        <v>577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95</v>
      </c>
      <c r="AU177">
        <v>65</v>
      </c>
      <c r="AV177">
        <v>1</v>
      </c>
      <c r="AW177">
        <v>1</v>
      </c>
      <c r="AZ177">
        <v>7.13</v>
      </c>
      <c r="BA177">
        <v>1</v>
      </c>
      <c r="BB177">
        <v>1</v>
      </c>
      <c r="BC177">
        <v>7.13</v>
      </c>
      <c r="BD177" t="s">
        <v>6</v>
      </c>
      <c r="BE177" t="s">
        <v>6</v>
      </c>
      <c r="BF177" t="s">
        <v>6</v>
      </c>
      <c r="BG177" t="s">
        <v>6</v>
      </c>
      <c r="BH177">
        <v>3</v>
      </c>
      <c r="BI177">
        <v>2</v>
      </c>
      <c r="BJ177" t="s">
        <v>571</v>
      </c>
      <c r="BM177">
        <v>108001</v>
      </c>
      <c r="BN177">
        <v>0</v>
      </c>
      <c r="BO177" t="s">
        <v>6</v>
      </c>
      <c r="BP177">
        <v>0</v>
      </c>
      <c r="BQ177">
        <v>3</v>
      </c>
      <c r="BR177">
        <v>0</v>
      </c>
      <c r="BS177">
        <v>1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6</v>
      </c>
      <c r="BZ177">
        <v>95</v>
      </c>
      <c r="CA177">
        <v>65</v>
      </c>
      <c r="CE177">
        <v>0</v>
      </c>
      <c r="CF177">
        <v>0</v>
      </c>
      <c r="CG177">
        <v>0</v>
      </c>
      <c r="CM177">
        <v>0</v>
      </c>
      <c r="CN177" t="s">
        <v>6</v>
      </c>
      <c r="CO177">
        <v>0</v>
      </c>
      <c r="CP177">
        <f t="shared" si="171"/>
        <v>987.36</v>
      </c>
      <c r="CQ177">
        <f t="shared" si="172"/>
        <v>4114.01</v>
      </c>
      <c r="CR177">
        <f t="shared" si="173"/>
        <v>0</v>
      </c>
      <c r="CS177">
        <f t="shared" si="174"/>
        <v>0</v>
      </c>
      <c r="CT177">
        <f t="shared" si="175"/>
        <v>0</v>
      </c>
      <c r="CU177">
        <f t="shared" si="176"/>
        <v>0</v>
      </c>
      <c r="CV177">
        <f t="shared" si="177"/>
        <v>0</v>
      </c>
      <c r="CW177">
        <f t="shared" si="178"/>
        <v>0</v>
      </c>
      <c r="CX177">
        <f t="shared" si="179"/>
        <v>0</v>
      </c>
      <c r="CY177">
        <f t="shared" si="180"/>
        <v>0</v>
      </c>
      <c r="CZ177">
        <f t="shared" si="181"/>
        <v>0</v>
      </c>
      <c r="DC177" t="s">
        <v>6</v>
      </c>
      <c r="DD177" t="s">
        <v>6</v>
      </c>
      <c r="DE177" t="s">
        <v>6</v>
      </c>
      <c r="DF177" t="s">
        <v>6</v>
      </c>
      <c r="DG177" t="s">
        <v>6</v>
      </c>
      <c r="DH177" t="s">
        <v>6</v>
      </c>
      <c r="DI177" t="s">
        <v>6</v>
      </c>
      <c r="DJ177" t="s">
        <v>6</v>
      </c>
      <c r="DK177" t="s">
        <v>6</v>
      </c>
      <c r="DL177" t="s">
        <v>6</v>
      </c>
      <c r="DM177" t="s">
        <v>6</v>
      </c>
      <c r="DN177">
        <v>0</v>
      </c>
      <c r="DO177">
        <v>0</v>
      </c>
      <c r="DP177">
        <v>1</v>
      </c>
      <c r="DQ177">
        <v>1</v>
      </c>
      <c r="DU177">
        <v>1010</v>
      </c>
      <c r="DV177" t="s">
        <v>243</v>
      </c>
      <c r="DW177" t="s">
        <v>243</v>
      </c>
      <c r="DX177">
        <v>100</v>
      </c>
      <c r="EE177">
        <v>16609228</v>
      </c>
      <c r="EF177">
        <v>3</v>
      </c>
      <c r="EG177" t="s">
        <v>491</v>
      </c>
      <c r="EH177">
        <v>0</v>
      </c>
      <c r="EI177" t="s">
        <v>6</v>
      </c>
      <c r="EJ177">
        <v>2</v>
      </c>
      <c r="EK177">
        <v>108001</v>
      </c>
      <c r="EL177" t="s">
        <v>492</v>
      </c>
      <c r="EM177" t="s">
        <v>493</v>
      </c>
      <c r="EO177" t="s">
        <v>6</v>
      </c>
      <c r="EQ177">
        <v>0</v>
      </c>
      <c r="ER177">
        <v>577</v>
      </c>
      <c r="ES177">
        <v>577</v>
      </c>
      <c r="ET177">
        <v>0</v>
      </c>
      <c r="EU177">
        <v>0</v>
      </c>
      <c r="EV177">
        <v>0</v>
      </c>
      <c r="EW177">
        <v>0</v>
      </c>
      <c r="EX177">
        <v>0</v>
      </c>
      <c r="FQ177">
        <v>0</v>
      </c>
      <c r="FR177">
        <f t="shared" si="182"/>
        <v>0</v>
      </c>
      <c r="FS177">
        <v>0</v>
      </c>
      <c r="FX177">
        <v>95</v>
      </c>
      <c r="FY177">
        <v>65</v>
      </c>
      <c r="GA177" t="s">
        <v>6</v>
      </c>
      <c r="GD177">
        <v>0</v>
      </c>
      <c r="GF177">
        <v>-232907881</v>
      </c>
      <c r="GG177">
        <v>1</v>
      </c>
      <c r="GH177">
        <v>1</v>
      </c>
      <c r="GI177">
        <v>4</v>
      </c>
      <c r="GJ177">
        <v>0</v>
      </c>
      <c r="GK177">
        <f>ROUND(R177*(R12)/100,2)</f>
        <v>0</v>
      </c>
      <c r="GL177">
        <f t="shared" si="183"/>
        <v>0</v>
      </c>
      <c r="GM177">
        <f t="shared" si="184"/>
        <v>987.36</v>
      </c>
      <c r="GN177">
        <f t="shared" si="185"/>
        <v>0</v>
      </c>
      <c r="GO177">
        <f t="shared" si="186"/>
        <v>987.36</v>
      </c>
      <c r="GP177">
        <f t="shared" si="187"/>
        <v>0</v>
      </c>
      <c r="GR177">
        <v>0</v>
      </c>
      <c r="GS177">
        <v>3</v>
      </c>
      <c r="GT177">
        <v>0</v>
      </c>
      <c r="GU177" t="s">
        <v>6</v>
      </c>
      <c r="GV177">
        <f t="shared" si="188"/>
        <v>0</v>
      </c>
      <c r="GW177">
        <v>1</v>
      </c>
      <c r="GX177">
        <f t="shared" si="189"/>
        <v>0</v>
      </c>
      <c r="HA177">
        <v>0</v>
      </c>
      <c r="HB177">
        <v>0</v>
      </c>
      <c r="HC177">
        <f t="shared" si="190"/>
        <v>0</v>
      </c>
      <c r="IK177">
        <v>0</v>
      </c>
    </row>
    <row r="178" spans="1:245" x14ac:dyDescent="0.2">
      <c r="A178">
        <v>18</v>
      </c>
      <c r="B178">
        <v>1</v>
      </c>
      <c r="C178">
        <v>377</v>
      </c>
      <c r="E178" t="s">
        <v>572</v>
      </c>
      <c r="F178" t="s">
        <v>573</v>
      </c>
      <c r="G178" t="s">
        <v>574</v>
      </c>
      <c r="H178" t="s">
        <v>243</v>
      </c>
      <c r="I178">
        <f>I175*J178</f>
        <v>0.02</v>
      </c>
      <c r="J178">
        <v>5.8823529411764705E-2</v>
      </c>
      <c r="O178">
        <f t="shared" si="157"/>
        <v>1085.9000000000001</v>
      </c>
      <c r="P178">
        <f t="shared" si="158"/>
        <v>1085.9000000000001</v>
      </c>
      <c r="Q178">
        <f t="shared" si="159"/>
        <v>0</v>
      </c>
      <c r="R178">
        <f t="shared" si="160"/>
        <v>0</v>
      </c>
      <c r="S178">
        <f t="shared" si="161"/>
        <v>0</v>
      </c>
      <c r="T178">
        <f t="shared" si="162"/>
        <v>0</v>
      </c>
      <c r="U178">
        <f t="shared" si="163"/>
        <v>0</v>
      </c>
      <c r="V178">
        <f t="shared" si="164"/>
        <v>0</v>
      </c>
      <c r="W178">
        <f t="shared" si="165"/>
        <v>0</v>
      </c>
      <c r="X178">
        <f t="shared" si="166"/>
        <v>0</v>
      </c>
      <c r="Y178">
        <f t="shared" si="167"/>
        <v>0</v>
      </c>
      <c r="AA178">
        <v>16630606</v>
      </c>
      <c r="AB178">
        <f t="shared" si="168"/>
        <v>7615</v>
      </c>
      <c r="AC178">
        <f t="shared" si="193"/>
        <v>7615</v>
      </c>
      <c r="AD178">
        <f t="shared" si="194"/>
        <v>0</v>
      </c>
      <c r="AE178">
        <f t="shared" si="195"/>
        <v>0</v>
      </c>
      <c r="AF178">
        <f t="shared" si="196"/>
        <v>0</v>
      </c>
      <c r="AG178">
        <f t="shared" si="169"/>
        <v>0</v>
      </c>
      <c r="AH178">
        <f t="shared" si="197"/>
        <v>0</v>
      </c>
      <c r="AI178">
        <f t="shared" si="198"/>
        <v>0</v>
      </c>
      <c r="AJ178">
        <f t="shared" si="170"/>
        <v>0</v>
      </c>
      <c r="AK178">
        <v>7615</v>
      </c>
      <c r="AL178">
        <v>7615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95</v>
      </c>
      <c r="AU178">
        <v>65</v>
      </c>
      <c r="AV178">
        <v>1</v>
      </c>
      <c r="AW178">
        <v>1</v>
      </c>
      <c r="AZ178">
        <v>7.13</v>
      </c>
      <c r="BA178">
        <v>1</v>
      </c>
      <c r="BB178">
        <v>1</v>
      </c>
      <c r="BC178">
        <v>7.13</v>
      </c>
      <c r="BD178" t="s">
        <v>6</v>
      </c>
      <c r="BE178" t="s">
        <v>6</v>
      </c>
      <c r="BF178" t="s">
        <v>6</v>
      </c>
      <c r="BG178" t="s">
        <v>6</v>
      </c>
      <c r="BH178">
        <v>3</v>
      </c>
      <c r="BI178">
        <v>2</v>
      </c>
      <c r="BJ178" t="s">
        <v>575</v>
      </c>
      <c r="BM178">
        <v>108001</v>
      </c>
      <c r="BN178">
        <v>0</v>
      </c>
      <c r="BO178" t="s">
        <v>6</v>
      </c>
      <c r="BP178">
        <v>0</v>
      </c>
      <c r="BQ178">
        <v>3</v>
      </c>
      <c r="BR178">
        <v>0</v>
      </c>
      <c r="BS178">
        <v>1</v>
      </c>
      <c r="BT178">
        <v>1</v>
      </c>
      <c r="BU178">
        <v>1</v>
      </c>
      <c r="BV178">
        <v>1</v>
      </c>
      <c r="BW178">
        <v>1</v>
      </c>
      <c r="BX178">
        <v>1</v>
      </c>
      <c r="BY178" t="s">
        <v>6</v>
      </c>
      <c r="BZ178">
        <v>95</v>
      </c>
      <c r="CA178">
        <v>65</v>
      </c>
      <c r="CE178">
        <v>0</v>
      </c>
      <c r="CF178">
        <v>0</v>
      </c>
      <c r="CG178">
        <v>0</v>
      </c>
      <c r="CM178">
        <v>0</v>
      </c>
      <c r="CN178" t="s">
        <v>6</v>
      </c>
      <c r="CO178">
        <v>0</v>
      </c>
      <c r="CP178">
        <f t="shared" si="171"/>
        <v>1085.9000000000001</v>
      </c>
      <c r="CQ178">
        <f t="shared" si="172"/>
        <v>54294.95</v>
      </c>
      <c r="CR178">
        <f t="shared" si="173"/>
        <v>0</v>
      </c>
      <c r="CS178">
        <f t="shared" si="174"/>
        <v>0</v>
      </c>
      <c r="CT178">
        <f t="shared" si="175"/>
        <v>0</v>
      </c>
      <c r="CU178">
        <f t="shared" si="176"/>
        <v>0</v>
      </c>
      <c r="CV178">
        <f t="shared" si="177"/>
        <v>0</v>
      </c>
      <c r="CW178">
        <f t="shared" si="178"/>
        <v>0</v>
      </c>
      <c r="CX178">
        <f t="shared" si="179"/>
        <v>0</v>
      </c>
      <c r="CY178">
        <f t="shared" si="180"/>
        <v>0</v>
      </c>
      <c r="CZ178">
        <f t="shared" si="181"/>
        <v>0</v>
      </c>
      <c r="DC178" t="s">
        <v>6</v>
      </c>
      <c r="DD178" t="s">
        <v>6</v>
      </c>
      <c r="DE178" t="s">
        <v>6</v>
      </c>
      <c r="DF178" t="s">
        <v>6</v>
      </c>
      <c r="DG178" t="s">
        <v>6</v>
      </c>
      <c r="DH178" t="s">
        <v>6</v>
      </c>
      <c r="DI178" t="s">
        <v>6</v>
      </c>
      <c r="DJ178" t="s">
        <v>6</v>
      </c>
      <c r="DK178" t="s">
        <v>6</v>
      </c>
      <c r="DL178" t="s">
        <v>6</v>
      </c>
      <c r="DM178" t="s">
        <v>6</v>
      </c>
      <c r="DN178">
        <v>0</v>
      </c>
      <c r="DO178">
        <v>0</v>
      </c>
      <c r="DP178">
        <v>1</v>
      </c>
      <c r="DQ178">
        <v>1</v>
      </c>
      <c r="DU178">
        <v>1010</v>
      </c>
      <c r="DV178" t="s">
        <v>243</v>
      </c>
      <c r="DW178" t="s">
        <v>243</v>
      </c>
      <c r="DX178">
        <v>100</v>
      </c>
      <c r="EE178">
        <v>16609228</v>
      </c>
      <c r="EF178">
        <v>3</v>
      </c>
      <c r="EG178" t="s">
        <v>491</v>
      </c>
      <c r="EH178">
        <v>0</v>
      </c>
      <c r="EI178" t="s">
        <v>6</v>
      </c>
      <c r="EJ178">
        <v>2</v>
      </c>
      <c r="EK178">
        <v>108001</v>
      </c>
      <c r="EL178" t="s">
        <v>492</v>
      </c>
      <c r="EM178" t="s">
        <v>493</v>
      </c>
      <c r="EO178" t="s">
        <v>6</v>
      </c>
      <c r="EQ178">
        <v>0</v>
      </c>
      <c r="ER178">
        <v>7615</v>
      </c>
      <c r="ES178">
        <v>7615</v>
      </c>
      <c r="ET178">
        <v>0</v>
      </c>
      <c r="EU178">
        <v>0</v>
      </c>
      <c r="EV178">
        <v>0</v>
      </c>
      <c r="EW178">
        <v>0</v>
      </c>
      <c r="EX178">
        <v>0</v>
      </c>
      <c r="FQ178">
        <v>0</v>
      </c>
      <c r="FR178">
        <f t="shared" si="182"/>
        <v>0</v>
      </c>
      <c r="FS178">
        <v>0</v>
      </c>
      <c r="FX178">
        <v>95</v>
      </c>
      <c r="FY178">
        <v>65</v>
      </c>
      <c r="GA178" t="s">
        <v>6</v>
      </c>
      <c r="GD178">
        <v>0</v>
      </c>
      <c r="GF178">
        <v>734862959</v>
      </c>
      <c r="GG178">
        <v>1</v>
      </c>
      <c r="GH178">
        <v>1</v>
      </c>
      <c r="GI178">
        <v>4</v>
      </c>
      <c r="GJ178">
        <v>0</v>
      </c>
      <c r="GK178">
        <f>ROUND(R178*(R12)/100,2)</f>
        <v>0</v>
      </c>
      <c r="GL178">
        <f t="shared" si="183"/>
        <v>0</v>
      </c>
      <c r="GM178">
        <f t="shared" si="184"/>
        <v>1085.9000000000001</v>
      </c>
      <c r="GN178">
        <f t="shared" si="185"/>
        <v>0</v>
      </c>
      <c r="GO178">
        <f t="shared" si="186"/>
        <v>1085.9000000000001</v>
      </c>
      <c r="GP178">
        <f t="shared" si="187"/>
        <v>0</v>
      </c>
      <c r="GR178">
        <v>0</v>
      </c>
      <c r="GS178">
        <v>3</v>
      </c>
      <c r="GT178">
        <v>0</v>
      </c>
      <c r="GU178" t="s">
        <v>6</v>
      </c>
      <c r="GV178">
        <f t="shared" si="188"/>
        <v>0</v>
      </c>
      <c r="GW178">
        <v>1</v>
      </c>
      <c r="GX178">
        <f t="shared" si="189"/>
        <v>0</v>
      </c>
      <c r="HA178">
        <v>0</v>
      </c>
      <c r="HB178">
        <v>0</v>
      </c>
      <c r="HC178">
        <f t="shared" si="190"/>
        <v>0</v>
      </c>
      <c r="IK178">
        <v>0</v>
      </c>
    </row>
    <row r="179" spans="1:245" x14ac:dyDescent="0.2">
      <c r="A179">
        <v>17</v>
      </c>
      <c r="B179">
        <v>1</v>
      </c>
      <c r="C179">
        <f>ROW(SmtRes!A388)</f>
        <v>388</v>
      </c>
      <c r="D179">
        <f>ROW(EtalonRes!A385)</f>
        <v>385</v>
      </c>
      <c r="E179" t="s">
        <v>576</v>
      </c>
      <c r="F179" t="s">
        <v>577</v>
      </c>
      <c r="G179" t="s">
        <v>578</v>
      </c>
      <c r="H179" t="s">
        <v>57</v>
      </c>
      <c r="I179">
        <f>ROUND(420/100,9)</f>
        <v>4.2</v>
      </c>
      <c r="J179">
        <v>0</v>
      </c>
      <c r="O179">
        <f t="shared" si="157"/>
        <v>6191.63</v>
      </c>
      <c r="P179">
        <f t="shared" si="158"/>
        <v>1543.12</v>
      </c>
      <c r="Q179">
        <f t="shared" si="159"/>
        <v>9.2799999999999994</v>
      </c>
      <c r="R179">
        <f t="shared" si="160"/>
        <v>4.1900000000000004</v>
      </c>
      <c r="S179">
        <f t="shared" si="161"/>
        <v>4639.2299999999996</v>
      </c>
      <c r="T179">
        <f t="shared" si="162"/>
        <v>0</v>
      </c>
      <c r="U179">
        <f t="shared" si="163"/>
        <v>68.418000000000006</v>
      </c>
      <c r="V179">
        <f t="shared" si="164"/>
        <v>4.2000000000000003E-2</v>
      </c>
      <c r="W179">
        <f t="shared" si="165"/>
        <v>0</v>
      </c>
      <c r="X179">
        <f t="shared" si="166"/>
        <v>4411.25</v>
      </c>
      <c r="Y179">
        <f t="shared" si="167"/>
        <v>3018.22</v>
      </c>
      <c r="AA179">
        <v>16630606</v>
      </c>
      <c r="AB179">
        <f t="shared" si="168"/>
        <v>206.76</v>
      </c>
      <c r="AC179">
        <f t="shared" si="193"/>
        <v>51.53</v>
      </c>
      <c r="AD179">
        <f t="shared" si="194"/>
        <v>0.31</v>
      </c>
      <c r="AE179">
        <f t="shared" si="195"/>
        <v>0.14000000000000001</v>
      </c>
      <c r="AF179">
        <f t="shared" si="196"/>
        <v>154.91999999999999</v>
      </c>
      <c r="AG179">
        <f t="shared" si="169"/>
        <v>0</v>
      </c>
      <c r="AH179">
        <f t="shared" si="197"/>
        <v>16.29</v>
      </c>
      <c r="AI179">
        <f t="shared" si="198"/>
        <v>0.01</v>
      </c>
      <c r="AJ179">
        <f t="shared" si="170"/>
        <v>0</v>
      </c>
      <c r="AK179">
        <v>206.76</v>
      </c>
      <c r="AL179">
        <v>51.53</v>
      </c>
      <c r="AM179">
        <v>0.31</v>
      </c>
      <c r="AN179">
        <v>0.14000000000000001</v>
      </c>
      <c r="AO179">
        <v>154.91999999999999</v>
      </c>
      <c r="AP179">
        <v>0</v>
      </c>
      <c r="AQ179">
        <v>16.29</v>
      </c>
      <c r="AR179">
        <v>0.01</v>
      </c>
      <c r="AS179">
        <v>0</v>
      </c>
      <c r="AT179">
        <v>95</v>
      </c>
      <c r="AU179">
        <v>65</v>
      </c>
      <c r="AV179">
        <v>1</v>
      </c>
      <c r="AW179">
        <v>1</v>
      </c>
      <c r="AZ179">
        <v>7.13</v>
      </c>
      <c r="BA179">
        <v>7.13</v>
      </c>
      <c r="BB179">
        <v>7.13</v>
      </c>
      <c r="BC179">
        <v>7.13</v>
      </c>
      <c r="BD179" t="s">
        <v>6</v>
      </c>
      <c r="BE179" t="s">
        <v>6</v>
      </c>
      <c r="BF179" t="s">
        <v>6</v>
      </c>
      <c r="BG179" t="s">
        <v>6</v>
      </c>
      <c r="BH179">
        <v>0</v>
      </c>
      <c r="BI179">
        <v>2</v>
      </c>
      <c r="BJ179" t="s">
        <v>579</v>
      </c>
      <c r="BM179">
        <v>108001</v>
      </c>
      <c r="BN179">
        <v>0</v>
      </c>
      <c r="BO179" t="s">
        <v>6</v>
      </c>
      <c r="BP179">
        <v>0</v>
      </c>
      <c r="BQ179">
        <v>3</v>
      </c>
      <c r="BR179">
        <v>0</v>
      </c>
      <c r="BS179">
        <v>7.13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6</v>
      </c>
      <c r="BZ179">
        <v>95</v>
      </c>
      <c r="CA179">
        <v>65</v>
      </c>
      <c r="CE179">
        <v>0</v>
      </c>
      <c r="CF179">
        <v>0</v>
      </c>
      <c r="CG179">
        <v>0</v>
      </c>
      <c r="CM179">
        <v>0</v>
      </c>
      <c r="CN179" t="s">
        <v>6</v>
      </c>
      <c r="CO179">
        <v>0</v>
      </c>
      <c r="CP179">
        <f t="shared" si="171"/>
        <v>6191.6299999999992</v>
      </c>
      <c r="CQ179">
        <f t="shared" si="172"/>
        <v>367.40890000000002</v>
      </c>
      <c r="CR179">
        <f t="shared" si="173"/>
        <v>2.2103000000000002</v>
      </c>
      <c r="CS179">
        <f t="shared" si="174"/>
        <v>0.99820000000000009</v>
      </c>
      <c r="CT179">
        <f t="shared" si="175"/>
        <v>1104.5795999999998</v>
      </c>
      <c r="CU179">
        <f t="shared" si="176"/>
        <v>0</v>
      </c>
      <c r="CV179">
        <f t="shared" si="177"/>
        <v>16.29</v>
      </c>
      <c r="CW179">
        <f t="shared" si="178"/>
        <v>0.01</v>
      </c>
      <c r="CX179">
        <f t="shared" si="179"/>
        <v>0</v>
      </c>
      <c r="CY179">
        <f t="shared" si="180"/>
        <v>4411.2489999999989</v>
      </c>
      <c r="CZ179">
        <f t="shared" si="181"/>
        <v>3018.2229999999995</v>
      </c>
      <c r="DC179" t="s">
        <v>6</v>
      </c>
      <c r="DD179" t="s">
        <v>6</v>
      </c>
      <c r="DE179" t="s">
        <v>6</v>
      </c>
      <c r="DF179" t="s">
        <v>6</v>
      </c>
      <c r="DG179" t="s">
        <v>6</v>
      </c>
      <c r="DH179" t="s">
        <v>6</v>
      </c>
      <c r="DI179" t="s">
        <v>6</v>
      </c>
      <c r="DJ179" t="s">
        <v>6</v>
      </c>
      <c r="DK179" t="s">
        <v>6</v>
      </c>
      <c r="DL179" t="s">
        <v>6</v>
      </c>
      <c r="DM179" t="s">
        <v>6</v>
      </c>
      <c r="DN179">
        <v>0</v>
      </c>
      <c r="DO179">
        <v>0</v>
      </c>
      <c r="DP179">
        <v>1</v>
      </c>
      <c r="DQ179">
        <v>1</v>
      </c>
      <c r="DU179">
        <v>1003</v>
      </c>
      <c r="DV179" t="s">
        <v>57</v>
      </c>
      <c r="DW179" t="s">
        <v>57</v>
      </c>
      <c r="DX179">
        <v>100</v>
      </c>
      <c r="EE179">
        <v>16609228</v>
      </c>
      <c r="EF179">
        <v>3</v>
      </c>
      <c r="EG179" t="s">
        <v>491</v>
      </c>
      <c r="EH179">
        <v>0</v>
      </c>
      <c r="EI179" t="s">
        <v>6</v>
      </c>
      <c r="EJ179">
        <v>2</v>
      </c>
      <c r="EK179">
        <v>108001</v>
      </c>
      <c r="EL179" t="s">
        <v>492</v>
      </c>
      <c r="EM179" t="s">
        <v>493</v>
      </c>
      <c r="EO179" t="s">
        <v>6</v>
      </c>
      <c r="EQ179">
        <v>131072</v>
      </c>
      <c r="ER179">
        <v>206.76</v>
      </c>
      <c r="ES179">
        <v>51.53</v>
      </c>
      <c r="ET179">
        <v>0.31</v>
      </c>
      <c r="EU179">
        <v>0.14000000000000001</v>
      </c>
      <c r="EV179">
        <v>154.91999999999999</v>
      </c>
      <c r="EW179">
        <v>16.29</v>
      </c>
      <c r="EX179">
        <v>0.01</v>
      </c>
      <c r="EY179">
        <v>0</v>
      </c>
      <c r="FQ179">
        <v>0</v>
      </c>
      <c r="FR179">
        <f t="shared" si="182"/>
        <v>0</v>
      </c>
      <c r="FS179">
        <v>0</v>
      </c>
      <c r="FX179">
        <v>95</v>
      </c>
      <c r="FY179">
        <v>65</v>
      </c>
      <c r="GA179" t="s">
        <v>6</v>
      </c>
      <c r="GD179">
        <v>0</v>
      </c>
      <c r="GF179">
        <v>1397466309</v>
      </c>
      <c r="GG179">
        <v>1</v>
      </c>
      <c r="GH179">
        <v>1</v>
      </c>
      <c r="GI179">
        <v>4</v>
      </c>
      <c r="GJ179">
        <v>0</v>
      </c>
      <c r="GK179">
        <f>ROUND(R179*(R12)/100,2)</f>
        <v>0</v>
      </c>
      <c r="GL179">
        <f t="shared" si="183"/>
        <v>0</v>
      </c>
      <c r="GM179">
        <f t="shared" si="184"/>
        <v>13621.1</v>
      </c>
      <c r="GN179">
        <f t="shared" si="185"/>
        <v>0</v>
      </c>
      <c r="GO179">
        <f t="shared" si="186"/>
        <v>13621.1</v>
      </c>
      <c r="GP179">
        <f t="shared" si="187"/>
        <v>0</v>
      </c>
      <c r="GR179">
        <v>0</v>
      </c>
      <c r="GS179">
        <v>3</v>
      </c>
      <c r="GT179">
        <v>0</v>
      </c>
      <c r="GU179" t="s">
        <v>6</v>
      </c>
      <c r="GV179">
        <f t="shared" si="188"/>
        <v>0</v>
      </c>
      <c r="GW179">
        <v>1</v>
      </c>
      <c r="GX179">
        <f t="shared" si="189"/>
        <v>0</v>
      </c>
      <c r="HA179">
        <v>0</v>
      </c>
      <c r="HB179">
        <v>0</v>
      </c>
      <c r="HC179">
        <f t="shared" si="190"/>
        <v>0</v>
      </c>
      <c r="IK179">
        <v>0</v>
      </c>
    </row>
    <row r="180" spans="1:245" x14ac:dyDescent="0.2">
      <c r="A180">
        <v>18</v>
      </c>
      <c r="B180">
        <v>1</v>
      </c>
      <c r="C180">
        <v>386</v>
      </c>
      <c r="E180" t="s">
        <v>580</v>
      </c>
      <c r="F180" t="s">
        <v>581</v>
      </c>
      <c r="G180" t="s">
        <v>582</v>
      </c>
      <c r="H180" t="s">
        <v>57</v>
      </c>
      <c r="I180">
        <f>I179*J180</f>
        <v>3.09</v>
      </c>
      <c r="J180">
        <v>0.73571428571428565</v>
      </c>
      <c r="O180">
        <f t="shared" si="157"/>
        <v>2621.77</v>
      </c>
      <c r="P180">
        <f t="shared" si="158"/>
        <v>2621.77</v>
      </c>
      <c r="Q180">
        <f t="shared" si="159"/>
        <v>0</v>
      </c>
      <c r="R180">
        <f t="shared" si="160"/>
        <v>0</v>
      </c>
      <c r="S180">
        <f t="shared" si="161"/>
        <v>0</v>
      </c>
      <c r="T180">
        <f t="shared" si="162"/>
        <v>0</v>
      </c>
      <c r="U180">
        <f t="shared" si="163"/>
        <v>0</v>
      </c>
      <c r="V180">
        <f t="shared" si="164"/>
        <v>0</v>
      </c>
      <c r="W180">
        <f t="shared" si="165"/>
        <v>0</v>
      </c>
      <c r="X180">
        <f t="shared" si="166"/>
        <v>0</v>
      </c>
      <c r="Y180">
        <f t="shared" si="167"/>
        <v>0</v>
      </c>
      <c r="AA180">
        <v>16630606</v>
      </c>
      <c r="AB180">
        <f t="shared" si="168"/>
        <v>119</v>
      </c>
      <c r="AC180">
        <f t="shared" si="193"/>
        <v>119</v>
      </c>
      <c r="AD180">
        <f t="shared" si="194"/>
        <v>0</v>
      </c>
      <c r="AE180">
        <f t="shared" si="195"/>
        <v>0</v>
      </c>
      <c r="AF180">
        <f t="shared" si="196"/>
        <v>0</v>
      </c>
      <c r="AG180">
        <f t="shared" si="169"/>
        <v>0</v>
      </c>
      <c r="AH180">
        <f t="shared" si="197"/>
        <v>0</v>
      </c>
      <c r="AI180">
        <f t="shared" si="198"/>
        <v>0</v>
      </c>
      <c r="AJ180">
        <f t="shared" si="170"/>
        <v>0</v>
      </c>
      <c r="AK180">
        <v>119</v>
      </c>
      <c r="AL180">
        <v>119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95</v>
      </c>
      <c r="AU180">
        <v>65</v>
      </c>
      <c r="AV180">
        <v>1</v>
      </c>
      <c r="AW180">
        <v>1</v>
      </c>
      <c r="AZ180">
        <v>7.13</v>
      </c>
      <c r="BA180">
        <v>1</v>
      </c>
      <c r="BB180">
        <v>1</v>
      </c>
      <c r="BC180">
        <v>7.13</v>
      </c>
      <c r="BD180" t="s">
        <v>6</v>
      </c>
      <c r="BE180" t="s">
        <v>6</v>
      </c>
      <c r="BF180" t="s">
        <v>6</v>
      </c>
      <c r="BG180" t="s">
        <v>6</v>
      </c>
      <c r="BH180">
        <v>3</v>
      </c>
      <c r="BI180">
        <v>2</v>
      </c>
      <c r="BJ180" t="s">
        <v>583</v>
      </c>
      <c r="BM180">
        <v>108001</v>
      </c>
      <c r="BN180">
        <v>0</v>
      </c>
      <c r="BO180" t="s">
        <v>6</v>
      </c>
      <c r="BP180">
        <v>0</v>
      </c>
      <c r="BQ180">
        <v>3</v>
      </c>
      <c r="BR180">
        <v>0</v>
      </c>
      <c r="BS180">
        <v>1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6</v>
      </c>
      <c r="BZ180">
        <v>95</v>
      </c>
      <c r="CA180">
        <v>65</v>
      </c>
      <c r="CE180">
        <v>0</v>
      </c>
      <c r="CF180">
        <v>0</v>
      </c>
      <c r="CG180">
        <v>0</v>
      </c>
      <c r="CM180">
        <v>0</v>
      </c>
      <c r="CN180" t="s">
        <v>6</v>
      </c>
      <c r="CO180">
        <v>0</v>
      </c>
      <c r="CP180">
        <f t="shared" si="171"/>
        <v>2621.77</v>
      </c>
      <c r="CQ180">
        <f t="shared" si="172"/>
        <v>848.47</v>
      </c>
      <c r="CR180">
        <f t="shared" si="173"/>
        <v>0</v>
      </c>
      <c r="CS180">
        <f t="shared" si="174"/>
        <v>0</v>
      </c>
      <c r="CT180">
        <f t="shared" si="175"/>
        <v>0</v>
      </c>
      <c r="CU180">
        <f t="shared" si="176"/>
        <v>0</v>
      </c>
      <c r="CV180">
        <f t="shared" si="177"/>
        <v>0</v>
      </c>
      <c r="CW180">
        <f t="shared" si="178"/>
        <v>0</v>
      </c>
      <c r="CX180">
        <f t="shared" si="179"/>
        <v>0</v>
      </c>
      <c r="CY180">
        <f t="shared" si="180"/>
        <v>0</v>
      </c>
      <c r="CZ180">
        <f t="shared" si="181"/>
        <v>0</v>
      </c>
      <c r="DC180" t="s">
        <v>6</v>
      </c>
      <c r="DD180" t="s">
        <v>6</v>
      </c>
      <c r="DE180" t="s">
        <v>6</v>
      </c>
      <c r="DF180" t="s">
        <v>6</v>
      </c>
      <c r="DG180" t="s">
        <v>6</v>
      </c>
      <c r="DH180" t="s">
        <v>6</v>
      </c>
      <c r="DI180" t="s">
        <v>6</v>
      </c>
      <c r="DJ180" t="s">
        <v>6</v>
      </c>
      <c r="DK180" t="s">
        <v>6</v>
      </c>
      <c r="DL180" t="s">
        <v>6</v>
      </c>
      <c r="DM180" t="s">
        <v>6</v>
      </c>
      <c r="DN180">
        <v>0</v>
      </c>
      <c r="DO180">
        <v>0</v>
      </c>
      <c r="DP180">
        <v>1</v>
      </c>
      <c r="DQ180">
        <v>1</v>
      </c>
      <c r="DU180">
        <v>1003</v>
      </c>
      <c r="DV180" t="s">
        <v>57</v>
      </c>
      <c r="DW180" t="s">
        <v>57</v>
      </c>
      <c r="DX180">
        <v>100</v>
      </c>
      <c r="EE180">
        <v>16609228</v>
      </c>
      <c r="EF180">
        <v>3</v>
      </c>
      <c r="EG180" t="s">
        <v>491</v>
      </c>
      <c r="EH180">
        <v>0</v>
      </c>
      <c r="EI180" t="s">
        <v>6</v>
      </c>
      <c r="EJ180">
        <v>2</v>
      </c>
      <c r="EK180">
        <v>108001</v>
      </c>
      <c r="EL180" t="s">
        <v>492</v>
      </c>
      <c r="EM180" t="s">
        <v>493</v>
      </c>
      <c r="EO180" t="s">
        <v>6</v>
      </c>
      <c r="EQ180">
        <v>0</v>
      </c>
      <c r="ER180">
        <v>119</v>
      </c>
      <c r="ES180">
        <v>119</v>
      </c>
      <c r="ET180">
        <v>0</v>
      </c>
      <c r="EU180">
        <v>0</v>
      </c>
      <c r="EV180">
        <v>0</v>
      </c>
      <c r="EW180">
        <v>0</v>
      </c>
      <c r="EX180">
        <v>0</v>
      </c>
      <c r="FQ180">
        <v>0</v>
      </c>
      <c r="FR180">
        <f t="shared" si="182"/>
        <v>0</v>
      </c>
      <c r="FS180">
        <v>0</v>
      </c>
      <c r="FX180">
        <v>95</v>
      </c>
      <c r="FY180">
        <v>65</v>
      </c>
      <c r="GA180" t="s">
        <v>6</v>
      </c>
      <c r="GD180">
        <v>0</v>
      </c>
      <c r="GF180">
        <v>-2058712026</v>
      </c>
      <c r="GG180">
        <v>1</v>
      </c>
      <c r="GH180">
        <v>1</v>
      </c>
      <c r="GI180">
        <v>4</v>
      </c>
      <c r="GJ180">
        <v>0</v>
      </c>
      <c r="GK180">
        <f>ROUND(R180*(R12)/100,2)</f>
        <v>0</v>
      </c>
      <c r="GL180">
        <f t="shared" si="183"/>
        <v>0</v>
      </c>
      <c r="GM180">
        <f t="shared" si="184"/>
        <v>2621.77</v>
      </c>
      <c r="GN180">
        <f t="shared" si="185"/>
        <v>0</v>
      </c>
      <c r="GO180">
        <f t="shared" si="186"/>
        <v>2621.77</v>
      </c>
      <c r="GP180">
        <f t="shared" si="187"/>
        <v>0</v>
      </c>
      <c r="GR180">
        <v>0</v>
      </c>
      <c r="GS180">
        <v>3</v>
      </c>
      <c r="GT180">
        <v>0</v>
      </c>
      <c r="GU180" t="s">
        <v>6</v>
      </c>
      <c r="GV180">
        <f t="shared" si="188"/>
        <v>0</v>
      </c>
      <c r="GW180">
        <v>1</v>
      </c>
      <c r="GX180">
        <f t="shared" si="189"/>
        <v>0</v>
      </c>
      <c r="HA180">
        <v>0</v>
      </c>
      <c r="HB180">
        <v>0</v>
      </c>
      <c r="HC180">
        <f t="shared" si="190"/>
        <v>0</v>
      </c>
      <c r="IK180">
        <v>0</v>
      </c>
    </row>
    <row r="181" spans="1:245" x14ac:dyDescent="0.2">
      <c r="A181">
        <v>18</v>
      </c>
      <c r="B181">
        <v>1</v>
      </c>
      <c r="C181">
        <v>387</v>
      </c>
      <c r="E181" t="s">
        <v>584</v>
      </c>
      <c r="F181" t="s">
        <v>585</v>
      </c>
      <c r="G181" t="s">
        <v>586</v>
      </c>
      <c r="H181" t="s">
        <v>57</v>
      </c>
      <c r="I181">
        <f>I179*J181</f>
        <v>1.1100000000000001</v>
      </c>
      <c r="J181">
        <v>0.26428571428571429</v>
      </c>
      <c r="O181">
        <f t="shared" si="157"/>
        <v>2611.7199999999998</v>
      </c>
      <c r="P181">
        <f t="shared" si="158"/>
        <v>2611.7199999999998</v>
      </c>
      <c r="Q181">
        <f t="shared" si="159"/>
        <v>0</v>
      </c>
      <c r="R181">
        <f t="shared" si="160"/>
        <v>0</v>
      </c>
      <c r="S181">
        <f t="shared" si="161"/>
        <v>0</v>
      </c>
      <c r="T181">
        <f t="shared" si="162"/>
        <v>0</v>
      </c>
      <c r="U181">
        <f t="shared" si="163"/>
        <v>0</v>
      </c>
      <c r="V181">
        <f t="shared" si="164"/>
        <v>0</v>
      </c>
      <c r="W181">
        <f t="shared" si="165"/>
        <v>0</v>
      </c>
      <c r="X181">
        <f t="shared" si="166"/>
        <v>0</v>
      </c>
      <c r="Y181">
        <f t="shared" si="167"/>
        <v>0</v>
      </c>
      <c r="AA181">
        <v>16630606</v>
      </c>
      <c r="AB181">
        <f t="shared" si="168"/>
        <v>330</v>
      </c>
      <c r="AC181">
        <f t="shared" si="193"/>
        <v>330</v>
      </c>
      <c r="AD181">
        <f t="shared" si="194"/>
        <v>0</v>
      </c>
      <c r="AE181">
        <f t="shared" si="195"/>
        <v>0</v>
      </c>
      <c r="AF181">
        <f t="shared" si="196"/>
        <v>0</v>
      </c>
      <c r="AG181">
        <f t="shared" si="169"/>
        <v>0</v>
      </c>
      <c r="AH181">
        <f t="shared" si="197"/>
        <v>0</v>
      </c>
      <c r="AI181">
        <f t="shared" si="198"/>
        <v>0</v>
      </c>
      <c r="AJ181">
        <f t="shared" si="170"/>
        <v>0</v>
      </c>
      <c r="AK181">
        <v>330</v>
      </c>
      <c r="AL181">
        <v>330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95</v>
      </c>
      <c r="AU181">
        <v>65</v>
      </c>
      <c r="AV181">
        <v>1</v>
      </c>
      <c r="AW181">
        <v>1</v>
      </c>
      <c r="AZ181">
        <v>7.13</v>
      </c>
      <c r="BA181">
        <v>1</v>
      </c>
      <c r="BB181">
        <v>1</v>
      </c>
      <c r="BC181">
        <v>7.13</v>
      </c>
      <c r="BD181" t="s">
        <v>6</v>
      </c>
      <c r="BE181" t="s">
        <v>6</v>
      </c>
      <c r="BF181" t="s">
        <v>6</v>
      </c>
      <c r="BG181" t="s">
        <v>6</v>
      </c>
      <c r="BH181">
        <v>3</v>
      </c>
      <c r="BI181">
        <v>2</v>
      </c>
      <c r="BJ181" t="s">
        <v>587</v>
      </c>
      <c r="BM181">
        <v>108001</v>
      </c>
      <c r="BN181">
        <v>0</v>
      </c>
      <c r="BO181" t="s">
        <v>6</v>
      </c>
      <c r="BP181">
        <v>0</v>
      </c>
      <c r="BQ181">
        <v>3</v>
      </c>
      <c r="BR181">
        <v>0</v>
      </c>
      <c r="BS181">
        <v>1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6</v>
      </c>
      <c r="BZ181">
        <v>95</v>
      </c>
      <c r="CA181">
        <v>65</v>
      </c>
      <c r="CE181">
        <v>0</v>
      </c>
      <c r="CF181">
        <v>0</v>
      </c>
      <c r="CG181">
        <v>0</v>
      </c>
      <c r="CM181">
        <v>0</v>
      </c>
      <c r="CN181" t="s">
        <v>6</v>
      </c>
      <c r="CO181">
        <v>0</v>
      </c>
      <c r="CP181">
        <f t="shared" si="171"/>
        <v>2611.7199999999998</v>
      </c>
      <c r="CQ181">
        <f t="shared" si="172"/>
        <v>2352.9</v>
      </c>
      <c r="CR181">
        <f t="shared" si="173"/>
        <v>0</v>
      </c>
      <c r="CS181">
        <f t="shared" si="174"/>
        <v>0</v>
      </c>
      <c r="CT181">
        <f t="shared" si="175"/>
        <v>0</v>
      </c>
      <c r="CU181">
        <f t="shared" si="176"/>
        <v>0</v>
      </c>
      <c r="CV181">
        <f t="shared" si="177"/>
        <v>0</v>
      </c>
      <c r="CW181">
        <f t="shared" si="178"/>
        <v>0</v>
      </c>
      <c r="CX181">
        <f t="shared" si="179"/>
        <v>0</v>
      </c>
      <c r="CY181">
        <f t="shared" si="180"/>
        <v>0</v>
      </c>
      <c r="CZ181">
        <f t="shared" si="181"/>
        <v>0</v>
      </c>
      <c r="DC181" t="s">
        <v>6</v>
      </c>
      <c r="DD181" t="s">
        <v>6</v>
      </c>
      <c r="DE181" t="s">
        <v>6</v>
      </c>
      <c r="DF181" t="s">
        <v>6</v>
      </c>
      <c r="DG181" t="s">
        <v>6</v>
      </c>
      <c r="DH181" t="s">
        <v>6</v>
      </c>
      <c r="DI181" t="s">
        <v>6</v>
      </c>
      <c r="DJ181" t="s">
        <v>6</v>
      </c>
      <c r="DK181" t="s">
        <v>6</v>
      </c>
      <c r="DL181" t="s">
        <v>6</v>
      </c>
      <c r="DM181" t="s">
        <v>6</v>
      </c>
      <c r="DN181">
        <v>0</v>
      </c>
      <c r="DO181">
        <v>0</v>
      </c>
      <c r="DP181">
        <v>1</v>
      </c>
      <c r="DQ181">
        <v>1</v>
      </c>
      <c r="DU181">
        <v>1003</v>
      </c>
      <c r="DV181" t="s">
        <v>57</v>
      </c>
      <c r="DW181" t="s">
        <v>57</v>
      </c>
      <c r="DX181">
        <v>100</v>
      </c>
      <c r="EE181">
        <v>16609228</v>
      </c>
      <c r="EF181">
        <v>3</v>
      </c>
      <c r="EG181" t="s">
        <v>491</v>
      </c>
      <c r="EH181">
        <v>0</v>
      </c>
      <c r="EI181" t="s">
        <v>6</v>
      </c>
      <c r="EJ181">
        <v>2</v>
      </c>
      <c r="EK181">
        <v>108001</v>
      </c>
      <c r="EL181" t="s">
        <v>492</v>
      </c>
      <c r="EM181" t="s">
        <v>493</v>
      </c>
      <c r="EO181" t="s">
        <v>6</v>
      </c>
      <c r="EQ181">
        <v>0</v>
      </c>
      <c r="ER181">
        <v>330</v>
      </c>
      <c r="ES181">
        <v>330</v>
      </c>
      <c r="ET181">
        <v>0</v>
      </c>
      <c r="EU181">
        <v>0</v>
      </c>
      <c r="EV181">
        <v>0</v>
      </c>
      <c r="EW181">
        <v>0</v>
      </c>
      <c r="EX181">
        <v>0</v>
      </c>
      <c r="FQ181">
        <v>0</v>
      </c>
      <c r="FR181">
        <f t="shared" si="182"/>
        <v>0</v>
      </c>
      <c r="FS181">
        <v>0</v>
      </c>
      <c r="FX181">
        <v>95</v>
      </c>
      <c r="FY181">
        <v>65</v>
      </c>
      <c r="GA181" t="s">
        <v>6</v>
      </c>
      <c r="GD181">
        <v>0</v>
      </c>
      <c r="GF181">
        <v>-332589098</v>
      </c>
      <c r="GG181">
        <v>1</v>
      </c>
      <c r="GH181">
        <v>1</v>
      </c>
      <c r="GI181">
        <v>4</v>
      </c>
      <c r="GJ181">
        <v>0</v>
      </c>
      <c r="GK181">
        <f>ROUND(R181*(R12)/100,2)</f>
        <v>0</v>
      </c>
      <c r="GL181">
        <f t="shared" si="183"/>
        <v>0</v>
      </c>
      <c r="GM181">
        <f t="shared" si="184"/>
        <v>2611.7199999999998</v>
      </c>
      <c r="GN181">
        <f t="shared" si="185"/>
        <v>0</v>
      </c>
      <c r="GO181">
        <f t="shared" si="186"/>
        <v>2611.7199999999998</v>
      </c>
      <c r="GP181">
        <f t="shared" si="187"/>
        <v>0</v>
      </c>
      <c r="GR181">
        <v>0</v>
      </c>
      <c r="GS181">
        <v>3</v>
      </c>
      <c r="GT181">
        <v>0</v>
      </c>
      <c r="GU181" t="s">
        <v>6</v>
      </c>
      <c r="GV181">
        <f t="shared" si="188"/>
        <v>0</v>
      </c>
      <c r="GW181">
        <v>1</v>
      </c>
      <c r="GX181">
        <f t="shared" si="189"/>
        <v>0</v>
      </c>
      <c r="HA181">
        <v>0</v>
      </c>
      <c r="HB181">
        <v>0</v>
      </c>
      <c r="HC181">
        <f t="shared" si="190"/>
        <v>0</v>
      </c>
      <c r="IK181">
        <v>0</v>
      </c>
    </row>
    <row r="182" spans="1:245" x14ac:dyDescent="0.2">
      <c r="A182">
        <v>17</v>
      </c>
      <c r="B182">
        <v>1</v>
      </c>
      <c r="C182">
        <f>ROW(SmtRes!A389)</f>
        <v>389</v>
      </c>
      <c r="D182">
        <f>ROW(EtalonRes!A387)</f>
        <v>387</v>
      </c>
      <c r="E182" t="s">
        <v>588</v>
      </c>
      <c r="F182" t="s">
        <v>589</v>
      </c>
      <c r="G182" t="s">
        <v>590</v>
      </c>
      <c r="H182" t="s">
        <v>27</v>
      </c>
      <c r="I182">
        <f>ROUND(17/100,9)</f>
        <v>0.17</v>
      </c>
      <c r="J182">
        <v>0</v>
      </c>
      <c r="O182">
        <f t="shared" si="157"/>
        <v>56.76</v>
      </c>
      <c r="P182">
        <f t="shared" si="158"/>
        <v>0</v>
      </c>
      <c r="Q182">
        <f t="shared" si="159"/>
        <v>0</v>
      </c>
      <c r="R182">
        <f t="shared" si="160"/>
        <v>0</v>
      </c>
      <c r="S182">
        <f t="shared" si="161"/>
        <v>56.76</v>
      </c>
      <c r="T182">
        <f t="shared" si="162"/>
        <v>0</v>
      </c>
      <c r="U182">
        <f t="shared" si="163"/>
        <v>0.93330000000000013</v>
      </c>
      <c r="V182">
        <f t="shared" si="164"/>
        <v>0</v>
      </c>
      <c r="W182">
        <f t="shared" si="165"/>
        <v>0</v>
      </c>
      <c r="X182">
        <f t="shared" si="166"/>
        <v>44.27</v>
      </c>
      <c r="Y182">
        <f t="shared" si="167"/>
        <v>28.38</v>
      </c>
      <c r="AA182">
        <v>16630606</v>
      </c>
      <c r="AB182">
        <f t="shared" si="168"/>
        <v>46.83</v>
      </c>
      <c r="AC182">
        <f t="shared" si="193"/>
        <v>0</v>
      </c>
      <c r="AD182">
        <f t="shared" si="194"/>
        <v>0</v>
      </c>
      <c r="AE182">
        <f t="shared" si="195"/>
        <v>0</v>
      </c>
      <c r="AF182">
        <f t="shared" si="196"/>
        <v>46.83</v>
      </c>
      <c r="AG182">
        <f t="shared" si="169"/>
        <v>0</v>
      </c>
      <c r="AH182">
        <f t="shared" si="197"/>
        <v>5.49</v>
      </c>
      <c r="AI182">
        <f t="shared" si="198"/>
        <v>0</v>
      </c>
      <c r="AJ182">
        <f t="shared" si="170"/>
        <v>0</v>
      </c>
      <c r="AK182">
        <v>46.83</v>
      </c>
      <c r="AL182">
        <v>0</v>
      </c>
      <c r="AM182">
        <v>0</v>
      </c>
      <c r="AN182">
        <v>0</v>
      </c>
      <c r="AO182">
        <v>46.83</v>
      </c>
      <c r="AP182">
        <v>0</v>
      </c>
      <c r="AQ182">
        <v>5.49</v>
      </c>
      <c r="AR182">
        <v>0</v>
      </c>
      <c r="AS182">
        <v>0</v>
      </c>
      <c r="AT182">
        <v>78</v>
      </c>
      <c r="AU182">
        <v>50</v>
      </c>
      <c r="AV182">
        <v>1</v>
      </c>
      <c r="AW182">
        <v>1</v>
      </c>
      <c r="AZ182">
        <v>7.13</v>
      </c>
      <c r="BA182">
        <v>7.13</v>
      </c>
      <c r="BB182">
        <v>7.13</v>
      </c>
      <c r="BC182">
        <v>7.13</v>
      </c>
      <c r="BD182" t="s">
        <v>6</v>
      </c>
      <c r="BE182" t="s">
        <v>6</v>
      </c>
      <c r="BF182" t="s">
        <v>6</v>
      </c>
      <c r="BG182" t="s">
        <v>6</v>
      </c>
      <c r="BH182">
        <v>0</v>
      </c>
      <c r="BI182">
        <v>1</v>
      </c>
      <c r="BJ182" t="s">
        <v>591</v>
      </c>
      <c r="BM182">
        <v>69001</v>
      </c>
      <c r="BN182">
        <v>0</v>
      </c>
      <c r="BO182" t="s">
        <v>6</v>
      </c>
      <c r="BP182">
        <v>0</v>
      </c>
      <c r="BQ182">
        <v>6</v>
      </c>
      <c r="BR182">
        <v>0</v>
      </c>
      <c r="BS182">
        <v>7.13</v>
      </c>
      <c r="BT182">
        <v>1</v>
      </c>
      <c r="BU182">
        <v>1</v>
      </c>
      <c r="BV182">
        <v>1</v>
      </c>
      <c r="BW182">
        <v>1</v>
      </c>
      <c r="BX182">
        <v>1</v>
      </c>
      <c r="BY182" t="s">
        <v>6</v>
      </c>
      <c r="BZ182">
        <v>78</v>
      </c>
      <c r="CA182">
        <v>50</v>
      </c>
      <c r="CE182">
        <v>0</v>
      </c>
      <c r="CF182">
        <v>0</v>
      </c>
      <c r="CG182">
        <v>0</v>
      </c>
      <c r="CM182">
        <v>0</v>
      </c>
      <c r="CN182" t="s">
        <v>6</v>
      </c>
      <c r="CO182">
        <v>0</v>
      </c>
      <c r="CP182">
        <f t="shared" si="171"/>
        <v>56.76</v>
      </c>
      <c r="CQ182">
        <f t="shared" si="172"/>
        <v>0</v>
      </c>
      <c r="CR182">
        <f t="shared" si="173"/>
        <v>0</v>
      </c>
      <c r="CS182">
        <f t="shared" si="174"/>
        <v>0</v>
      </c>
      <c r="CT182">
        <f t="shared" si="175"/>
        <v>333.89789999999999</v>
      </c>
      <c r="CU182">
        <f t="shared" si="176"/>
        <v>0</v>
      </c>
      <c r="CV182">
        <f t="shared" si="177"/>
        <v>5.49</v>
      </c>
      <c r="CW182">
        <f t="shared" si="178"/>
        <v>0</v>
      </c>
      <c r="CX182">
        <f t="shared" si="179"/>
        <v>0</v>
      </c>
      <c r="CY182">
        <f t="shared" si="180"/>
        <v>44.272799999999997</v>
      </c>
      <c r="CZ182">
        <f t="shared" si="181"/>
        <v>28.38</v>
      </c>
      <c r="DC182" t="s">
        <v>6</v>
      </c>
      <c r="DD182" t="s">
        <v>6</v>
      </c>
      <c r="DE182" t="s">
        <v>6</v>
      </c>
      <c r="DF182" t="s">
        <v>6</v>
      </c>
      <c r="DG182" t="s">
        <v>6</v>
      </c>
      <c r="DH182" t="s">
        <v>6</v>
      </c>
      <c r="DI182" t="s">
        <v>6</v>
      </c>
      <c r="DJ182" t="s">
        <v>6</v>
      </c>
      <c r="DK182" t="s">
        <v>6</v>
      </c>
      <c r="DL182" t="s">
        <v>6</v>
      </c>
      <c r="DM182" t="s">
        <v>6</v>
      </c>
      <c r="DN182">
        <v>0</v>
      </c>
      <c r="DO182">
        <v>0</v>
      </c>
      <c r="DP182">
        <v>1</v>
      </c>
      <c r="DQ182">
        <v>1</v>
      </c>
      <c r="DU182">
        <v>1013</v>
      </c>
      <c r="DV182" t="s">
        <v>27</v>
      </c>
      <c r="DW182" t="s">
        <v>27</v>
      </c>
      <c r="DX182">
        <v>1</v>
      </c>
      <c r="EE182">
        <v>16609214</v>
      </c>
      <c r="EF182">
        <v>6</v>
      </c>
      <c r="EG182" t="s">
        <v>39</v>
      </c>
      <c r="EH182">
        <v>0</v>
      </c>
      <c r="EI182" t="s">
        <v>6</v>
      </c>
      <c r="EJ182">
        <v>1</v>
      </c>
      <c r="EK182">
        <v>69001</v>
      </c>
      <c r="EL182" t="s">
        <v>411</v>
      </c>
      <c r="EM182" t="s">
        <v>412</v>
      </c>
      <c r="EO182" t="s">
        <v>6</v>
      </c>
      <c r="EQ182">
        <v>131072</v>
      </c>
      <c r="ER182">
        <v>46.83</v>
      </c>
      <c r="ES182">
        <v>0</v>
      </c>
      <c r="ET182">
        <v>0</v>
      </c>
      <c r="EU182">
        <v>0</v>
      </c>
      <c r="EV182">
        <v>46.83</v>
      </c>
      <c r="EW182">
        <v>5.49</v>
      </c>
      <c r="EX182">
        <v>0</v>
      </c>
      <c r="EY182">
        <v>0</v>
      </c>
      <c r="FQ182">
        <v>0</v>
      </c>
      <c r="FR182">
        <f t="shared" si="182"/>
        <v>0</v>
      </c>
      <c r="FS182">
        <v>0</v>
      </c>
      <c r="FX182">
        <v>78</v>
      </c>
      <c r="FY182">
        <v>50</v>
      </c>
      <c r="GA182" t="s">
        <v>6</v>
      </c>
      <c r="GD182">
        <v>0</v>
      </c>
      <c r="GF182">
        <v>-613112695</v>
      </c>
      <c r="GG182">
        <v>1</v>
      </c>
      <c r="GH182">
        <v>1</v>
      </c>
      <c r="GI182">
        <v>4</v>
      </c>
      <c r="GJ182">
        <v>0</v>
      </c>
      <c r="GK182">
        <f>ROUND(R182*(R12)/100,2)</f>
        <v>0</v>
      </c>
      <c r="GL182">
        <f t="shared" si="183"/>
        <v>0</v>
      </c>
      <c r="GM182">
        <f t="shared" si="184"/>
        <v>129.41</v>
      </c>
      <c r="GN182">
        <f t="shared" si="185"/>
        <v>129.41</v>
      </c>
      <c r="GO182">
        <f t="shared" si="186"/>
        <v>0</v>
      </c>
      <c r="GP182">
        <f t="shared" si="187"/>
        <v>0</v>
      </c>
      <c r="GR182">
        <v>0</v>
      </c>
      <c r="GS182">
        <v>3</v>
      </c>
      <c r="GT182">
        <v>0</v>
      </c>
      <c r="GU182" t="s">
        <v>6</v>
      </c>
      <c r="GV182">
        <f t="shared" si="188"/>
        <v>0</v>
      </c>
      <c r="GW182">
        <v>1</v>
      </c>
      <c r="GX182">
        <f t="shared" si="189"/>
        <v>0</v>
      </c>
      <c r="HA182">
        <v>0</v>
      </c>
      <c r="HB182">
        <v>0</v>
      </c>
      <c r="HC182">
        <f t="shared" si="190"/>
        <v>0</v>
      </c>
      <c r="IK182">
        <v>0</v>
      </c>
    </row>
    <row r="183" spans="1:245" x14ac:dyDescent="0.2">
      <c r="A183">
        <v>17</v>
      </c>
      <c r="B183">
        <v>1</v>
      </c>
      <c r="C183">
        <f>ROW(SmtRes!A400)</f>
        <v>400</v>
      </c>
      <c r="D183">
        <f>ROW(EtalonRes!A397)</f>
        <v>397</v>
      </c>
      <c r="E183" t="s">
        <v>592</v>
      </c>
      <c r="F183" t="s">
        <v>593</v>
      </c>
      <c r="G183" t="s">
        <v>594</v>
      </c>
      <c r="H183" t="s">
        <v>57</v>
      </c>
      <c r="I183">
        <f>ROUND(3.6/100,9)</f>
        <v>3.5999999999999997E-2</v>
      </c>
      <c r="J183">
        <v>0</v>
      </c>
      <c r="O183">
        <f t="shared" si="157"/>
        <v>57.43</v>
      </c>
      <c r="P183">
        <f t="shared" si="158"/>
        <v>21.1</v>
      </c>
      <c r="Q183">
        <f t="shared" si="159"/>
        <v>4.0999999999999996</v>
      </c>
      <c r="R183">
        <f t="shared" si="160"/>
        <v>0.57999999999999996</v>
      </c>
      <c r="S183">
        <f t="shared" si="161"/>
        <v>32.229999999999997</v>
      </c>
      <c r="T183">
        <f t="shared" si="162"/>
        <v>0</v>
      </c>
      <c r="U183">
        <f t="shared" si="163"/>
        <v>0.48095999999999994</v>
      </c>
      <c r="V183">
        <f t="shared" si="164"/>
        <v>6.4799999999999996E-3</v>
      </c>
      <c r="W183">
        <f t="shared" si="165"/>
        <v>0</v>
      </c>
      <c r="X183">
        <f t="shared" si="166"/>
        <v>31.17</v>
      </c>
      <c r="Y183">
        <f t="shared" si="167"/>
        <v>21.33</v>
      </c>
      <c r="AA183">
        <v>16630606</v>
      </c>
      <c r="AB183">
        <f t="shared" si="168"/>
        <v>223.79</v>
      </c>
      <c r="AC183">
        <f t="shared" si="193"/>
        <v>82.22</v>
      </c>
      <c r="AD183">
        <f t="shared" si="194"/>
        <v>15.99</v>
      </c>
      <c r="AE183">
        <f t="shared" si="195"/>
        <v>2.2599999999999998</v>
      </c>
      <c r="AF183">
        <f t="shared" si="196"/>
        <v>125.58</v>
      </c>
      <c r="AG183">
        <f t="shared" si="169"/>
        <v>0</v>
      </c>
      <c r="AH183">
        <f t="shared" si="197"/>
        <v>13.36</v>
      </c>
      <c r="AI183">
        <f t="shared" si="198"/>
        <v>0.18</v>
      </c>
      <c r="AJ183">
        <f t="shared" si="170"/>
        <v>0</v>
      </c>
      <c r="AK183">
        <v>223.79</v>
      </c>
      <c r="AL183">
        <v>82.22</v>
      </c>
      <c r="AM183">
        <v>15.99</v>
      </c>
      <c r="AN183">
        <v>2.2599999999999998</v>
      </c>
      <c r="AO183">
        <v>125.58</v>
      </c>
      <c r="AP183">
        <v>0</v>
      </c>
      <c r="AQ183">
        <v>13.36</v>
      </c>
      <c r="AR183">
        <v>0.18</v>
      </c>
      <c r="AS183">
        <v>0</v>
      </c>
      <c r="AT183">
        <v>95</v>
      </c>
      <c r="AU183">
        <v>65</v>
      </c>
      <c r="AV183">
        <v>1</v>
      </c>
      <c r="AW183">
        <v>1</v>
      </c>
      <c r="AZ183">
        <v>7.13</v>
      </c>
      <c r="BA183">
        <v>7.13</v>
      </c>
      <c r="BB183">
        <v>7.13</v>
      </c>
      <c r="BC183">
        <v>7.13</v>
      </c>
      <c r="BD183" t="s">
        <v>6</v>
      </c>
      <c r="BE183" t="s">
        <v>6</v>
      </c>
      <c r="BF183" t="s">
        <v>6</v>
      </c>
      <c r="BG183" t="s">
        <v>6</v>
      </c>
      <c r="BH183">
        <v>0</v>
      </c>
      <c r="BI183">
        <v>2</v>
      </c>
      <c r="BJ183" t="s">
        <v>595</v>
      </c>
      <c r="BM183">
        <v>108001</v>
      </c>
      <c r="BN183">
        <v>0</v>
      </c>
      <c r="BO183" t="s">
        <v>6</v>
      </c>
      <c r="BP183">
        <v>0</v>
      </c>
      <c r="BQ183">
        <v>3</v>
      </c>
      <c r="BR183">
        <v>0</v>
      </c>
      <c r="BS183">
        <v>7.13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6</v>
      </c>
      <c r="BZ183">
        <v>95</v>
      </c>
      <c r="CA183">
        <v>65</v>
      </c>
      <c r="CE183">
        <v>0</v>
      </c>
      <c r="CF183">
        <v>0</v>
      </c>
      <c r="CG183">
        <v>0</v>
      </c>
      <c r="CM183">
        <v>0</v>
      </c>
      <c r="CN183" t="s">
        <v>6</v>
      </c>
      <c r="CO183">
        <v>0</v>
      </c>
      <c r="CP183">
        <f t="shared" si="171"/>
        <v>57.43</v>
      </c>
      <c r="CQ183">
        <f t="shared" si="172"/>
        <v>586.22860000000003</v>
      </c>
      <c r="CR183">
        <f t="shared" si="173"/>
        <v>114.0087</v>
      </c>
      <c r="CS183">
        <f t="shared" si="174"/>
        <v>16.113799999999998</v>
      </c>
      <c r="CT183">
        <f t="shared" si="175"/>
        <v>895.3854</v>
      </c>
      <c r="CU183">
        <f t="shared" si="176"/>
        <v>0</v>
      </c>
      <c r="CV183">
        <f t="shared" si="177"/>
        <v>13.36</v>
      </c>
      <c r="CW183">
        <f t="shared" si="178"/>
        <v>0.18</v>
      </c>
      <c r="CX183">
        <f t="shared" si="179"/>
        <v>0</v>
      </c>
      <c r="CY183">
        <f t="shared" si="180"/>
        <v>31.169499999999992</v>
      </c>
      <c r="CZ183">
        <f t="shared" si="181"/>
        <v>21.326499999999996</v>
      </c>
      <c r="DC183" t="s">
        <v>6</v>
      </c>
      <c r="DD183" t="s">
        <v>6</v>
      </c>
      <c r="DE183" t="s">
        <v>6</v>
      </c>
      <c r="DF183" t="s">
        <v>6</v>
      </c>
      <c r="DG183" t="s">
        <v>6</v>
      </c>
      <c r="DH183" t="s">
        <v>6</v>
      </c>
      <c r="DI183" t="s">
        <v>6</v>
      </c>
      <c r="DJ183" t="s">
        <v>6</v>
      </c>
      <c r="DK183" t="s">
        <v>6</v>
      </c>
      <c r="DL183" t="s">
        <v>6</v>
      </c>
      <c r="DM183" t="s">
        <v>6</v>
      </c>
      <c r="DN183">
        <v>0</v>
      </c>
      <c r="DO183">
        <v>0</v>
      </c>
      <c r="DP183">
        <v>1</v>
      </c>
      <c r="DQ183">
        <v>1</v>
      </c>
      <c r="DU183">
        <v>1003</v>
      </c>
      <c r="DV183" t="s">
        <v>57</v>
      </c>
      <c r="DW183" t="s">
        <v>57</v>
      </c>
      <c r="DX183">
        <v>100</v>
      </c>
      <c r="EE183">
        <v>16609228</v>
      </c>
      <c r="EF183">
        <v>3</v>
      </c>
      <c r="EG183" t="s">
        <v>491</v>
      </c>
      <c r="EH183">
        <v>0</v>
      </c>
      <c r="EI183" t="s">
        <v>6</v>
      </c>
      <c r="EJ183">
        <v>2</v>
      </c>
      <c r="EK183">
        <v>108001</v>
      </c>
      <c r="EL183" t="s">
        <v>492</v>
      </c>
      <c r="EM183" t="s">
        <v>493</v>
      </c>
      <c r="EO183" t="s">
        <v>6</v>
      </c>
      <c r="EQ183">
        <v>131072</v>
      </c>
      <c r="ER183">
        <v>223.79</v>
      </c>
      <c r="ES183">
        <v>82.22</v>
      </c>
      <c r="ET183">
        <v>15.99</v>
      </c>
      <c r="EU183">
        <v>2.2599999999999998</v>
      </c>
      <c r="EV183">
        <v>125.58</v>
      </c>
      <c r="EW183">
        <v>13.36</v>
      </c>
      <c r="EX183">
        <v>0.18</v>
      </c>
      <c r="EY183">
        <v>0</v>
      </c>
      <c r="FQ183">
        <v>0</v>
      </c>
      <c r="FR183">
        <f t="shared" si="182"/>
        <v>0</v>
      </c>
      <c r="FS183">
        <v>0</v>
      </c>
      <c r="FX183">
        <v>95</v>
      </c>
      <c r="FY183">
        <v>65</v>
      </c>
      <c r="GA183" t="s">
        <v>6</v>
      </c>
      <c r="GD183">
        <v>0</v>
      </c>
      <c r="GF183">
        <v>-2116615864</v>
      </c>
      <c r="GG183">
        <v>1</v>
      </c>
      <c r="GH183">
        <v>1</v>
      </c>
      <c r="GI183">
        <v>4</v>
      </c>
      <c r="GJ183">
        <v>0</v>
      </c>
      <c r="GK183">
        <f>ROUND(R183*(R12)/100,2)</f>
        <v>0</v>
      </c>
      <c r="GL183">
        <f t="shared" si="183"/>
        <v>0</v>
      </c>
      <c r="GM183">
        <f t="shared" si="184"/>
        <v>109.93</v>
      </c>
      <c r="GN183">
        <f t="shared" si="185"/>
        <v>0</v>
      </c>
      <c r="GO183">
        <f t="shared" si="186"/>
        <v>109.93</v>
      </c>
      <c r="GP183">
        <f t="shared" si="187"/>
        <v>0</v>
      </c>
      <c r="GR183">
        <v>0</v>
      </c>
      <c r="GS183">
        <v>3</v>
      </c>
      <c r="GT183">
        <v>0</v>
      </c>
      <c r="GU183" t="s">
        <v>6</v>
      </c>
      <c r="GV183">
        <f t="shared" si="188"/>
        <v>0</v>
      </c>
      <c r="GW183">
        <v>1</v>
      </c>
      <c r="GX183">
        <f t="shared" si="189"/>
        <v>0</v>
      </c>
      <c r="HA183">
        <v>0</v>
      </c>
      <c r="HB183">
        <v>0</v>
      </c>
      <c r="HC183">
        <f t="shared" si="190"/>
        <v>0</v>
      </c>
      <c r="IK183">
        <v>0</v>
      </c>
    </row>
    <row r="184" spans="1:245" x14ac:dyDescent="0.2">
      <c r="A184">
        <v>18</v>
      </c>
      <c r="B184">
        <v>1</v>
      </c>
      <c r="C184">
        <v>399</v>
      </c>
      <c r="E184" t="s">
        <v>596</v>
      </c>
      <c r="F184" t="s">
        <v>597</v>
      </c>
      <c r="G184" t="s">
        <v>598</v>
      </c>
      <c r="H184" t="s">
        <v>132</v>
      </c>
      <c r="I184">
        <f>I183*J184</f>
        <v>3</v>
      </c>
      <c r="J184">
        <v>83.333333333333343</v>
      </c>
      <c r="O184">
        <f t="shared" si="157"/>
        <v>817.31</v>
      </c>
      <c r="P184">
        <f t="shared" si="158"/>
        <v>817.31</v>
      </c>
      <c r="Q184">
        <f t="shared" si="159"/>
        <v>0</v>
      </c>
      <c r="R184">
        <f t="shared" si="160"/>
        <v>0</v>
      </c>
      <c r="S184">
        <f t="shared" si="161"/>
        <v>0</v>
      </c>
      <c r="T184">
        <f t="shared" si="162"/>
        <v>0</v>
      </c>
      <c r="U184">
        <f t="shared" si="163"/>
        <v>0</v>
      </c>
      <c r="V184">
        <f t="shared" si="164"/>
        <v>0</v>
      </c>
      <c r="W184">
        <f t="shared" si="165"/>
        <v>0</v>
      </c>
      <c r="X184">
        <f t="shared" si="166"/>
        <v>0</v>
      </c>
      <c r="Y184">
        <f t="shared" si="167"/>
        <v>0</v>
      </c>
      <c r="AA184">
        <v>16630606</v>
      </c>
      <c r="AB184">
        <f t="shared" si="168"/>
        <v>38.21</v>
      </c>
      <c r="AC184">
        <f t="shared" si="193"/>
        <v>38.21</v>
      </c>
      <c r="AD184">
        <f t="shared" si="194"/>
        <v>0</v>
      </c>
      <c r="AE184">
        <f t="shared" si="195"/>
        <v>0</v>
      </c>
      <c r="AF184">
        <f t="shared" si="196"/>
        <v>0</v>
      </c>
      <c r="AG184">
        <f t="shared" si="169"/>
        <v>0</v>
      </c>
      <c r="AH184">
        <f t="shared" si="197"/>
        <v>0</v>
      </c>
      <c r="AI184">
        <f t="shared" si="198"/>
        <v>0</v>
      </c>
      <c r="AJ184">
        <f t="shared" si="170"/>
        <v>0</v>
      </c>
      <c r="AK184">
        <v>38.21</v>
      </c>
      <c r="AL184">
        <v>38.21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95</v>
      </c>
      <c r="AU184">
        <v>65</v>
      </c>
      <c r="AV184">
        <v>1</v>
      </c>
      <c r="AW184">
        <v>1</v>
      </c>
      <c r="AZ184">
        <v>7.13</v>
      </c>
      <c r="BA184">
        <v>1</v>
      </c>
      <c r="BB184">
        <v>1</v>
      </c>
      <c r="BC184">
        <v>7.13</v>
      </c>
      <c r="BD184" t="s">
        <v>6</v>
      </c>
      <c r="BE184" t="s">
        <v>6</v>
      </c>
      <c r="BF184" t="s">
        <v>6</v>
      </c>
      <c r="BG184" t="s">
        <v>6</v>
      </c>
      <c r="BH184">
        <v>3</v>
      </c>
      <c r="BI184">
        <v>2</v>
      </c>
      <c r="BJ184" t="s">
        <v>599</v>
      </c>
      <c r="BM184">
        <v>108001</v>
      </c>
      <c r="BN184">
        <v>0</v>
      </c>
      <c r="BO184" t="s">
        <v>6</v>
      </c>
      <c r="BP184">
        <v>0</v>
      </c>
      <c r="BQ184">
        <v>3</v>
      </c>
      <c r="BR184">
        <v>0</v>
      </c>
      <c r="BS184">
        <v>1</v>
      </c>
      <c r="BT184">
        <v>1</v>
      </c>
      <c r="BU184">
        <v>1</v>
      </c>
      <c r="BV184">
        <v>1</v>
      </c>
      <c r="BW184">
        <v>1</v>
      </c>
      <c r="BX184">
        <v>1</v>
      </c>
      <c r="BY184" t="s">
        <v>6</v>
      </c>
      <c r="BZ184">
        <v>95</v>
      </c>
      <c r="CA184">
        <v>65</v>
      </c>
      <c r="CE184">
        <v>0</v>
      </c>
      <c r="CF184">
        <v>0</v>
      </c>
      <c r="CG184">
        <v>0</v>
      </c>
      <c r="CM184">
        <v>0</v>
      </c>
      <c r="CN184" t="s">
        <v>6</v>
      </c>
      <c r="CO184">
        <v>0</v>
      </c>
      <c r="CP184">
        <f t="shared" si="171"/>
        <v>817.31</v>
      </c>
      <c r="CQ184">
        <f t="shared" si="172"/>
        <v>272.43729999999999</v>
      </c>
      <c r="CR184">
        <f t="shared" si="173"/>
        <v>0</v>
      </c>
      <c r="CS184">
        <f t="shared" si="174"/>
        <v>0</v>
      </c>
      <c r="CT184">
        <f t="shared" si="175"/>
        <v>0</v>
      </c>
      <c r="CU184">
        <f t="shared" si="176"/>
        <v>0</v>
      </c>
      <c r="CV184">
        <f t="shared" si="177"/>
        <v>0</v>
      </c>
      <c r="CW184">
        <f t="shared" si="178"/>
        <v>0</v>
      </c>
      <c r="CX184">
        <f t="shared" si="179"/>
        <v>0</v>
      </c>
      <c r="CY184">
        <f t="shared" si="180"/>
        <v>0</v>
      </c>
      <c r="CZ184">
        <f t="shared" si="181"/>
        <v>0</v>
      </c>
      <c r="DC184" t="s">
        <v>6</v>
      </c>
      <c r="DD184" t="s">
        <v>6</v>
      </c>
      <c r="DE184" t="s">
        <v>6</v>
      </c>
      <c r="DF184" t="s">
        <v>6</v>
      </c>
      <c r="DG184" t="s">
        <v>6</v>
      </c>
      <c r="DH184" t="s">
        <v>6</v>
      </c>
      <c r="DI184" t="s">
        <v>6</v>
      </c>
      <c r="DJ184" t="s">
        <v>6</v>
      </c>
      <c r="DK184" t="s">
        <v>6</v>
      </c>
      <c r="DL184" t="s">
        <v>6</v>
      </c>
      <c r="DM184" t="s">
        <v>6</v>
      </c>
      <c r="DN184">
        <v>0</v>
      </c>
      <c r="DO184">
        <v>0</v>
      </c>
      <c r="DP184">
        <v>1</v>
      </c>
      <c r="DQ184">
        <v>1</v>
      </c>
      <c r="DU184">
        <v>1010</v>
      </c>
      <c r="DV184" t="s">
        <v>132</v>
      </c>
      <c r="DW184" t="s">
        <v>132</v>
      </c>
      <c r="DX184">
        <v>1</v>
      </c>
      <c r="EE184">
        <v>16609228</v>
      </c>
      <c r="EF184">
        <v>3</v>
      </c>
      <c r="EG184" t="s">
        <v>491</v>
      </c>
      <c r="EH184">
        <v>0</v>
      </c>
      <c r="EI184" t="s">
        <v>6</v>
      </c>
      <c r="EJ184">
        <v>2</v>
      </c>
      <c r="EK184">
        <v>108001</v>
      </c>
      <c r="EL184" t="s">
        <v>492</v>
      </c>
      <c r="EM184" t="s">
        <v>493</v>
      </c>
      <c r="EO184" t="s">
        <v>6</v>
      </c>
      <c r="EQ184">
        <v>0</v>
      </c>
      <c r="ER184">
        <v>38.21</v>
      </c>
      <c r="ES184">
        <v>38.21</v>
      </c>
      <c r="ET184">
        <v>0</v>
      </c>
      <c r="EU184">
        <v>0</v>
      </c>
      <c r="EV184">
        <v>0</v>
      </c>
      <c r="EW184">
        <v>0</v>
      </c>
      <c r="EX184">
        <v>0</v>
      </c>
      <c r="FQ184">
        <v>0</v>
      </c>
      <c r="FR184">
        <f t="shared" si="182"/>
        <v>0</v>
      </c>
      <c r="FS184">
        <v>0</v>
      </c>
      <c r="FX184">
        <v>95</v>
      </c>
      <c r="FY184">
        <v>65</v>
      </c>
      <c r="GA184" t="s">
        <v>6</v>
      </c>
      <c r="GD184">
        <v>0</v>
      </c>
      <c r="GF184">
        <v>-1990308548</v>
      </c>
      <c r="GG184">
        <v>1</v>
      </c>
      <c r="GH184">
        <v>1</v>
      </c>
      <c r="GI184">
        <v>4</v>
      </c>
      <c r="GJ184">
        <v>0</v>
      </c>
      <c r="GK184">
        <f>ROUND(R184*(R12)/100,2)</f>
        <v>0</v>
      </c>
      <c r="GL184">
        <f t="shared" si="183"/>
        <v>0</v>
      </c>
      <c r="GM184">
        <f t="shared" si="184"/>
        <v>817.31</v>
      </c>
      <c r="GN184">
        <f t="shared" si="185"/>
        <v>0</v>
      </c>
      <c r="GO184">
        <f t="shared" si="186"/>
        <v>817.31</v>
      </c>
      <c r="GP184">
        <f t="shared" si="187"/>
        <v>0</v>
      </c>
      <c r="GR184">
        <v>0</v>
      </c>
      <c r="GS184">
        <v>3</v>
      </c>
      <c r="GT184">
        <v>0</v>
      </c>
      <c r="GU184" t="s">
        <v>6</v>
      </c>
      <c r="GV184">
        <f t="shared" si="188"/>
        <v>0</v>
      </c>
      <c r="GW184">
        <v>1</v>
      </c>
      <c r="GX184">
        <f t="shared" si="189"/>
        <v>0</v>
      </c>
      <c r="HA184">
        <v>0</v>
      </c>
      <c r="HB184">
        <v>0</v>
      </c>
      <c r="HC184">
        <f t="shared" si="190"/>
        <v>0</v>
      </c>
      <c r="IK184">
        <v>0</v>
      </c>
    </row>
    <row r="185" spans="1:245" x14ac:dyDescent="0.2">
      <c r="A185">
        <v>17</v>
      </c>
      <c r="B185">
        <v>1</v>
      </c>
      <c r="C185">
        <f>ROW(SmtRes!A411)</f>
        <v>411</v>
      </c>
      <c r="D185">
        <f>ROW(EtalonRes!A407)</f>
        <v>407</v>
      </c>
      <c r="E185" t="s">
        <v>600</v>
      </c>
      <c r="F185" t="s">
        <v>601</v>
      </c>
      <c r="G185" t="s">
        <v>602</v>
      </c>
      <c r="H185" t="s">
        <v>57</v>
      </c>
      <c r="I185">
        <f>ROUND(1.6/100,9)</f>
        <v>1.6E-2</v>
      </c>
      <c r="J185">
        <v>0</v>
      </c>
      <c r="O185">
        <f t="shared" si="157"/>
        <v>28.63</v>
      </c>
      <c r="P185">
        <f t="shared" si="158"/>
        <v>10.01</v>
      </c>
      <c r="Q185">
        <f t="shared" si="159"/>
        <v>2.23</v>
      </c>
      <c r="R185">
        <f t="shared" si="160"/>
        <v>0.32</v>
      </c>
      <c r="S185">
        <f t="shared" si="161"/>
        <v>16.39</v>
      </c>
      <c r="T185">
        <f t="shared" si="162"/>
        <v>0</v>
      </c>
      <c r="U185">
        <f t="shared" si="163"/>
        <v>0.24448</v>
      </c>
      <c r="V185">
        <f t="shared" si="164"/>
        <v>3.5200000000000001E-3</v>
      </c>
      <c r="W185">
        <f t="shared" si="165"/>
        <v>0</v>
      </c>
      <c r="X185">
        <f t="shared" si="166"/>
        <v>15.87</v>
      </c>
      <c r="Y185">
        <f t="shared" si="167"/>
        <v>10.86</v>
      </c>
      <c r="AA185">
        <v>16630606</v>
      </c>
      <c r="AB185">
        <f t="shared" si="168"/>
        <v>250.92</v>
      </c>
      <c r="AC185">
        <f t="shared" si="193"/>
        <v>87.74</v>
      </c>
      <c r="AD185">
        <f t="shared" si="194"/>
        <v>19.55</v>
      </c>
      <c r="AE185">
        <f t="shared" si="195"/>
        <v>2.77</v>
      </c>
      <c r="AF185">
        <f t="shared" si="196"/>
        <v>143.63</v>
      </c>
      <c r="AG185">
        <f t="shared" si="169"/>
        <v>0</v>
      </c>
      <c r="AH185">
        <f t="shared" si="197"/>
        <v>15.28</v>
      </c>
      <c r="AI185">
        <f t="shared" si="198"/>
        <v>0.22</v>
      </c>
      <c r="AJ185">
        <f t="shared" si="170"/>
        <v>0</v>
      </c>
      <c r="AK185">
        <v>250.92</v>
      </c>
      <c r="AL185">
        <v>87.74</v>
      </c>
      <c r="AM185">
        <v>19.55</v>
      </c>
      <c r="AN185">
        <v>2.77</v>
      </c>
      <c r="AO185">
        <v>143.63</v>
      </c>
      <c r="AP185">
        <v>0</v>
      </c>
      <c r="AQ185">
        <v>15.28</v>
      </c>
      <c r="AR185">
        <v>0.22</v>
      </c>
      <c r="AS185">
        <v>0</v>
      </c>
      <c r="AT185">
        <v>95</v>
      </c>
      <c r="AU185">
        <v>65</v>
      </c>
      <c r="AV185">
        <v>1</v>
      </c>
      <c r="AW185">
        <v>1</v>
      </c>
      <c r="AZ185">
        <v>7.13</v>
      </c>
      <c r="BA185">
        <v>7.13</v>
      </c>
      <c r="BB185">
        <v>7.13</v>
      </c>
      <c r="BC185">
        <v>7.13</v>
      </c>
      <c r="BD185" t="s">
        <v>6</v>
      </c>
      <c r="BE185" t="s">
        <v>6</v>
      </c>
      <c r="BF185" t="s">
        <v>6</v>
      </c>
      <c r="BG185" t="s">
        <v>6</v>
      </c>
      <c r="BH185">
        <v>0</v>
      </c>
      <c r="BI185">
        <v>2</v>
      </c>
      <c r="BJ185" t="s">
        <v>603</v>
      </c>
      <c r="BM185">
        <v>108001</v>
      </c>
      <c r="BN185">
        <v>0</v>
      </c>
      <c r="BO185" t="s">
        <v>6</v>
      </c>
      <c r="BP185">
        <v>0</v>
      </c>
      <c r="BQ185">
        <v>3</v>
      </c>
      <c r="BR185">
        <v>0</v>
      </c>
      <c r="BS185">
        <v>7.13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6</v>
      </c>
      <c r="BZ185">
        <v>95</v>
      </c>
      <c r="CA185">
        <v>65</v>
      </c>
      <c r="CE185">
        <v>0</v>
      </c>
      <c r="CF185">
        <v>0</v>
      </c>
      <c r="CG185">
        <v>0</v>
      </c>
      <c r="CM185">
        <v>0</v>
      </c>
      <c r="CN185" t="s">
        <v>6</v>
      </c>
      <c r="CO185">
        <v>0</v>
      </c>
      <c r="CP185">
        <f t="shared" si="171"/>
        <v>28.630000000000003</v>
      </c>
      <c r="CQ185">
        <f t="shared" si="172"/>
        <v>625.58619999999996</v>
      </c>
      <c r="CR185">
        <f t="shared" si="173"/>
        <v>139.39150000000001</v>
      </c>
      <c r="CS185">
        <f t="shared" si="174"/>
        <v>19.7501</v>
      </c>
      <c r="CT185">
        <f t="shared" si="175"/>
        <v>1024.0818999999999</v>
      </c>
      <c r="CU185">
        <f t="shared" si="176"/>
        <v>0</v>
      </c>
      <c r="CV185">
        <f t="shared" si="177"/>
        <v>15.28</v>
      </c>
      <c r="CW185">
        <f t="shared" si="178"/>
        <v>0.22</v>
      </c>
      <c r="CX185">
        <f t="shared" si="179"/>
        <v>0</v>
      </c>
      <c r="CY185">
        <f t="shared" si="180"/>
        <v>15.874500000000001</v>
      </c>
      <c r="CZ185">
        <f t="shared" si="181"/>
        <v>10.861500000000001</v>
      </c>
      <c r="DC185" t="s">
        <v>6</v>
      </c>
      <c r="DD185" t="s">
        <v>6</v>
      </c>
      <c r="DE185" t="s">
        <v>6</v>
      </c>
      <c r="DF185" t="s">
        <v>6</v>
      </c>
      <c r="DG185" t="s">
        <v>6</v>
      </c>
      <c r="DH185" t="s">
        <v>6</v>
      </c>
      <c r="DI185" t="s">
        <v>6</v>
      </c>
      <c r="DJ185" t="s">
        <v>6</v>
      </c>
      <c r="DK185" t="s">
        <v>6</v>
      </c>
      <c r="DL185" t="s">
        <v>6</v>
      </c>
      <c r="DM185" t="s">
        <v>6</v>
      </c>
      <c r="DN185">
        <v>0</v>
      </c>
      <c r="DO185">
        <v>0</v>
      </c>
      <c r="DP185">
        <v>1</v>
      </c>
      <c r="DQ185">
        <v>1</v>
      </c>
      <c r="DU185">
        <v>1003</v>
      </c>
      <c r="DV185" t="s">
        <v>57</v>
      </c>
      <c r="DW185" t="s">
        <v>57</v>
      </c>
      <c r="DX185">
        <v>100</v>
      </c>
      <c r="EE185">
        <v>16609228</v>
      </c>
      <c r="EF185">
        <v>3</v>
      </c>
      <c r="EG185" t="s">
        <v>491</v>
      </c>
      <c r="EH185">
        <v>0</v>
      </c>
      <c r="EI185" t="s">
        <v>6</v>
      </c>
      <c r="EJ185">
        <v>2</v>
      </c>
      <c r="EK185">
        <v>108001</v>
      </c>
      <c r="EL185" t="s">
        <v>492</v>
      </c>
      <c r="EM185" t="s">
        <v>493</v>
      </c>
      <c r="EO185" t="s">
        <v>6</v>
      </c>
      <c r="EQ185">
        <v>131072</v>
      </c>
      <c r="ER185">
        <v>250.92</v>
      </c>
      <c r="ES185">
        <v>87.74</v>
      </c>
      <c r="ET185">
        <v>19.55</v>
      </c>
      <c r="EU185">
        <v>2.77</v>
      </c>
      <c r="EV185">
        <v>143.63</v>
      </c>
      <c r="EW185">
        <v>15.28</v>
      </c>
      <c r="EX185">
        <v>0.22</v>
      </c>
      <c r="EY185">
        <v>0</v>
      </c>
      <c r="FQ185">
        <v>0</v>
      </c>
      <c r="FR185">
        <f t="shared" si="182"/>
        <v>0</v>
      </c>
      <c r="FS185">
        <v>0</v>
      </c>
      <c r="FX185">
        <v>95</v>
      </c>
      <c r="FY185">
        <v>65</v>
      </c>
      <c r="GA185" t="s">
        <v>6</v>
      </c>
      <c r="GD185">
        <v>0</v>
      </c>
      <c r="GF185">
        <v>330237269</v>
      </c>
      <c r="GG185">
        <v>1</v>
      </c>
      <c r="GH185">
        <v>1</v>
      </c>
      <c r="GI185">
        <v>4</v>
      </c>
      <c r="GJ185">
        <v>0</v>
      </c>
      <c r="GK185">
        <f>ROUND(R185*(R12)/100,2)</f>
        <v>0</v>
      </c>
      <c r="GL185">
        <f t="shared" si="183"/>
        <v>0</v>
      </c>
      <c r="GM185">
        <f t="shared" si="184"/>
        <v>55.36</v>
      </c>
      <c r="GN185">
        <f t="shared" si="185"/>
        <v>0</v>
      </c>
      <c r="GO185">
        <f t="shared" si="186"/>
        <v>55.36</v>
      </c>
      <c r="GP185">
        <f t="shared" si="187"/>
        <v>0</v>
      </c>
      <c r="GR185">
        <v>0</v>
      </c>
      <c r="GS185">
        <v>3</v>
      </c>
      <c r="GT185">
        <v>0</v>
      </c>
      <c r="GU185" t="s">
        <v>6</v>
      </c>
      <c r="GV185">
        <f t="shared" si="188"/>
        <v>0</v>
      </c>
      <c r="GW185">
        <v>1</v>
      </c>
      <c r="GX185">
        <f t="shared" si="189"/>
        <v>0</v>
      </c>
      <c r="HA185">
        <v>0</v>
      </c>
      <c r="HB185">
        <v>0</v>
      </c>
      <c r="HC185">
        <f t="shared" si="190"/>
        <v>0</v>
      </c>
      <c r="IK185">
        <v>0</v>
      </c>
    </row>
    <row r="186" spans="1:245" x14ac:dyDescent="0.2">
      <c r="A186">
        <v>18</v>
      </c>
      <c r="B186">
        <v>1</v>
      </c>
      <c r="C186">
        <v>410</v>
      </c>
      <c r="E186" t="s">
        <v>604</v>
      </c>
      <c r="F186" t="s">
        <v>605</v>
      </c>
      <c r="G186" t="s">
        <v>606</v>
      </c>
      <c r="H186" t="s">
        <v>132</v>
      </c>
      <c r="I186">
        <f>I185*J186</f>
        <v>3</v>
      </c>
      <c r="J186">
        <v>187.5</v>
      </c>
      <c r="O186">
        <f t="shared" si="157"/>
        <v>1602.32</v>
      </c>
      <c r="P186">
        <f t="shared" si="158"/>
        <v>1602.32</v>
      </c>
      <c r="Q186">
        <f t="shared" si="159"/>
        <v>0</v>
      </c>
      <c r="R186">
        <f t="shared" si="160"/>
        <v>0</v>
      </c>
      <c r="S186">
        <f t="shared" si="161"/>
        <v>0</v>
      </c>
      <c r="T186">
        <f t="shared" si="162"/>
        <v>0</v>
      </c>
      <c r="U186">
        <f t="shared" si="163"/>
        <v>0</v>
      </c>
      <c r="V186">
        <f t="shared" si="164"/>
        <v>0</v>
      </c>
      <c r="W186">
        <f t="shared" si="165"/>
        <v>0</v>
      </c>
      <c r="X186">
        <f t="shared" si="166"/>
        <v>0</v>
      </c>
      <c r="Y186">
        <f t="shared" si="167"/>
        <v>0</v>
      </c>
      <c r="AA186">
        <v>16630606</v>
      </c>
      <c r="AB186">
        <f t="shared" si="168"/>
        <v>74.91</v>
      </c>
      <c r="AC186">
        <f t="shared" si="193"/>
        <v>74.91</v>
      </c>
      <c r="AD186">
        <f t="shared" si="194"/>
        <v>0</v>
      </c>
      <c r="AE186">
        <f t="shared" si="195"/>
        <v>0</v>
      </c>
      <c r="AF186">
        <f t="shared" si="196"/>
        <v>0</v>
      </c>
      <c r="AG186">
        <f t="shared" si="169"/>
        <v>0</v>
      </c>
      <c r="AH186">
        <f t="shared" si="197"/>
        <v>0</v>
      </c>
      <c r="AI186">
        <f t="shared" si="198"/>
        <v>0</v>
      </c>
      <c r="AJ186">
        <f t="shared" si="170"/>
        <v>0</v>
      </c>
      <c r="AK186">
        <v>74.91</v>
      </c>
      <c r="AL186">
        <v>74.91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95</v>
      </c>
      <c r="AU186">
        <v>65</v>
      </c>
      <c r="AV186">
        <v>1</v>
      </c>
      <c r="AW186">
        <v>1</v>
      </c>
      <c r="AZ186">
        <v>7.13</v>
      </c>
      <c r="BA186">
        <v>1</v>
      </c>
      <c r="BB186">
        <v>1</v>
      </c>
      <c r="BC186">
        <v>7.13</v>
      </c>
      <c r="BD186" t="s">
        <v>6</v>
      </c>
      <c r="BE186" t="s">
        <v>6</v>
      </c>
      <c r="BF186" t="s">
        <v>6</v>
      </c>
      <c r="BG186" t="s">
        <v>6</v>
      </c>
      <c r="BH186">
        <v>3</v>
      </c>
      <c r="BI186">
        <v>2</v>
      </c>
      <c r="BJ186" t="s">
        <v>607</v>
      </c>
      <c r="BM186">
        <v>108001</v>
      </c>
      <c r="BN186">
        <v>0</v>
      </c>
      <c r="BO186" t="s">
        <v>6</v>
      </c>
      <c r="BP186">
        <v>0</v>
      </c>
      <c r="BQ186">
        <v>3</v>
      </c>
      <c r="BR186">
        <v>0</v>
      </c>
      <c r="BS186">
        <v>1</v>
      </c>
      <c r="BT186">
        <v>1</v>
      </c>
      <c r="BU186">
        <v>1</v>
      </c>
      <c r="BV186">
        <v>1</v>
      </c>
      <c r="BW186">
        <v>1</v>
      </c>
      <c r="BX186">
        <v>1</v>
      </c>
      <c r="BY186" t="s">
        <v>6</v>
      </c>
      <c r="BZ186">
        <v>95</v>
      </c>
      <c r="CA186">
        <v>65</v>
      </c>
      <c r="CE186">
        <v>0</v>
      </c>
      <c r="CF186">
        <v>0</v>
      </c>
      <c r="CG186">
        <v>0</v>
      </c>
      <c r="CM186">
        <v>0</v>
      </c>
      <c r="CN186" t="s">
        <v>6</v>
      </c>
      <c r="CO186">
        <v>0</v>
      </c>
      <c r="CP186">
        <f t="shared" si="171"/>
        <v>1602.32</v>
      </c>
      <c r="CQ186">
        <f t="shared" si="172"/>
        <v>534.10829999999999</v>
      </c>
      <c r="CR186">
        <f t="shared" si="173"/>
        <v>0</v>
      </c>
      <c r="CS186">
        <f t="shared" si="174"/>
        <v>0</v>
      </c>
      <c r="CT186">
        <f t="shared" si="175"/>
        <v>0</v>
      </c>
      <c r="CU186">
        <f t="shared" si="176"/>
        <v>0</v>
      </c>
      <c r="CV186">
        <f t="shared" si="177"/>
        <v>0</v>
      </c>
      <c r="CW186">
        <f t="shared" si="178"/>
        <v>0</v>
      </c>
      <c r="CX186">
        <f t="shared" si="179"/>
        <v>0</v>
      </c>
      <c r="CY186">
        <f t="shared" si="180"/>
        <v>0</v>
      </c>
      <c r="CZ186">
        <f t="shared" si="181"/>
        <v>0</v>
      </c>
      <c r="DC186" t="s">
        <v>6</v>
      </c>
      <c r="DD186" t="s">
        <v>6</v>
      </c>
      <c r="DE186" t="s">
        <v>6</v>
      </c>
      <c r="DF186" t="s">
        <v>6</v>
      </c>
      <c r="DG186" t="s">
        <v>6</v>
      </c>
      <c r="DH186" t="s">
        <v>6</v>
      </c>
      <c r="DI186" t="s">
        <v>6</v>
      </c>
      <c r="DJ186" t="s">
        <v>6</v>
      </c>
      <c r="DK186" t="s">
        <v>6</v>
      </c>
      <c r="DL186" t="s">
        <v>6</v>
      </c>
      <c r="DM186" t="s">
        <v>6</v>
      </c>
      <c r="DN186">
        <v>0</v>
      </c>
      <c r="DO186">
        <v>0</v>
      </c>
      <c r="DP186">
        <v>1</v>
      </c>
      <c r="DQ186">
        <v>1</v>
      </c>
      <c r="DU186">
        <v>1010</v>
      </c>
      <c r="DV186" t="s">
        <v>132</v>
      </c>
      <c r="DW186" t="s">
        <v>132</v>
      </c>
      <c r="DX186">
        <v>1</v>
      </c>
      <c r="EE186">
        <v>16609228</v>
      </c>
      <c r="EF186">
        <v>3</v>
      </c>
      <c r="EG186" t="s">
        <v>491</v>
      </c>
      <c r="EH186">
        <v>0</v>
      </c>
      <c r="EI186" t="s">
        <v>6</v>
      </c>
      <c r="EJ186">
        <v>2</v>
      </c>
      <c r="EK186">
        <v>108001</v>
      </c>
      <c r="EL186" t="s">
        <v>492</v>
      </c>
      <c r="EM186" t="s">
        <v>493</v>
      </c>
      <c r="EO186" t="s">
        <v>6</v>
      </c>
      <c r="EQ186">
        <v>0</v>
      </c>
      <c r="ER186">
        <v>74.91</v>
      </c>
      <c r="ES186">
        <v>74.91</v>
      </c>
      <c r="ET186">
        <v>0</v>
      </c>
      <c r="EU186">
        <v>0</v>
      </c>
      <c r="EV186">
        <v>0</v>
      </c>
      <c r="EW186">
        <v>0</v>
      </c>
      <c r="EX186">
        <v>0</v>
      </c>
      <c r="FQ186">
        <v>0</v>
      </c>
      <c r="FR186">
        <f t="shared" si="182"/>
        <v>0</v>
      </c>
      <c r="FS186">
        <v>0</v>
      </c>
      <c r="FX186">
        <v>95</v>
      </c>
      <c r="FY186">
        <v>65</v>
      </c>
      <c r="GA186" t="s">
        <v>6</v>
      </c>
      <c r="GD186">
        <v>0</v>
      </c>
      <c r="GF186">
        <v>1967590266</v>
      </c>
      <c r="GG186">
        <v>1</v>
      </c>
      <c r="GH186">
        <v>1</v>
      </c>
      <c r="GI186">
        <v>4</v>
      </c>
      <c r="GJ186">
        <v>0</v>
      </c>
      <c r="GK186">
        <f>ROUND(R186*(R12)/100,2)</f>
        <v>0</v>
      </c>
      <c r="GL186">
        <f t="shared" si="183"/>
        <v>0</v>
      </c>
      <c r="GM186">
        <f t="shared" si="184"/>
        <v>1602.32</v>
      </c>
      <c r="GN186">
        <f t="shared" si="185"/>
        <v>0</v>
      </c>
      <c r="GO186">
        <f t="shared" si="186"/>
        <v>1602.32</v>
      </c>
      <c r="GP186">
        <f t="shared" si="187"/>
        <v>0</v>
      </c>
      <c r="GR186">
        <v>0</v>
      </c>
      <c r="GS186">
        <v>3</v>
      </c>
      <c r="GT186">
        <v>0</v>
      </c>
      <c r="GU186" t="s">
        <v>6</v>
      </c>
      <c r="GV186">
        <f t="shared" si="188"/>
        <v>0</v>
      </c>
      <c r="GW186">
        <v>1</v>
      </c>
      <c r="GX186">
        <f t="shared" si="189"/>
        <v>0</v>
      </c>
      <c r="HA186">
        <v>0</v>
      </c>
      <c r="HB186">
        <v>0</v>
      </c>
      <c r="HC186">
        <f t="shared" si="190"/>
        <v>0</v>
      </c>
      <c r="IK186">
        <v>0</v>
      </c>
    </row>
    <row r="187" spans="1:245" x14ac:dyDescent="0.2">
      <c r="A187">
        <v>17</v>
      </c>
      <c r="B187">
        <v>1</v>
      </c>
      <c r="C187">
        <f>ROW(SmtRes!A417)</f>
        <v>417</v>
      </c>
      <c r="D187">
        <f>ROW(EtalonRes!A412)</f>
        <v>412</v>
      </c>
      <c r="E187" t="s">
        <v>608</v>
      </c>
      <c r="F187" t="s">
        <v>609</v>
      </c>
      <c r="G187" t="s">
        <v>610</v>
      </c>
      <c r="H187" t="s">
        <v>127</v>
      </c>
      <c r="I187">
        <v>29</v>
      </c>
      <c r="J187">
        <v>0</v>
      </c>
      <c r="O187">
        <f t="shared" si="157"/>
        <v>1093.82</v>
      </c>
      <c r="P187">
        <f t="shared" si="158"/>
        <v>84.78</v>
      </c>
      <c r="Q187">
        <f t="shared" si="159"/>
        <v>0</v>
      </c>
      <c r="R187">
        <f t="shared" si="160"/>
        <v>0</v>
      </c>
      <c r="S187">
        <f t="shared" si="161"/>
        <v>1009.04</v>
      </c>
      <c r="T187">
        <f t="shared" si="162"/>
        <v>0</v>
      </c>
      <c r="U187">
        <f t="shared" si="163"/>
        <v>14.5</v>
      </c>
      <c r="V187">
        <f t="shared" si="164"/>
        <v>0</v>
      </c>
      <c r="W187">
        <f t="shared" si="165"/>
        <v>0</v>
      </c>
      <c r="X187">
        <f t="shared" si="166"/>
        <v>807.23</v>
      </c>
      <c r="Y187">
        <f t="shared" si="167"/>
        <v>605.41999999999996</v>
      </c>
      <c r="AA187">
        <v>16630606</v>
      </c>
      <c r="AB187">
        <f t="shared" si="168"/>
        <v>5.29</v>
      </c>
      <c r="AC187">
        <f t="shared" si="193"/>
        <v>0.41</v>
      </c>
      <c r="AD187">
        <f t="shared" si="194"/>
        <v>0</v>
      </c>
      <c r="AE187">
        <f t="shared" si="195"/>
        <v>0</v>
      </c>
      <c r="AF187">
        <f t="shared" si="196"/>
        <v>4.88</v>
      </c>
      <c r="AG187">
        <f t="shared" si="169"/>
        <v>0</v>
      </c>
      <c r="AH187">
        <f t="shared" si="197"/>
        <v>0.5</v>
      </c>
      <c r="AI187">
        <f t="shared" si="198"/>
        <v>0</v>
      </c>
      <c r="AJ187">
        <f t="shared" si="170"/>
        <v>0</v>
      </c>
      <c r="AK187">
        <v>5.29</v>
      </c>
      <c r="AL187">
        <v>0.41</v>
      </c>
      <c r="AM187">
        <v>0</v>
      </c>
      <c r="AN187">
        <v>0</v>
      </c>
      <c r="AO187">
        <v>4.88</v>
      </c>
      <c r="AP187">
        <v>0</v>
      </c>
      <c r="AQ187">
        <v>0.5</v>
      </c>
      <c r="AR187">
        <v>0</v>
      </c>
      <c r="AS187">
        <v>0</v>
      </c>
      <c r="AT187">
        <v>80</v>
      </c>
      <c r="AU187">
        <v>60</v>
      </c>
      <c r="AV187">
        <v>1</v>
      </c>
      <c r="AW187">
        <v>1</v>
      </c>
      <c r="AZ187">
        <v>7.13</v>
      </c>
      <c r="BA187">
        <v>7.13</v>
      </c>
      <c r="BB187">
        <v>7.13</v>
      </c>
      <c r="BC187">
        <v>7.13</v>
      </c>
      <c r="BD187" t="s">
        <v>6</v>
      </c>
      <c r="BE187" t="s">
        <v>6</v>
      </c>
      <c r="BF187" t="s">
        <v>6</v>
      </c>
      <c r="BG187" t="s">
        <v>6</v>
      </c>
      <c r="BH187">
        <v>0</v>
      </c>
      <c r="BI187">
        <v>2</v>
      </c>
      <c r="BJ187" t="s">
        <v>611</v>
      </c>
      <c r="BM187">
        <v>110011</v>
      </c>
      <c r="BN187">
        <v>0</v>
      </c>
      <c r="BO187" t="s">
        <v>6</v>
      </c>
      <c r="BP187">
        <v>0</v>
      </c>
      <c r="BQ187">
        <v>3</v>
      </c>
      <c r="BR187">
        <v>0</v>
      </c>
      <c r="BS187">
        <v>7.13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6</v>
      </c>
      <c r="BZ187">
        <v>80</v>
      </c>
      <c r="CA187">
        <v>60</v>
      </c>
      <c r="CE187">
        <v>0</v>
      </c>
      <c r="CF187">
        <v>0</v>
      </c>
      <c r="CG187">
        <v>0</v>
      </c>
      <c r="CM187">
        <v>0</v>
      </c>
      <c r="CN187" t="s">
        <v>6</v>
      </c>
      <c r="CO187">
        <v>0</v>
      </c>
      <c r="CP187">
        <f t="shared" si="171"/>
        <v>1093.82</v>
      </c>
      <c r="CQ187">
        <f t="shared" si="172"/>
        <v>2.9232999999999998</v>
      </c>
      <c r="CR187">
        <f t="shared" si="173"/>
        <v>0</v>
      </c>
      <c r="CS187">
        <f t="shared" si="174"/>
        <v>0</v>
      </c>
      <c r="CT187">
        <f t="shared" si="175"/>
        <v>34.794399999999996</v>
      </c>
      <c r="CU187">
        <f t="shared" si="176"/>
        <v>0</v>
      </c>
      <c r="CV187">
        <f t="shared" si="177"/>
        <v>0.5</v>
      </c>
      <c r="CW187">
        <f t="shared" si="178"/>
        <v>0</v>
      </c>
      <c r="CX187">
        <f t="shared" si="179"/>
        <v>0</v>
      </c>
      <c r="CY187">
        <f t="shared" si="180"/>
        <v>807.23199999999997</v>
      </c>
      <c r="CZ187">
        <f t="shared" si="181"/>
        <v>605.42399999999998</v>
      </c>
      <c r="DC187" t="s">
        <v>6</v>
      </c>
      <c r="DD187" t="s">
        <v>6</v>
      </c>
      <c r="DE187" t="s">
        <v>6</v>
      </c>
      <c r="DF187" t="s">
        <v>6</v>
      </c>
      <c r="DG187" t="s">
        <v>6</v>
      </c>
      <c r="DH187" t="s">
        <v>6</v>
      </c>
      <c r="DI187" t="s">
        <v>6</v>
      </c>
      <c r="DJ187" t="s">
        <v>6</v>
      </c>
      <c r="DK187" t="s">
        <v>6</v>
      </c>
      <c r="DL187" t="s">
        <v>6</v>
      </c>
      <c r="DM187" t="s">
        <v>6</v>
      </c>
      <c r="DN187">
        <v>0</v>
      </c>
      <c r="DO187">
        <v>0</v>
      </c>
      <c r="DP187">
        <v>1</v>
      </c>
      <c r="DQ187">
        <v>1</v>
      </c>
      <c r="DU187">
        <v>1013</v>
      </c>
      <c r="DV187" t="s">
        <v>127</v>
      </c>
      <c r="DW187" t="s">
        <v>127</v>
      </c>
      <c r="DX187">
        <v>1</v>
      </c>
      <c r="EE187">
        <v>16609240</v>
      </c>
      <c r="EF187">
        <v>3</v>
      </c>
      <c r="EG187" t="s">
        <v>491</v>
      </c>
      <c r="EH187">
        <v>0</v>
      </c>
      <c r="EI187" t="s">
        <v>6</v>
      </c>
      <c r="EJ187">
        <v>2</v>
      </c>
      <c r="EK187">
        <v>110011</v>
      </c>
      <c r="EL187" t="s">
        <v>612</v>
      </c>
      <c r="EM187" t="s">
        <v>514</v>
      </c>
      <c r="EO187" t="s">
        <v>6</v>
      </c>
      <c r="EQ187">
        <v>131072</v>
      </c>
      <c r="ER187">
        <v>5.29</v>
      </c>
      <c r="ES187">
        <v>0.41</v>
      </c>
      <c r="ET187">
        <v>0</v>
      </c>
      <c r="EU187">
        <v>0</v>
      </c>
      <c r="EV187">
        <v>4.88</v>
      </c>
      <c r="EW187">
        <v>0.5</v>
      </c>
      <c r="EX187">
        <v>0</v>
      </c>
      <c r="EY187">
        <v>0</v>
      </c>
      <c r="FQ187">
        <v>0</v>
      </c>
      <c r="FR187">
        <f t="shared" si="182"/>
        <v>0</v>
      </c>
      <c r="FS187">
        <v>0</v>
      </c>
      <c r="FX187">
        <v>80</v>
      </c>
      <c r="FY187">
        <v>60</v>
      </c>
      <c r="GA187" t="s">
        <v>6</v>
      </c>
      <c r="GD187">
        <v>0</v>
      </c>
      <c r="GF187">
        <v>-736471081</v>
      </c>
      <c r="GG187">
        <v>1</v>
      </c>
      <c r="GH187">
        <v>1</v>
      </c>
      <c r="GI187">
        <v>4</v>
      </c>
      <c r="GJ187">
        <v>0</v>
      </c>
      <c r="GK187">
        <f>ROUND(R187*(R12)/100,2)</f>
        <v>0</v>
      </c>
      <c r="GL187">
        <f t="shared" si="183"/>
        <v>0</v>
      </c>
      <c r="GM187">
        <f t="shared" si="184"/>
        <v>2506.4699999999998</v>
      </c>
      <c r="GN187">
        <f t="shared" si="185"/>
        <v>0</v>
      </c>
      <c r="GO187">
        <f t="shared" si="186"/>
        <v>2506.4699999999998</v>
      </c>
      <c r="GP187">
        <f t="shared" si="187"/>
        <v>0</v>
      </c>
      <c r="GR187">
        <v>0</v>
      </c>
      <c r="GS187">
        <v>3</v>
      </c>
      <c r="GT187">
        <v>0</v>
      </c>
      <c r="GU187" t="s">
        <v>6</v>
      </c>
      <c r="GV187">
        <f t="shared" si="188"/>
        <v>0</v>
      </c>
      <c r="GW187">
        <v>1</v>
      </c>
      <c r="GX187">
        <f t="shared" si="189"/>
        <v>0</v>
      </c>
      <c r="HA187">
        <v>0</v>
      </c>
      <c r="HB187">
        <v>0</v>
      </c>
      <c r="HC187">
        <f t="shared" si="190"/>
        <v>0</v>
      </c>
      <c r="IK187">
        <v>0</v>
      </c>
    </row>
    <row r="188" spans="1:245" x14ac:dyDescent="0.2">
      <c r="A188">
        <v>18</v>
      </c>
      <c r="B188">
        <v>1</v>
      </c>
      <c r="C188">
        <v>416</v>
      </c>
      <c r="E188" t="s">
        <v>613</v>
      </c>
      <c r="F188" t="s">
        <v>614</v>
      </c>
      <c r="G188" t="s">
        <v>615</v>
      </c>
      <c r="H188" t="s">
        <v>616</v>
      </c>
      <c r="I188">
        <f>I187*J188</f>
        <v>2.9</v>
      </c>
      <c r="J188">
        <v>9.9999999999999992E-2</v>
      </c>
      <c r="O188">
        <f t="shared" si="157"/>
        <v>2734.33</v>
      </c>
      <c r="P188">
        <f t="shared" si="158"/>
        <v>2734.33</v>
      </c>
      <c r="Q188">
        <f t="shared" si="159"/>
        <v>0</v>
      </c>
      <c r="R188">
        <f t="shared" si="160"/>
        <v>0</v>
      </c>
      <c r="S188">
        <f t="shared" si="161"/>
        <v>0</v>
      </c>
      <c r="T188">
        <f t="shared" si="162"/>
        <v>0</v>
      </c>
      <c r="U188">
        <f t="shared" si="163"/>
        <v>0</v>
      </c>
      <c r="V188">
        <f t="shared" si="164"/>
        <v>0</v>
      </c>
      <c r="W188">
        <f t="shared" si="165"/>
        <v>0</v>
      </c>
      <c r="X188">
        <f t="shared" si="166"/>
        <v>0</v>
      </c>
      <c r="Y188">
        <f t="shared" si="167"/>
        <v>0</v>
      </c>
      <c r="AA188">
        <v>16630606</v>
      </c>
      <c r="AB188">
        <f t="shared" si="168"/>
        <v>132.24</v>
      </c>
      <c r="AC188">
        <f t="shared" si="193"/>
        <v>132.24</v>
      </c>
      <c r="AD188">
        <f t="shared" si="194"/>
        <v>0</v>
      </c>
      <c r="AE188">
        <f t="shared" si="195"/>
        <v>0</v>
      </c>
      <c r="AF188">
        <f t="shared" si="196"/>
        <v>0</v>
      </c>
      <c r="AG188">
        <f t="shared" si="169"/>
        <v>0</v>
      </c>
      <c r="AH188">
        <f t="shared" si="197"/>
        <v>0</v>
      </c>
      <c r="AI188">
        <f t="shared" si="198"/>
        <v>0</v>
      </c>
      <c r="AJ188">
        <f t="shared" si="170"/>
        <v>0</v>
      </c>
      <c r="AK188">
        <v>132.24</v>
      </c>
      <c r="AL188">
        <v>132.24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80</v>
      </c>
      <c r="AU188">
        <v>60</v>
      </c>
      <c r="AV188">
        <v>1</v>
      </c>
      <c r="AW188">
        <v>1</v>
      </c>
      <c r="AZ188">
        <v>7.13</v>
      </c>
      <c r="BA188">
        <v>1</v>
      </c>
      <c r="BB188">
        <v>1</v>
      </c>
      <c r="BC188">
        <v>7.13</v>
      </c>
      <c r="BD188" t="s">
        <v>6</v>
      </c>
      <c r="BE188" t="s">
        <v>6</v>
      </c>
      <c r="BF188" t="s">
        <v>6</v>
      </c>
      <c r="BG188" t="s">
        <v>6</v>
      </c>
      <c r="BH188">
        <v>3</v>
      </c>
      <c r="BI188">
        <v>2</v>
      </c>
      <c r="BJ188" t="s">
        <v>617</v>
      </c>
      <c r="BM188">
        <v>110011</v>
      </c>
      <c r="BN188">
        <v>0</v>
      </c>
      <c r="BO188" t="s">
        <v>6</v>
      </c>
      <c r="BP188">
        <v>0</v>
      </c>
      <c r="BQ188">
        <v>3</v>
      </c>
      <c r="BR188">
        <v>0</v>
      </c>
      <c r="BS188">
        <v>1</v>
      </c>
      <c r="BT188">
        <v>1</v>
      </c>
      <c r="BU188">
        <v>1</v>
      </c>
      <c r="BV188">
        <v>1</v>
      </c>
      <c r="BW188">
        <v>1</v>
      </c>
      <c r="BX188">
        <v>1</v>
      </c>
      <c r="BY188" t="s">
        <v>6</v>
      </c>
      <c r="BZ188">
        <v>80</v>
      </c>
      <c r="CA188">
        <v>60</v>
      </c>
      <c r="CE188">
        <v>0</v>
      </c>
      <c r="CF188">
        <v>0</v>
      </c>
      <c r="CG188">
        <v>0</v>
      </c>
      <c r="CM188">
        <v>0</v>
      </c>
      <c r="CN188" t="s">
        <v>6</v>
      </c>
      <c r="CO188">
        <v>0</v>
      </c>
      <c r="CP188">
        <f t="shared" si="171"/>
        <v>2734.33</v>
      </c>
      <c r="CQ188">
        <f t="shared" si="172"/>
        <v>942.87120000000004</v>
      </c>
      <c r="CR188">
        <f t="shared" si="173"/>
        <v>0</v>
      </c>
      <c r="CS188">
        <f t="shared" si="174"/>
        <v>0</v>
      </c>
      <c r="CT188">
        <f t="shared" si="175"/>
        <v>0</v>
      </c>
      <c r="CU188">
        <f t="shared" si="176"/>
        <v>0</v>
      </c>
      <c r="CV188">
        <f t="shared" si="177"/>
        <v>0</v>
      </c>
      <c r="CW188">
        <f t="shared" si="178"/>
        <v>0</v>
      </c>
      <c r="CX188">
        <f t="shared" si="179"/>
        <v>0</v>
      </c>
      <c r="CY188">
        <f t="shared" si="180"/>
        <v>0</v>
      </c>
      <c r="CZ188">
        <f t="shared" si="181"/>
        <v>0</v>
      </c>
      <c r="DC188" t="s">
        <v>6</v>
      </c>
      <c r="DD188" t="s">
        <v>6</v>
      </c>
      <c r="DE188" t="s">
        <v>6</v>
      </c>
      <c r="DF188" t="s">
        <v>6</v>
      </c>
      <c r="DG188" t="s">
        <v>6</v>
      </c>
      <c r="DH188" t="s">
        <v>6</v>
      </c>
      <c r="DI188" t="s">
        <v>6</v>
      </c>
      <c r="DJ188" t="s">
        <v>6</v>
      </c>
      <c r="DK188" t="s">
        <v>6</v>
      </c>
      <c r="DL188" t="s">
        <v>6</v>
      </c>
      <c r="DM188" t="s">
        <v>6</v>
      </c>
      <c r="DN188">
        <v>0</v>
      </c>
      <c r="DO188">
        <v>0</v>
      </c>
      <c r="DP188">
        <v>1</v>
      </c>
      <c r="DQ188">
        <v>1</v>
      </c>
      <c r="DU188">
        <v>1010</v>
      </c>
      <c r="DV188" t="s">
        <v>616</v>
      </c>
      <c r="DW188" t="s">
        <v>616</v>
      </c>
      <c r="DX188">
        <v>10</v>
      </c>
      <c r="EE188">
        <v>16609240</v>
      </c>
      <c r="EF188">
        <v>3</v>
      </c>
      <c r="EG188" t="s">
        <v>491</v>
      </c>
      <c r="EH188">
        <v>0</v>
      </c>
      <c r="EI188" t="s">
        <v>6</v>
      </c>
      <c r="EJ188">
        <v>2</v>
      </c>
      <c r="EK188">
        <v>110011</v>
      </c>
      <c r="EL188" t="s">
        <v>612</v>
      </c>
      <c r="EM188" t="s">
        <v>514</v>
      </c>
      <c r="EO188" t="s">
        <v>6</v>
      </c>
      <c r="EQ188">
        <v>0</v>
      </c>
      <c r="ER188">
        <v>132.24</v>
      </c>
      <c r="ES188">
        <v>132.24</v>
      </c>
      <c r="ET188">
        <v>0</v>
      </c>
      <c r="EU188">
        <v>0</v>
      </c>
      <c r="EV188">
        <v>0</v>
      </c>
      <c r="EW188">
        <v>0</v>
      </c>
      <c r="EX188">
        <v>0</v>
      </c>
      <c r="FQ188">
        <v>0</v>
      </c>
      <c r="FR188">
        <f t="shared" si="182"/>
        <v>0</v>
      </c>
      <c r="FS188">
        <v>0</v>
      </c>
      <c r="FX188">
        <v>80</v>
      </c>
      <c r="FY188">
        <v>60</v>
      </c>
      <c r="GA188" t="s">
        <v>6</v>
      </c>
      <c r="GD188">
        <v>0</v>
      </c>
      <c r="GF188">
        <v>-97677705</v>
      </c>
      <c r="GG188">
        <v>1</v>
      </c>
      <c r="GH188">
        <v>1</v>
      </c>
      <c r="GI188">
        <v>4</v>
      </c>
      <c r="GJ188">
        <v>0</v>
      </c>
      <c r="GK188">
        <f>ROUND(R188*(R12)/100,2)</f>
        <v>0</v>
      </c>
      <c r="GL188">
        <f t="shared" si="183"/>
        <v>0</v>
      </c>
      <c r="GM188">
        <f t="shared" si="184"/>
        <v>2734.33</v>
      </c>
      <c r="GN188">
        <f t="shared" si="185"/>
        <v>0</v>
      </c>
      <c r="GO188">
        <f t="shared" si="186"/>
        <v>2734.33</v>
      </c>
      <c r="GP188">
        <f t="shared" si="187"/>
        <v>0</v>
      </c>
      <c r="GR188">
        <v>0</v>
      </c>
      <c r="GS188">
        <v>3</v>
      </c>
      <c r="GT188">
        <v>0</v>
      </c>
      <c r="GU188" t="s">
        <v>6</v>
      </c>
      <c r="GV188">
        <f t="shared" si="188"/>
        <v>0</v>
      </c>
      <c r="GW188">
        <v>1</v>
      </c>
      <c r="GX188">
        <f t="shared" si="189"/>
        <v>0</v>
      </c>
      <c r="HA188">
        <v>0</v>
      </c>
      <c r="HB188">
        <v>0</v>
      </c>
      <c r="HC188">
        <f t="shared" si="190"/>
        <v>0</v>
      </c>
      <c r="IK188">
        <v>0</v>
      </c>
    </row>
    <row r="189" spans="1:245" x14ac:dyDescent="0.2">
      <c r="A189">
        <v>17</v>
      </c>
      <c r="B189">
        <v>1</v>
      </c>
      <c r="C189">
        <f>ROW(SmtRes!A428)</f>
        <v>428</v>
      </c>
      <c r="D189">
        <f>ROW(EtalonRes!A420)</f>
        <v>420</v>
      </c>
      <c r="E189" t="s">
        <v>618</v>
      </c>
      <c r="F189" t="s">
        <v>619</v>
      </c>
      <c r="G189" t="s">
        <v>620</v>
      </c>
      <c r="H189" t="s">
        <v>57</v>
      </c>
      <c r="I189">
        <f>ROUND(273/100,9)</f>
        <v>2.73</v>
      </c>
      <c r="J189">
        <v>0</v>
      </c>
      <c r="O189">
        <f t="shared" si="157"/>
        <v>987.26</v>
      </c>
      <c r="P189">
        <f t="shared" si="158"/>
        <v>264.72000000000003</v>
      </c>
      <c r="Q189">
        <f t="shared" si="159"/>
        <v>34.65</v>
      </c>
      <c r="R189">
        <f t="shared" si="160"/>
        <v>5.0599999999999996</v>
      </c>
      <c r="S189">
        <f t="shared" si="161"/>
        <v>687.89</v>
      </c>
      <c r="T189">
        <f t="shared" si="162"/>
        <v>0</v>
      </c>
      <c r="U189">
        <f t="shared" si="163"/>
        <v>10.264799999999999</v>
      </c>
      <c r="V189">
        <f t="shared" si="164"/>
        <v>5.4600000000000003E-2</v>
      </c>
      <c r="W189">
        <f t="shared" si="165"/>
        <v>0</v>
      </c>
      <c r="X189">
        <f t="shared" si="166"/>
        <v>658.3</v>
      </c>
      <c r="Y189">
        <f t="shared" si="167"/>
        <v>450.42</v>
      </c>
      <c r="AA189">
        <v>16630606</v>
      </c>
      <c r="AB189">
        <f t="shared" si="168"/>
        <v>50.72</v>
      </c>
      <c r="AC189">
        <f t="shared" si="193"/>
        <v>13.6</v>
      </c>
      <c r="AD189">
        <f t="shared" si="194"/>
        <v>1.78</v>
      </c>
      <c r="AE189">
        <f t="shared" si="195"/>
        <v>0.26</v>
      </c>
      <c r="AF189">
        <f t="shared" si="196"/>
        <v>35.340000000000003</v>
      </c>
      <c r="AG189">
        <f t="shared" si="169"/>
        <v>0</v>
      </c>
      <c r="AH189">
        <f t="shared" si="197"/>
        <v>3.76</v>
      </c>
      <c r="AI189">
        <f t="shared" si="198"/>
        <v>0.02</v>
      </c>
      <c r="AJ189">
        <f t="shared" si="170"/>
        <v>0</v>
      </c>
      <c r="AK189">
        <v>50.72</v>
      </c>
      <c r="AL189">
        <v>13.6</v>
      </c>
      <c r="AM189">
        <v>1.78</v>
      </c>
      <c r="AN189">
        <v>0.26</v>
      </c>
      <c r="AO189">
        <v>35.340000000000003</v>
      </c>
      <c r="AP189">
        <v>0</v>
      </c>
      <c r="AQ189">
        <v>3.76</v>
      </c>
      <c r="AR189">
        <v>0.02</v>
      </c>
      <c r="AS189">
        <v>0</v>
      </c>
      <c r="AT189">
        <v>95</v>
      </c>
      <c r="AU189">
        <v>65</v>
      </c>
      <c r="AV189">
        <v>1</v>
      </c>
      <c r="AW189">
        <v>1</v>
      </c>
      <c r="AZ189">
        <v>7.13</v>
      </c>
      <c r="BA189">
        <v>7.13</v>
      </c>
      <c r="BB189">
        <v>7.13</v>
      </c>
      <c r="BC189">
        <v>7.13</v>
      </c>
      <c r="BD189" t="s">
        <v>6</v>
      </c>
      <c r="BE189" t="s">
        <v>6</v>
      </c>
      <c r="BF189" t="s">
        <v>6</v>
      </c>
      <c r="BG189" t="s">
        <v>6</v>
      </c>
      <c r="BH189">
        <v>0</v>
      </c>
      <c r="BI189">
        <v>2</v>
      </c>
      <c r="BJ189" t="s">
        <v>621</v>
      </c>
      <c r="BM189">
        <v>108001</v>
      </c>
      <c r="BN189">
        <v>0</v>
      </c>
      <c r="BO189" t="s">
        <v>6</v>
      </c>
      <c r="BP189">
        <v>0</v>
      </c>
      <c r="BQ189">
        <v>3</v>
      </c>
      <c r="BR189">
        <v>0</v>
      </c>
      <c r="BS189">
        <v>7.13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6</v>
      </c>
      <c r="BZ189">
        <v>95</v>
      </c>
      <c r="CA189">
        <v>65</v>
      </c>
      <c r="CE189">
        <v>0</v>
      </c>
      <c r="CF189">
        <v>0</v>
      </c>
      <c r="CG189">
        <v>0</v>
      </c>
      <c r="CM189">
        <v>0</v>
      </c>
      <c r="CN189" t="s">
        <v>6</v>
      </c>
      <c r="CO189">
        <v>0</v>
      </c>
      <c r="CP189">
        <f t="shared" si="171"/>
        <v>987.26</v>
      </c>
      <c r="CQ189">
        <f t="shared" si="172"/>
        <v>96.967999999999989</v>
      </c>
      <c r="CR189">
        <f t="shared" si="173"/>
        <v>12.6914</v>
      </c>
      <c r="CS189">
        <f t="shared" si="174"/>
        <v>1.8538000000000001</v>
      </c>
      <c r="CT189">
        <f t="shared" si="175"/>
        <v>251.97420000000002</v>
      </c>
      <c r="CU189">
        <f t="shared" si="176"/>
        <v>0</v>
      </c>
      <c r="CV189">
        <f t="shared" si="177"/>
        <v>3.76</v>
      </c>
      <c r="CW189">
        <f t="shared" si="178"/>
        <v>0.02</v>
      </c>
      <c r="CX189">
        <f t="shared" si="179"/>
        <v>0</v>
      </c>
      <c r="CY189">
        <f t="shared" si="180"/>
        <v>658.30250000000001</v>
      </c>
      <c r="CZ189">
        <f t="shared" si="181"/>
        <v>450.4174999999999</v>
      </c>
      <c r="DC189" t="s">
        <v>6</v>
      </c>
      <c r="DD189" t="s">
        <v>6</v>
      </c>
      <c r="DE189" t="s">
        <v>6</v>
      </c>
      <c r="DF189" t="s">
        <v>6</v>
      </c>
      <c r="DG189" t="s">
        <v>6</v>
      </c>
      <c r="DH189" t="s">
        <v>6</v>
      </c>
      <c r="DI189" t="s">
        <v>6</v>
      </c>
      <c r="DJ189" t="s">
        <v>6</v>
      </c>
      <c r="DK189" t="s">
        <v>6</v>
      </c>
      <c r="DL189" t="s">
        <v>6</v>
      </c>
      <c r="DM189" t="s">
        <v>6</v>
      </c>
      <c r="DN189">
        <v>0</v>
      </c>
      <c r="DO189">
        <v>0</v>
      </c>
      <c r="DP189">
        <v>1</v>
      </c>
      <c r="DQ189">
        <v>1</v>
      </c>
      <c r="DU189">
        <v>1003</v>
      </c>
      <c r="DV189" t="s">
        <v>57</v>
      </c>
      <c r="DW189" t="s">
        <v>57</v>
      </c>
      <c r="DX189">
        <v>100</v>
      </c>
      <c r="EE189">
        <v>16609228</v>
      </c>
      <c r="EF189">
        <v>3</v>
      </c>
      <c r="EG189" t="s">
        <v>491</v>
      </c>
      <c r="EH189">
        <v>0</v>
      </c>
      <c r="EI189" t="s">
        <v>6</v>
      </c>
      <c r="EJ189">
        <v>2</v>
      </c>
      <c r="EK189">
        <v>108001</v>
      </c>
      <c r="EL189" t="s">
        <v>492</v>
      </c>
      <c r="EM189" t="s">
        <v>493</v>
      </c>
      <c r="EO189" t="s">
        <v>6</v>
      </c>
      <c r="EQ189">
        <v>131072</v>
      </c>
      <c r="ER189">
        <v>50.72</v>
      </c>
      <c r="ES189">
        <v>13.6</v>
      </c>
      <c r="ET189">
        <v>1.78</v>
      </c>
      <c r="EU189">
        <v>0.26</v>
      </c>
      <c r="EV189">
        <v>35.340000000000003</v>
      </c>
      <c r="EW189">
        <v>3.76</v>
      </c>
      <c r="EX189">
        <v>0.02</v>
      </c>
      <c r="EY189">
        <v>0</v>
      </c>
      <c r="FQ189">
        <v>0</v>
      </c>
      <c r="FR189">
        <f t="shared" si="182"/>
        <v>0</v>
      </c>
      <c r="FS189">
        <v>0</v>
      </c>
      <c r="FX189">
        <v>95</v>
      </c>
      <c r="FY189">
        <v>65</v>
      </c>
      <c r="GA189" t="s">
        <v>6</v>
      </c>
      <c r="GD189">
        <v>0</v>
      </c>
      <c r="GF189">
        <v>-1931944351</v>
      </c>
      <c r="GG189">
        <v>1</v>
      </c>
      <c r="GH189">
        <v>1</v>
      </c>
      <c r="GI189">
        <v>4</v>
      </c>
      <c r="GJ189">
        <v>0</v>
      </c>
      <c r="GK189">
        <f>ROUND(R189*(R12)/100,2)</f>
        <v>0</v>
      </c>
      <c r="GL189">
        <f t="shared" si="183"/>
        <v>0</v>
      </c>
      <c r="GM189">
        <f t="shared" si="184"/>
        <v>2095.98</v>
      </c>
      <c r="GN189">
        <f t="shared" si="185"/>
        <v>0</v>
      </c>
      <c r="GO189">
        <f t="shared" si="186"/>
        <v>2095.98</v>
      </c>
      <c r="GP189">
        <f t="shared" si="187"/>
        <v>0</v>
      </c>
      <c r="GR189">
        <v>0</v>
      </c>
      <c r="GS189">
        <v>3</v>
      </c>
      <c r="GT189">
        <v>0</v>
      </c>
      <c r="GU189" t="s">
        <v>6</v>
      </c>
      <c r="GV189">
        <f t="shared" si="188"/>
        <v>0</v>
      </c>
      <c r="GW189">
        <v>1</v>
      </c>
      <c r="GX189">
        <f t="shared" si="189"/>
        <v>0</v>
      </c>
      <c r="HA189">
        <v>0</v>
      </c>
      <c r="HB189">
        <v>0</v>
      </c>
      <c r="HC189">
        <f t="shared" si="190"/>
        <v>0</v>
      </c>
      <c r="IK189">
        <v>0</v>
      </c>
    </row>
    <row r="190" spans="1:245" x14ac:dyDescent="0.2">
      <c r="A190">
        <v>18</v>
      </c>
      <c r="B190">
        <v>1</v>
      </c>
      <c r="C190">
        <v>425</v>
      </c>
      <c r="E190" t="s">
        <v>622</v>
      </c>
      <c r="F190" t="s">
        <v>623</v>
      </c>
      <c r="G190" t="s">
        <v>624</v>
      </c>
      <c r="H190" t="s">
        <v>625</v>
      </c>
      <c r="I190">
        <f>I189*J190</f>
        <v>0.23100000000000001</v>
      </c>
      <c r="J190">
        <v>8.461538461538462E-2</v>
      </c>
      <c r="O190">
        <f t="shared" si="157"/>
        <v>11398.12</v>
      </c>
      <c r="P190">
        <f t="shared" si="158"/>
        <v>11398.12</v>
      </c>
      <c r="Q190">
        <f t="shared" si="159"/>
        <v>0</v>
      </c>
      <c r="R190">
        <f t="shared" si="160"/>
        <v>0</v>
      </c>
      <c r="S190">
        <f t="shared" si="161"/>
        <v>0</v>
      </c>
      <c r="T190">
        <f t="shared" si="162"/>
        <v>0</v>
      </c>
      <c r="U190">
        <f t="shared" si="163"/>
        <v>0</v>
      </c>
      <c r="V190">
        <f t="shared" si="164"/>
        <v>0</v>
      </c>
      <c r="W190">
        <f t="shared" si="165"/>
        <v>0</v>
      </c>
      <c r="X190">
        <f t="shared" si="166"/>
        <v>0</v>
      </c>
      <c r="Y190">
        <f t="shared" si="167"/>
        <v>0</v>
      </c>
      <c r="AA190">
        <v>16630606</v>
      </c>
      <c r="AB190">
        <f t="shared" si="168"/>
        <v>6920.41</v>
      </c>
      <c r="AC190">
        <f t="shared" si="193"/>
        <v>6920.41</v>
      </c>
      <c r="AD190">
        <f t="shared" si="194"/>
        <v>0</v>
      </c>
      <c r="AE190">
        <f t="shared" si="195"/>
        <v>0</v>
      </c>
      <c r="AF190">
        <f t="shared" si="196"/>
        <v>0</v>
      </c>
      <c r="AG190">
        <f t="shared" si="169"/>
        <v>0</v>
      </c>
      <c r="AH190">
        <f t="shared" si="197"/>
        <v>0</v>
      </c>
      <c r="AI190">
        <f t="shared" si="198"/>
        <v>0</v>
      </c>
      <c r="AJ190">
        <f t="shared" si="170"/>
        <v>0</v>
      </c>
      <c r="AK190">
        <v>6920.41</v>
      </c>
      <c r="AL190">
        <v>6920.41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95</v>
      </c>
      <c r="AU190">
        <v>65</v>
      </c>
      <c r="AV190">
        <v>1</v>
      </c>
      <c r="AW190">
        <v>1</v>
      </c>
      <c r="AZ190">
        <v>7.13</v>
      </c>
      <c r="BA190">
        <v>1</v>
      </c>
      <c r="BB190">
        <v>1</v>
      </c>
      <c r="BC190">
        <v>7.13</v>
      </c>
      <c r="BD190" t="s">
        <v>6</v>
      </c>
      <c r="BE190" t="s">
        <v>6</v>
      </c>
      <c r="BF190" t="s">
        <v>6</v>
      </c>
      <c r="BG190" t="s">
        <v>6</v>
      </c>
      <c r="BH190">
        <v>3</v>
      </c>
      <c r="BI190">
        <v>2</v>
      </c>
      <c r="BJ190" t="s">
        <v>626</v>
      </c>
      <c r="BM190">
        <v>108001</v>
      </c>
      <c r="BN190">
        <v>0</v>
      </c>
      <c r="BO190" t="s">
        <v>6</v>
      </c>
      <c r="BP190">
        <v>0</v>
      </c>
      <c r="BQ190">
        <v>3</v>
      </c>
      <c r="BR190">
        <v>0</v>
      </c>
      <c r="BS190">
        <v>1</v>
      </c>
      <c r="BT190">
        <v>1</v>
      </c>
      <c r="BU190">
        <v>1</v>
      </c>
      <c r="BV190">
        <v>1</v>
      </c>
      <c r="BW190">
        <v>1</v>
      </c>
      <c r="BX190">
        <v>1</v>
      </c>
      <c r="BY190" t="s">
        <v>6</v>
      </c>
      <c r="BZ190">
        <v>95</v>
      </c>
      <c r="CA190">
        <v>65</v>
      </c>
      <c r="CE190">
        <v>0</v>
      </c>
      <c r="CF190">
        <v>0</v>
      </c>
      <c r="CG190">
        <v>0</v>
      </c>
      <c r="CM190">
        <v>0</v>
      </c>
      <c r="CN190" t="s">
        <v>6</v>
      </c>
      <c r="CO190">
        <v>0</v>
      </c>
      <c r="CP190">
        <f t="shared" si="171"/>
        <v>11398.12</v>
      </c>
      <c r="CQ190">
        <f t="shared" si="172"/>
        <v>49342.523300000001</v>
      </c>
      <c r="CR190">
        <f t="shared" si="173"/>
        <v>0</v>
      </c>
      <c r="CS190">
        <f t="shared" si="174"/>
        <v>0</v>
      </c>
      <c r="CT190">
        <f t="shared" si="175"/>
        <v>0</v>
      </c>
      <c r="CU190">
        <f t="shared" si="176"/>
        <v>0</v>
      </c>
      <c r="CV190">
        <f t="shared" si="177"/>
        <v>0</v>
      </c>
      <c r="CW190">
        <f t="shared" si="178"/>
        <v>0</v>
      </c>
      <c r="CX190">
        <f t="shared" si="179"/>
        <v>0</v>
      </c>
      <c r="CY190">
        <f t="shared" si="180"/>
        <v>0</v>
      </c>
      <c r="CZ190">
        <f t="shared" si="181"/>
        <v>0</v>
      </c>
      <c r="DC190" t="s">
        <v>6</v>
      </c>
      <c r="DD190" t="s">
        <v>6</v>
      </c>
      <c r="DE190" t="s">
        <v>6</v>
      </c>
      <c r="DF190" t="s">
        <v>6</v>
      </c>
      <c r="DG190" t="s">
        <v>6</v>
      </c>
      <c r="DH190" t="s">
        <v>6</v>
      </c>
      <c r="DI190" t="s">
        <v>6</v>
      </c>
      <c r="DJ190" t="s">
        <v>6</v>
      </c>
      <c r="DK190" t="s">
        <v>6</v>
      </c>
      <c r="DL190" t="s">
        <v>6</v>
      </c>
      <c r="DM190" t="s">
        <v>6</v>
      </c>
      <c r="DN190">
        <v>0</v>
      </c>
      <c r="DO190">
        <v>0</v>
      </c>
      <c r="DP190">
        <v>1</v>
      </c>
      <c r="DQ190">
        <v>1</v>
      </c>
      <c r="DU190">
        <v>1013</v>
      </c>
      <c r="DV190" t="s">
        <v>625</v>
      </c>
      <c r="DW190" t="s">
        <v>627</v>
      </c>
      <c r="DX190">
        <v>1</v>
      </c>
      <c r="EE190">
        <v>16609228</v>
      </c>
      <c r="EF190">
        <v>3</v>
      </c>
      <c r="EG190" t="s">
        <v>491</v>
      </c>
      <c r="EH190">
        <v>0</v>
      </c>
      <c r="EI190" t="s">
        <v>6</v>
      </c>
      <c r="EJ190">
        <v>2</v>
      </c>
      <c r="EK190">
        <v>108001</v>
      </c>
      <c r="EL190" t="s">
        <v>492</v>
      </c>
      <c r="EM190" t="s">
        <v>493</v>
      </c>
      <c r="EO190" t="s">
        <v>6</v>
      </c>
      <c r="EQ190">
        <v>0</v>
      </c>
      <c r="ER190">
        <v>6920.41</v>
      </c>
      <c r="ES190">
        <v>6920.41</v>
      </c>
      <c r="ET190">
        <v>0</v>
      </c>
      <c r="EU190">
        <v>0</v>
      </c>
      <c r="EV190">
        <v>0</v>
      </c>
      <c r="EW190">
        <v>0</v>
      </c>
      <c r="EX190">
        <v>0</v>
      </c>
      <c r="FQ190">
        <v>0</v>
      </c>
      <c r="FR190">
        <f t="shared" si="182"/>
        <v>0</v>
      </c>
      <c r="FS190">
        <v>0</v>
      </c>
      <c r="FX190">
        <v>95</v>
      </c>
      <c r="FY190">
        <v>65</v>
      </c>
      <c r="GA190" t="s">
        <v>6</v>
      </c>
      <c r="GD190">
        <v>0</v>
      </c>
      <c r="GF190">
        <v>559331636</v>
      </c>
      <c r="GG190">
        <v>1</v>
      </c>
      <c r="GH190">
        <v>1</v>
      </c>
      <c r="GI190">
        <v>4</v>
      </c>
      <c r="GJ190">
        <v>0</v>
      </c>
      <c r="GK190">
        <f>ROUND(R190*(R12)/100,2)</f>
        <v>0</v>
      </c>
      <c r="GL190">
        <f t="shared" si="183"/>
        <v>0</v>
      </c>
      <c r="GM190">
        <f t="shared" si="184"/>
        <v>11398.12</v>
      </c>
      <c r="GN190">
        <f t="shared" si="185"/>
        <v>0</v>
      </c>
      <c r="GO190">
        <f t="shared" si="186"/>
        <v>11398.12</v>
      </c>
      <c r="GP190">
        <f t="shared" si="187"/>
        <v>0</v>
      </c>
      <c r="GR190">
        <v>0</v>
      </c>
      <c r="GS190">
        <v>3</v>
      </c>
      <c r="GT190">
        <v>0</v>
      </c>
      <c r="GU190" t="s">
        <v>6</v>
      </c>
      <c r="GV190">
        <f t="shared" si="188"/>
        <v>0</v>
      </c>
      <c r="GW190">
        <v>1</v>
      </c>
      <c r="GX190">
        <f t="shared" si="189"/>
        <v>0</v>
      </c>
      <c r="HA190">
        <v>0</v>
      </c>
      <c r="HB190">
        <v>0</v>
      </c>
      <c r="HC190">
        <f t="shared" si="190"/>
        <v>0</v>
      </c>
      <c r="IK190">
        <v>0</v>
      </c>
    </row>
    <row r="191" spans="1:245" x14ac:dyDescent="0.2">
      <c r="A191">
        <v>18</v>
      </c>
      <c r="B191">
        <v>1</v>
      </c>
      <c r="C191">
        <v>426</v>
      </c>
      <c r="E191" t="s">
        <v>628</v>
      </c>
      <c r="F191" t="s">
        <v>629</v>
      </c>
      <c r="G191" t="s">
        <v>630</v>
      </c>
      <c r="H191" t="s">
        <v>625</v>
      </c>
      <c r="I191">
        <f>I189*J191</f>
        <v>0.02</v>
      </c>
      <c r="J191">
        <v>7.326007326007326E-3</v>
      </c>
      <c r="O191">
        <f t="shared" ref="O191:O210" si="199">ROUND(CP191,2)</f>
        <v>2242.7800000000002</v>
      </c>
      <c r="P191">
        <f t="shared" ref="P191:P210" si="200">ROUND(CQ191*I191,2)</f>
        <v>2242.7800000000002</v>
      </c>
      <c r="Q191">
        <f t="shared" ref="Q191:Q210" si="201">ROUND(CR191*I191,2)</f>
        <v>0</v>
      </c>
      <c r="R191">
        <f t="shared" ref="R191:R210" si="202">ROUND(CS191*I191,2)</f>
        <v>0</v>
      </c>
      <c r="S191">
        <f t="shared" ref="S191:S210" si="203">ROUND(CT191*I191,2)</f>
        <v>0</v>
      </c>
      <c r="T191">
        <f t="shared" ref="T191:T210" si="204">ROUND(CU191*I191,2)</f>
        <v>0</v>
      </c>
      <c r="U191">
        <f t="shared" ref="U191:U210" si="205">CV191*I191</f>
        <v>0</v>
      </c>
      <c r="V191">
        <f t="shared" ref="V191:V210" si="206">CW191*I191</f>
        <v>0</v>
      </c>
      <c r="W191">
        <f t="shared" ref="W191:W210" si="207">ROUND(CX191*I191,2)</f>
        <v>0</v>
      </c>
      <c r="X191">
        <f t="shared" ref="X191:X210" si="208">ROUND(CY191,2)</f>
        <v>0</v>
      </c>
      <c r="Y191">
        <f t="shared" ref="Y191:Y210" si="209">ROUND(CZ191,2)</f>
        <v>0</v>
      </c>
      <c r="AA191">
        <v>16630606</v>
      </c>
      <c r="AB191">
        <f t="shared" ref="AB191:AB210" si="210">ROUND((AC191+AD191+AF191),2)</f>
        <v>15727.78</v>
      </c>
      <c r="AC191">
        <f t="shared" si="193"/>
        <v>15727.78</v>
      </c>
      <c r="AD191">
        <f t="shared" si="194"/>
        <v>0</v>
      </c>
      <c r="AE191">
        <f t="shared" si="195"/>
        <v>0</v>
      </c>
      <c r="AF191">
        <f t="shared" si="196"/>
        <v>0</v>
      </c>
      <c r="AG191">
        <f t="shared" ref="AG191:AG210" si="211">ROUND((AP191),2)</f>
        <v>0</v>
      </c>
      <c r="AH191">
        <f t="shared" si="197"/>
        <v>0</v>
      </c>
      <c r="AI191">
        <f t="shared" si="198"/>
        <v>0</v>
      </c>
      <c r="AJ191">
        <f t="shared" ref="AJ191:AJ210" si="212">(AS191)</f>
        <v>0</v>
      </c>
      <c r="AK191">
        <v>15727.78</v>
      </c>
      <c r="AL191">
        <v>15727.78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95</v>
      </c>
      <c r="AU191">
        <v>65</v>
      </c>
      <c r="AV191">
        <v>1</v>
      </c>
      <c r="AW191">
        <v>1</v>
      </c>
      <c r="AZ191">
        <v>7.13</v>
      </c>
      <c r="BA191">
        <v>1</v>
      </c>
      <c r="BB191">
        <v>1</v>
      </c>
      <c r="BC191">
        <v>7.13</v>
      </c>
      <c r="BD191" t="s">
        <v>6</v>
      </c>
      <c r="BE191" t="s">
        <v>6</v>
      </c>
      <c r="BF191" t="s">
        <v>6</v>
      </c>
      <c r="BG191" t="s">
        <v>6</v>
      </c>
      <c r="BH191">
        <v>3</v>
      </c>
      <c r="BI191">
        <v>2</v>
      </c>
      <c r="BJ191" t="s">
        <v>631</v>
      </c>
      <c r="BM191">
        <v>108001</v>
      </c>
      <c r="BN191">
        <v>0</v>
      </c>
      <c r="BO191" t="s">
        <v>6</v>
      </c>
      <c r="BP191">
        <v>0</v>
      </c>
      <c r="BQ191">
        <v>3</v>
      </c>
      <c r="BR191">
        <v>0</v>
      </c>
      <c r="BS191">
        <v>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6</v>
      </c>
      <c r="BZ191">
        <v>95</v>
      </c>
      <c r="CA191">
        <v>65</v>
      </c>
      <c r="CE191">
        <v>0</v>
      </c>
      <c r="CF191">
        <v>0</v>
      </c>
      <c r="CG191">
        <v>0</v>
      </c>
      <c r="CM191">
        <v>0</v>
      </c>
      <c r="CN191" t="s">
        <v>6</v>
      </c>
      <c r="CO191">
        <v>0</v>
      </c>
      <c r="CP191">
        <f t="shared" ref="CP191:CP210" si="213">(P191+Q191+S191)</f>
        <v>2242.7800000000002</v>
      </c>
      <c r="CQ191">
        <f t="shared" ref="CQ191:CQ210" si="214">AC191*BC191</f>
        <v>112139.0714</v>
      </c>
      <c r="CR191">
        <f t="shared" ref="CR191:CR210" si="215">AD191*BB191</f>
        <v>0</v>
      </c>
      <c r="CS191">
        <f t="shared" ref="CS191:CS210" si="216">AE191*BS191</f>
        <v>0</v>
      </c>
      <c r="CT191">
        <f t="shared" ref="CT191:CT210" si="217">AF191*BA191</f>
        <v>0</v>
      </c>
      <c r="CU191">
        <f t="shared" ref="CU191:CU210" si="218">AG191</f>
        <v>0</v>
      </c>
      <c r="CV191">
        <f t="shared" ref="CV191:CV210" si="219">AH191</f>
        <v>0</v>
      </c>
      <c r="CW191">
        <f t="shared" ref="CW191:CW210" si="220">AI191</f>
        <v>0</v>
      </c>
      <c r="CX191">
        <f t="shared" ref="CX191:CX210" si="221">AJ191</f>
        <v>0</v>
      </c>
      <c r="CY191">
        <f t="shared" ref="CY191:CY210" si="222">(((S191+R191)*AT191)/100)</f>
        <v>0</v>
      </c>
      <c r="CZ191">
        <f t="shared" ref="CZ191:CZ210" si="223">(((S191+R191)*AU191)/100)</f>
        <v>0</v>
      </c>
      <c r="DC191" t="s">
        <v>6</v>
      </c>
      <c r="DD191" t="s">
        <v>6</v>
      </c>
      <c r="DE191" t="s">
        <v>6</v>
      </c>
      <c r="DF191" t="s">
        <v>6</v>
      </c>
      <c r="DG191" t="s">
        <v>6</v>
      </c>
      <c r="DH191" t="s">
        <v>6</v>
      </c>
      <c r="DI191" t="s">
        <v>6</v>
      </c>
      <c r="DJ191" t="s">
        <v>6</v>
      </c>
      <c r="DK191" t="s">
        <v>6</v>
      </c>
      <c r="DL191" t="s">
        <v>6</v>
      </c>
      <c r="DM191" t="s">
        <v>6</v>
      </c>
      <c r="DN191">
        <v>0</v>
      </c>
      <c r="DO191">
        <v>0</v>
      </c>
      <c r="DP191">
        <v>1</v>
      </c>
      <c r="DQ191">
        <v>1</v>
      </c>
      <c r="DU191">
        <v>1013</v>
      </c>
      <c r="DV191" t="s">
        <v>625</v>
      </c>
      <c r="DW191" t="s">
        <v>627</v>
      </c>
      <c r="DX191">
        <v>1</v>
      </c>
      <c r="EE191">
        <v>16609228</v>
      </c>
      <c r="EF191">
        <v>3</v>
      </c>
      <c r="EG191" t="s">
        <v>491</v>
      </c>
      <c r="EH191">
        <v>0</v>
      </c>
      <c r="EI191" t="s">
        <v>6</v>
      </c>
      <c r="EJ191">
        <v>2</v>
      </c>
      <c r="EK191">
        <v>108001</v>
      </c>
      <c r="EL191" t="s">
        <v>492</v>
      </c>
      <c r="EM191" t="s">
        <v>493</v>
      </c>
      <c r="EO191" t="s">
        <v>6</v>
      </c>
      <c r="EQ191">
        <v>0</v>
      </c>
      <c r="ER191">
        <v>15727.78</v>
      </c>
      <c r="ES191">
        <v>15727.78</v>
      </c>
      <c r="ET191">
        <v>0</v>
      </c>
      <c r="EU191">
        <v>0</v>
      </c>
      <c r="EV191">
        <v>0</v>
      </c>
      <c r="EW191">
        <v>0</v>
      </c>
      <c r="EX191">
        <v>0</v>
      </c>
      <c r="FQ191">
        <v>0</v>
      </c>
      <c r="FR191">
        <f t="shared" ref="FR191:FR210" si="224">ROUND(IF(AND(BH191=3,BI191=3),P191,0),2)</f>
        <v>0</v>
      </c>
      <c r="FS191">
        <v>0</v>
      </c>
      <c r="FX191">
        <v>95</v>
      </c>
      <c r="FY191">
        <v>65</v>
      </c>
      <c r="GA191" t="s">
        <v>6</v>
      </c>
      <c r="GD191">
        <v>0</v>
      </c>
      <c r="GF191">
        <v>1133142782</v>
      </c>
      <c r="GG191">
        <v>1</v>
      </c>
      <c r="GH191">
        <v>1</v>
      </c>
      <c r="GI191">
        <v>4</v>
      </c>
      <c r="GJ191">
        <v>0</v>
      </c>
      <c r="GK191">
        <f>ROUND(R191*(R12)/100,2)</f>
        <v>0</v>
      </c>
      <c r="GL191">
        <f t="shared" ref="GL191:GL210" si="225">ROUND(IF(AND(BH191=3,BI191=3,FS191&lt;&gt;0),P191,0),2)</f>
        <v>0</v>
      </c>
      <c r="GM191">
        <f t="shared" ref="GM191:GM210" si="226">ROUND(O191+X191+Y191+GK191,2)+GX191</f>
        <v>2242.7800000000002</v>
      </c>
      <c r="GN191">
        <f t="shared" ref="GN191:GN210" si="227">IF(OR(BI191=0,BI191=1),ROUND(O191+X191+Y191+GK191,2),0)</f>
        <v>0</v>
      </c>
      <c r="GO191">
        <f t="shared" ref="GO191:GO210" si="228">IF(BI191=2,ROUND(O191+X191+Y191+GK191,2),0)</f>
        <v>2242.7800000000002</v>
      </c>
      <c r="GP191">
        <f t="shared" ref="GP191:GP210" si="229">IF(BI191=4,ROUND(O191+X191+Y191+GK191,2)+GX191,0)</f>
        <v>0</v>
      </c>
      <c r="GR191">
        <v>0</v>
      </c>
      <c r="GS191">
        <v>3</v>
      </c>
      <c r="GT191">
        <v>0</v>
      </c>
      <c r="GU191" t="s">
        <v>6</v>
      </c>
      <c r="GV191">
        <f t="shared" ref="GV191:GV210" si="230">ROUND((GT191),2)</f>
        <v>0</v>
      </c>
      <c r="GW191">
        <v>1</v>
      </c>
      <c r="GX191">
        <f t="shared" ref="GX191:GX210" si="231">ROUND(HC191*I191,2)</f>
        <v>0</v>
      </c>
      <c r="HA191">
        <v>0</v>
      </c>
      <c r="HB191">
        <v>0</v>
      </c>
      <c r="HC191">
        <f t="shared" ref="HC191:HC210" si="232">GV191*GW191</f>
        <v>0</v>
      </c>
      <c r="IK191">
        <v>0</v>
      </c>
    </row>
    <row r="192" spans="1:245" x14ac:dyDescent="0.2">
      <c r="A192">
        <v>18</v>
      </c>
      <c r="B192">
        <v>1</v>
      </c>
      <c r="C192">
        <v>427</v>
      </c>
      <c r="E192" t="s">
        <v>632</v>
      </c>
      <c r="F192" t="s">
        <v>633</v>
      </c>
      <c r="G192" t="s">
        <v>634</v>
      </c>
      <c r="H192" t="s">
        <v>625</v>
      </c>
      <c r="I192">
        <f>I189*J192</f>
        <v>2.1999999999999999E-2</v>
      </c>
      <c r="J192">
        <v>8.0586080586080577E-3</v>
      </c>
      <c r="O192">
        <f t="shared" si="199"/>
        <v>4367.4799999999996</v>
      </c>
      <c r="P192">
        <f t="shared" si="200"/>
        <v>4367.4799999999996</v>
      </c>
      <c r="Q192">
        <f t="shared" si="201"/>
        <v>0</v>
      </c>
      <c r="R192">
        <f t="shared" si="202"/>
        <v>0</v>
      </c>
      <c r="S192">
        <f t="shared" si="203"/>
        <v>0</v>
      </c>
      <c r="T192">
        <f t="shared" si="204"/>
        <v>0</v>
      </c>
      <c r="U192">
        <f t="shared" si="205"/>
        <v>0</v>
      </c>
      <c r="V192">
        <f t="shared" si="206"/>
        <v>0</v>
      </c>
      <c r="W192">
        <f t="shared" si="207"/>
        <v>0</v>
      </c>
      <c r="X192">
        <f t="shared" si="208"/>
        <v>0</v>
      </c>
      <c r="Y192">
        <f t="shared" si="209"/>
        <v>0</v>
      </c>
      <c r="AA192">
        <v>16630606</v>
      </c>
      <c r="AB192">
        <f t="shared" si="210"/>
        <v>27843.17</v>
      </c>
      <c r="AC192">
        <f t="shared" si="193"/>
        <v>27843.17</v>
      </c>
      <c r="AD192">
        <f t="shared" si="194"/>
        <v>0</v>
      </c>
      <c r="AE192">
        <f t="shared" si="195"/>
        <v>0</v>
      </c>
      <c r="AF192">
        <f t="shared" si="196"/>
        <v>0</v>
      </c>
      <c r="AG192">
        <f t="shared" si="211"/>
        <v>0</v>
      </c>
      <c r="AH192">
        <f t="shared" si="197"/>
        <v>0</v>
      </c>
      <c r="AI192">
        <f t="shared" si="198"/>
        <v>0</v>
      </c>
      <c r="AJ192">
        <f t="shared" si="212"/>
        <v>0</v>
      </c>
      <c r="AK192">
        <v>27843.17</v>
      </c>
      <c r="AL192">
        <v>27843.17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95</v>
      </c>
      <c r="AU192">
        <v>65</v>
      </c>
      <c r="AV192">
        <v>1</v>
      </c>
      <c r="AW192">
        <v>1</v>
      </c>
      <c r="AZ192">
        <v>7.13</v>
      </c>
      <c r="BA192">
        <v>1</v>
      </c>
      <c r="BB192">
        <v>1</v>
      </c>
      <c r="BC192">
        <v>7.13</v>
      </c>
      <c r="BD192" t="s">
        <v>6</v>
      </c>
      <c r="BE192" t="s">
        <v>6</v>
      </c>
      <c r="BF192" t="s">
        <v>6</v>
      </c>
      <c r="BG192" t="s">
        <v>6</v>
      </c>
      <c r="BH192">
        <v>3</v>
      </c>
      <c r="BI192">
        <v>2</v>
      </c>
      <c r="BJ192" t="s">
        <v>635</v>
      </c>
      <c r="BM192">
        <v>108001</v>
      </c>
      <c r="BN192">
        <v>0</v>
      </c>
      <c r="BO192" t="s">
        <v>6</v>
      </c>
      <c r="BP192">
        <v>0</v>
      </c>
      <c r="BQ192">
        <v>3</v>
      </c>
      <c r="BR192">
        <v>0</v>
      </c>
      <c r="BS192">
        <v>1</v>
      </c>
      <c r="BT192">
        <v>1</v>
      </c>
      <c r="BU192">
        <v>1</v>
      </c>
      <c r="BV192">
        <v>1</v>
      </c>
      <c r="BW192">
        <v>1</v>
      </c>
      <c r="BX192">
        <v>1</v>
      </c>
      <c r="BY192" t="s">
        <v>6</v>
      </c>
      <c r="BZ192">
        <v>95</v>
      </c>
      <c r="CA192">
        <v>65</v>
      </c>
      <c r="CE192">
        <v>0</v>
      </c>
      <c r="CF192">
        <v>0</v>
      </c>
      <c r="CG192">
        <v>0</v>
      </c>
      <c r="CM192">
        <v>0</v>
      </c>
      <c r="CN192" t="s">
        <v>6</v>
      </c>
      <c r="CO192">
        <v>0</v>
      </c>
      <c r="CP192">
        <f t="shared" si="213"/>
        <v>4367.4799999999996</v>
      </c>
      <c r="CQ192">
        <f t="shared" si="214"/>
        <v>198521.80209999997</v>
      </c>
      <c r="CR192">
        <f t="shared" si="215"/>
        <v>0</v>
      </c>
      <c r="CS192">
        <f t="shared" si="216"/>
        <v>0</v>
      </c>
      <c r="CT192">
        <f t="shared" si="217"/>
        <v>0</v>
      </c>
      <c r="CU192">
        <f t="shared" si="218"/>
        <v>0</v>
      </c>
      <c r="CV192">
        <f t="shared" si="219"/>
        <v>0</v>
      </c>
      <c r="CW192">
        <f t="shared" si="220"/>
        <v>0</v>
      </c>
      <c r="CX192">
        <f t="shared" si="221"/>
        <v>0</v>
      </c>
      <c r="CY192">
        <f t="shared" si="222"/>
        <v>0</v>
      </c>
      <c r="CZ192">
        <f t="shared" si="223"/>
        <v>0</v>
      </c>
      <c r="DC192" t="s">
        <v>6</v>
      </c>
      <c r="DD192" t="s">
        <v>6</v>
      </c>
      <c r="DE192" t="s">
        <v>6</v>
      </c>
      <c r="DF192" t="s">
        <v>6</v>
      </c>
      <c r="DG192" t="s">
        <v>6</v>
      </c>
      <c r="DH192" t="s">
        <v>6</v>
      </c>
      <c r="DI192" t="s">
        <v>6</v>
      </c>
      <c r="DJ192" t="s">
        <v>6</v>
      </c>
      <c r="DK192" t="s">
        <v>6</v>
      </c>
      <c r="DL192" t="s">
        <v>6</v>
      </c>
      <c r="DM192" t="s">
        <v>6</v>
      </c>
      <c r="DN192">
        <v>0</v>
      </c>
      <c r="DO192">
        <v>0</v>
      </c>
      <c r="DP192">
        <v>1</v>
      </c>
      <c r="DQ192">
        <v>1</v>
      </c>
      <c r="DU192">
        <v>1013</v>
      </c>
      <c r="DV192" t="s">
        <v>625</v>
      </c>
      <c r="DW192" t="s">
        <v>627</v>
      </c>
      <c r="DX192">
        <v>1</v>
      </c>
      <c r="EE192">
        <v>16609228</v>
      </c>
      <c r="EF192">
        <v>3</v>
      </c>
      <c r="EG192" t="s">
        <v>491</v>
      </c>
      <c r="EH192">
        <v>0</v>
      </c>
      <c r="EI192" t="s">
        <v>6</v>
      </c>
      <c r="EJ192">
        <v>2</v>
      </c>
      <c r="EK192">
        <v>108001</v>
      </c>
      <c r="EL192" t="s">
        <v>492</v>
      </c>
      <c r="EM192" t="s">
        <v>493</v>
      </c>
      <c r="EO192" t="s">
        <v>6</v>
      </c>
      <c r="EQ192">
        <v>0</v>
      </c>
      <c r="ER192">
        <v>27843.17</v>
      </c>
      <c r="ES192">
        <v>27843.17</v>
      </c>
      <c r="ET192">
        <v>0</v>
      </c>
      <c r="EU192">
        <v>0</v>
      </c>
      <c r="EV192">
        <v>0</v>
      </c>
      <c r="EW192">
        <v>0</v>
      </c>
      <c r="EX192">
        <v>0</v>
      </c>
      <c r="FQ192">
        <v>0</v>
      </c>
      <c r="FR192">
        <f t="shared" si="224"/>
        <v>0</v>
      </c>
      <c r="FS192">
        <v>0</v>
      </c>
      <c r="FX192">
        <v>95</v>
      </c>
      <c r="FY192">
        <v>65</v>
      </c>
      <c r="GA192" t="s">
        <v>6</v>
      </c>
      <c r="GD192">
        <v>0</v>
      </c>
      <c r="GF192">
        <v>-2023930569</v>
      </c>
      <c r="GG192">
        <v>1</v>
      </c>
      <c r="GH192">
        <v>1</v>
      </c>
      <c r="GI192">
        <v>4</v>
      </c>
      <c r="GJ192">
        <v>0</v>
      </c>
      <c r="GK192">
        <f>ROUND(R192*(R12)/100,2)</f>
        <v>0</v>
      </c>
      <c r="GL192">
        <f t="shared" si="225"/>
        <v>0</v>
      </c>
      <c r="GM192">
        <f t="shared" si="226"/>
        <v>4367.4799999999996</v>
      </c>
      <c r="GN192">
        <f t="shared" si="227"/>
        <v>0</v>
      </c>
      <c r="GO192">
        <f t="shared" si="228"/>
        <v>4367.4799999999996</v>
      </c>
      <c r="GP192">
        <f t="shared" si="229"/>
        <v>0</v>
      </c>
      <c r="GR192">
        <v>0</v>
      </c>
      <c r="GS192">
        <v>3</v>
      </c>
      <c r="GT192">
        <v>0</v>
      </c>
      <c r="GU192" t="s">
        <v>6</v>
      </c>
      <c r="GV192">
        <f t="shared" si="230"/>
        <v>0</v>
      </c>
      <c r="GW192">
        <v>1</v>
      </c>
      <c r="GX192">
        <f t="shared" si="231"/>
        <v>0</v>
      </c>
      <c r="HA192">
        <v>0</v>
      </c>
      <c r="HB192">
        <v>0</v>
      </c>
      <c r="HC192">
        <f t="shared" si="232"/>
        <v>0</v>
      </c>
      <c r="IK192">
        <v>0</v>
      </c>
    </row>
    <row r="193" spans="1:245" x14ac:dyDescent="0.2">
      <c r="A193">
        <v>17</v>
      </c>
      <c r="B193">
        <v>1</v>
      </c>
      <c r="C193">
        <f>ROW(SmtRes!A437)</f>
        <v>437</v>
      </c>
      <c r="D193">
        <f>ROW(EtalonRes!A428)</f>
        <v>428</v>
      </c>
      <c r="E193" t="s">
        <v>636</v>
      </c>
      <c r="F193" t="s">
        <v>637</v>
      </c>
      <c r="G193" t="s">
        <v>638</v>
      </c>
      <c r="H193" t="s">
        <v>57</v>
      </c>
      <c r="I193">
        <f>ROUND(166.5/100,9)</f>
        <v>1.665</v>
      </c>
      <c r="J193">
        <v>0</v>
      </c>
      <c r="O193">
        <f t="shared" si="199"/>
        <v>488.03</v>
      </c>
      <c r="P193">
        <f t="shared" si="200"/>
        <v>152.19</v>
      </c>
      <c r="Q193">
        <f t="shared" si="201"/>
        <v>21.13</v>
      </c>
      <c r="R193">
        <f t="shared" si="202"/>
        <v>3.09</v>
      </c>
      <c r="S193">
        <f t="shared" si="203"/>
        <v>314.70999999999998</v>
      </c>
      <c r="T193">
        <f t="shared" si="204"/>
        <v>0</v>
      </c>
      <c r="U193">
        <f t="shared" si="205"/>
        <v>4.6952999999999996</v>
      </c>
      <c r="V193">
        <f t="shared" si="206"/>
        <v>3.3300000000000003E-2</v>
      </c>
      <c r="W193">
        <f t="shared" si="207"/>
        <v>0</v>
      </c>
      <c r="X193">
        <f t="shared" si="208"/>
        <v>301.91000000000003</v>
      </c>
      <c r="Y193">
        <f t="shared" si="209"/>
        <v>206.57</v>
      </c>
      <c r="AA193">
        <v>16630606</v>
      </c>
      <c r="AB193">
        <f t="shared" si="210"/>
        <v>41.11</v>
      </c>
      <c r="AC193">
        <f t="shared" si="193"/>
        <v>12.82</v>
      </c>
      <c r="AD193">
        <f t="shared" si="194"/>
        <v>1.78</v>
      </c>
      <c r="AE193">
        <f t="shared" si="195"/>
        <v>0.26</v>
      </c>
      <c r="AF193">
        <f t="shared" si="196"/>
        <v>26.51</v>
      </c>
      <c r="AG193">
        <f t="shared" si="211"/>
        <v>0</v>
      </c>
      <c r="AH193">
        <f t="shared" si="197"/>
        <v>2.82</v>
      </c>
      <c r="AI193">
        <f t="shared" si="198"/>
        <v>0.02</v>
      </c>
      <c r="AJ193">
        <f t="shared" si="212"/>
        <v>0</v>
      </c>
      <c r="AK193">
        <v>41.11</v>
      </c>
      <c r="AL193">
        <v>12.82</v>
      </c>
      <c r="AM193">
        <v>1.78</v>
      </c>
      <c r="AN193">
        <v>0.26</v>
      </c>
      <c r="AO193">
        <v>26.51</v>
      </c>
      <c r="AP193">
        <v>0</v>
      </c>
      <c r="AQ193">
        <v>2.82</v>
      </c>
      <c r="AR193">
        <v>0.02</v>
      </c>
      <c r="AS193">
        <v>0</v>
      </c>
      <c r="AT193">
        <v>95</v>
      </c>
      <c r="AU193">
        <v>65</v>
      </c>
      <c r="AV193">
        <v>1</v>
      </c>
      <c r="AW193">
        <v>1</v>
      </c>
      <c r="AZ193">
        <v>7.13</v>
      </c>
      <c r="BA193">
        <v>7.13</v>
      </c>
      <c r="BB193">
        <v>7.13</v>
      </c>
      <c r="BC193">
        <v>7.13</v>
      </c>
      <c r="BD193" t="s">
        <v>6</v>
      </c>
      <c r="BE193" t="s">
        <v>6</v>
      </c>
      <c r="BF193" t="s">
        <v>6</v>
      </c>
      <c r="BG193" t="s">
        <v>6</v>
      </c>
      <c r="BH193">
        <v>0</v>
      </c>
      <c r="BI193">
        <v>2</v>
      </c>
      <c r="BJ193" t="s">
        <v>639</v>
      </c>
      <c r="BM193">
        <v>108001</v>
      </c>
      <c r="BN193">
        <v>0</v>
      </c>
      <c r="BO193" t="s">
        <v>6</v>
      </c>
      <c r="BP193">
        <v>0</v>
      </c>
      <c r="BQ193">
        <v>3</v>
      </c>
      <c r="BR193">
        <v>0</v>
      </c>
      <c r="BS193">
        <v>7.13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6</v>
      </c>
      <c r="BZ193">
        <v>95</v>
      </c>
      <c r="CA193">
        <v>65</v>
      </c>
      <c r="CE193">
        <v>0</v>
      </c>
      <c r="CF193">
        <v>0</v>
      </c>
      <c r="CG193">
        <v>0</v>
      </c>
      <c r="CM193">
        <v>0</v>
      </c>
      <c r="CN193" t="s">
        <v>6</v>
      </c>
      <c r="CO193">
        <v>0</v>
      </c>
      <c r="CP193">
        <f t="shared" si="213"/>
        <v>488.03</v>
      </c>
      <c r="CQ193">
        <f t="shared" si="214"/>
        <v>91.406599999999997</v>
      </c>
      <c r="CR193">
        <f t="shared" si="215"/>
        <v>12.6914</v>
      </c>
      <c r="CS193">
        <f t="shared" si="216"/>
        <v>1.8538000000000001</v>
      </c>
      <c r="CT193">
        <f t="shared" si="217"/>
        <v>189.0163</v>
      </c>
      <c r="CU193">
        <f t="shared" si="218"/>
        <v>0</v>
      </c>
      <c r="CV193">
        <f t="shared" si="219"/>
        <v>2.82</v>
      </c>
      <c r="CW193">
        <f t="shared" si="220"/>
        <v>0.02</v>
      </c>
      <c r="CX193">
        <f t="shared" si="221"/>
        <v>0</v>
      </c>
      <c r="CY193">
        <f t="shared" si="222"/>
        <v>301.90999999999997</v>
      </c>
      <c r="CZ193">
        <f t="shared" si="223"/>
        <v>206.56999999999996</v>
      </c>
      <c r="DC193" t="s">
        <v>6</v>
      </c>
      <c r="DD193" t="s">
        <v>6</v>
      </c>
      <c r="DE193" t="s">
        <v>6</v>
      </c>
      <c r="DF193" t="s">
        <v>6</v>
      </c>
      <c r="DG193" t="s">
        <v>6</v>
      </c>
      <c r="DH193" t="s">
        <v>6</v>
      </c>
      <c r="DI193" t="s">
        <v>6</v>
      </c>
      <c r="DJ193" t="s">
        <v>6</v>
      </c>
      <c r="DK193" t="s">
        <v>6</v>
      </c>
      <c r="DL193" t="s">
        <v>6</v>
      </c>
      <c r="DM193" t="s">
        <v>6</v>
      </c>
      <c r="DN193">
        <v>0</v>
      </c>
      <c r="DO193">
        <v>0</v>
      </c>
      <c r="DP193">
        <v>1</v>
      </c>
      <c r="DQ193">
        <v>1</v>
      </c>
      <c r="DU193">
        <v>1003</v>
      </c>
      <c r="DV193" t="s">
        <v>57</v>
      </c>
      <c r="DW193" t="s">
        <v>57</v>
      </c>
      <c r="DX193">
        <v>100</v>
      </c>
      <c r="EE193">
        <v>16609228</v>
      </c>
      <c r="EF193">
        <v>3</v>
      </c>
      <c r="EG193" t="s">
        <v>491</v>
      </c>
      <c r="EH193">
        <v>0</v>
      </c>
      <c r="EI193" t="s">
        <v>6</v>
      </c>
      <c r="EJ193">
        <v>2</v>
      </c>
      <c r="EK193">
        <v>108001</v>
      </c>
      <c r="EL193" t="s">
        <v>492</v>
      </c>
      <c r="EM193" t="s">
        <v>493</v>
      </c>
      <c r="EO193" t="s">
        <v>6</v>
      </c>
      <c r="EQ193">
        <v>131072</v>
      </c>
      <c r="ER193">
        <v>41.11</v>
      </c>
      <c r="ES193">
        <v>12.82</v>
      </c>
      <c r="ET193">
        <v>1.78</v>
      </c>
      <c r="EU193">
        <v>0.26</v>
      </c>
      <c r="EV193">
        <v>26.51</v>
      </c>
      <c r="EW193">
        <v>2.82</v>
      </c>
      <c r="EX193">
        <v>0.02</v>
      </c>
      <c r="EY193">
        <v>0</v>
      </c>
      <c r="FQ193">
        <v>0</v>
      </c>
      <c r="FR193">
        <f t="shared" si="224"/>
        <v>0</v>
      </c>
      <c r="FS193">
        <v>0</v>
      </c>
      <c r="FX193">
        <v>95</v>
      </c>
      <c r="FY193">
        <v>65</v>
      </c>
      <c r="GA193" t="s">
        <v>6</v>
      </c>
      <c r="GD193">
        <v>0</v>
      </c>
      <c r="GF193">
        <v>-1041101008</v>
      </c>
      <c r="GG193">
        <v>1</v>
      </c>
      <c r="GH193">
        <v>1</v>
      </c>
      <c r="GI193">
        <v>4</v>
      </c>
      <c r="GJ193">
        <v>0</v>
      </c>
      <c r="GK193">
        <f>ROUND(R193*(R12)/100,2)</f>
        <v>0</v>
      </c>
      <c r="GL193">
        <f t="shared" si="225"/>
        <v>0</v>
      </c>
      <c r="GM193">
        <f t="shared" si="226"/>
        <v>996.51</v>
      </c>
      <c r="GN193">
        <f t="shared" si="227"/>
        <v>0</v>
      </c>
      <c r="GO193">
        <f t="shared" si="228"/>
        <v>996.51</v>
      </c>
      <c r="GP193">
        <f t="shared" si="229"/>
        <v>0</v>
      </c>
      <c r="GR193">
        <v>0</v>
      </c>
      <c r="GS193">
        <v>3</v>
      </c>
      <c r="GT193">
        <v>0</v>
      </c>
      <c r="GU193" t="s">
        <v>6</v>
      </c>
      <c r="GV193">
        <f t="shared" si="230"/>
        <v>0</v>
      </c>
      <c r="GW193">
        <v>1</v>
      </c>
      <c r="GX193">
        <f t="shared" si="231"/>
        <v>0</v>
      </c>
      <c r="HA193">
        <v>0</v>
      </c>
      <c r="HB193">
        <v>0</v>
      </c>
      <c r="HC193">
        <f t="shared" si="232"/>
        <v>0</v>
      </c>
      <c r="IK193">
        <v>0</v>
      </c>
    </row>
    <row r="194" spans="1:245" x14ac:dyDescent="0.2">
      <c r="A194">
        <v>18</v>
      </c>
      <c r="B194">
        <v>1</v>
      </c>
      <c r="C194">
        <v>436</v>
      </c>
      <c r="E194" t="s">
        <v>640</v>
      </c>
      <c r="F194" t="s">
        <v>641</v>
      </c>
      <c r="G194" t="s">
        <v>642</v>
      </c>
      <c r="H194" t="s">
        <v>625</v>
      </c>
      <c r="I194">
        <f>I193*J194</f>
        <v>0.16650000000000001</v>
      </c>
      <c r="J194">
        <v>0.1</v>
      </c>
      <c r="O194">
        <f t="shared" si="199"/>
        <v>5736.43</v>
      </c>
      <c r="P194">
        <f t="shared" si="200"/>
        <v>5736.43</v>
      </c>
      <c r="Q194">
        <f t="shared" si="201"/>
        <v>0</v>
      </c>
      <c r="R194">
        <f t="shared" si="202"/>
        <v>0</v>
      </c>
      <c r="S194">
        <f t="shared" si="203"/>
        <v>0</v>
      </c>
      <c r="T194">
        <f t="shared" si="204"/>
        <v>0</v>
      </c>
      <c r="U194">
        <f t="shared" si="205"/>
        <v>0</v>
      </c>
      <c r="V194">
        <f t="shared" si="206"/>
        <v>0</v>
      </c>
      <c r="W194">
        <f t="shared" si="207"/>
        <v>0</v>
      </c>
      <c r="X194">
        <f t="shared" si="208"/>
        <v>0</v>
      </c>
      <c r="Y194">
        <f t="shared" si="209"/>
        <v>0</v>
      </c>
      <c r="AA194">
        <v>16630606</v>
      </c>
      <c r="AB194">
        <f t="shared" si="210"/>
        <v>4832.12</v>
      </c>
      <c r="AC194">
        <f t="shared" si="193"/>
        <v>4832.12</v>
      </c>
      <c r="AD194">
        <f t="shared" si="194"/>
        <v>0</v>
      </c>
      <c r="AE194">
        <f t="shared" si="195"/>
        <v>0</v>
      </c>
      <c r="AF194">
        <f t="shared" si="196"/>
        <v>0</v>
      </c>
      <c r="AG194">
        <f t="shared" si="211"/>
        <v>0</v>
      </c>
      <c r="AH194">
        <f t="shared" si="197"/>
        <v>0</v>
      </c>
      <c r="AI194">
        <f t="shared" si="198"/>
        <v>0</v>
      </c>
      <c r="AJ194">
        <f t="shared" si="212"/>
        <v>0</v>
      </c>
      <c r="AK194">
        <v>4832.12</v>
      </c>
      <c r="AL194">
        <v>4832.12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95</v>
      </c>
      <c r="AU194">
        <v>65</v>
      </c>
      <c r="AV194">
        <v>1</v>
      </c>
      <c r="AW194">
        <v>1</v>
      </c>
      <c r="AZ194">
        <v>7.13</v>
      </c>
      <c r="BA194">
        <v>1</v>
      </c>
      <c r="BB194">
        <v>1</v>
      </c>
      <c r="BC194">
        <v>7.13</v>
      </c>
      <c r="BD194" t="s">
        <v>6</v>
      </c>
      <c r="BE194" t="s">
        <v>6</v>
      </c>
      <c r="BF194" t="s">
        <v>6</v>
      </c>
      <c r="BG194" t="s">
        <v>6</v>
      </c>
      <c r="BH194">
        <v>3</v>
      </c>
      <c r="BI194">
        <v>2</v>
      </c>
      <c r="BJ194" t="s">
        <v>643</v>
      </c>
      <c r="BM194">
        <v>108001</v>
      </c>
      <c r="BN194">
        <v>0</v>
      </c>
      <c r="BO194" t="s">
        <v>6</v>
      </c>
      <c r="BP194">
        <v>0</v>
      </c>
      <c r="BQ194">
        <v>3</v>
      </c>
      <c r="BR194">
        <v>0</v>
      </c>
      <c r="BS194">
        <v>1</v>
      </c>
      <c r="BT194">
        <v>1</v>
      </c>
      <c r="BU194">
        <v>1</v>
      </c>
      <c r="BV194">
        <v>1</v>
      </c>
      <c r="BW194">
        <v>1</v>
      </c>
      <c r="BX194">
        <v>1</v>
      </c>
      <c r="BY194" t="s">
        <v>6</v>
      </c>
      <c r="BZ194">
        <v>95</v>
      </c>
      <c r="CA194">
        <v>65</v>
      </c>
      <c r="CE194">
        <v>0</v>
      </c>
      <c r="CF194">
        <v>0</v>
      </c>
      <c r="CG194">
        <v>0</v>
      </c>
      <c r="CM194">
        <v>0</v>
      </c>
      <c r="CN194" t="s">
        <v>6</v>
      </c>
      <c r="CO194">
        <v>0</v>
      </c>
      <c r="CP194">
        <f t="shared" si="213"/>
        <v>5736.43</v>
      </c>
      <c r="CQ194">
        <f t="shared" si="214"/>
        <v>34453.015599999999</v>
      </c>
      <c r="CR194">
        <f t="shared" si="215"/>
        <v>0</v>
      </c>
      <c r="CS194">
        <f t="shared" si="216"/>
        <v>0</v>
      </c>
      <c r="CT194">
        <f t="shared" si="217"/>
        <v>0</v>
      </c>
      <c r="CU194">
        <f t="shared" si="218"/>
        <v>0</v>
      </c>
      <c r="CV194">
        <f t="shared" si="219"/>
        <v>0</v>
      </c>
      <c r="CW194">
        <f t="shared" si="220"/>
        <v>0</v>
      </c>
      <c r="CX194">
        <f t="shared" si="221"/>
        <v>0</v>
      </c>
      <c r="CY194">
        <f t="shared" si="222"/>
        <v>0</v>
      </c>
      <c r="CZ194">
        <f t="shared" si="223"/>
        <v>0</v>
      </c>
      <c r="DC194" t="s">
        <v>6</v>
      </c>
      <c r="DD194" t="s">
        <v>6</v>
      </c>
      <c r="DE194" t="s">
        <v>6</v>
      </c>
      <c r="DF194" t="s">
        <v>6</v>
      </c>
      <c r="DG194" t="s">
        <v>6</v>
      </c>
      <c r="DH194" t="s">
        <v>6</v>
      </c>
      <c r="DI194" t="s">
        <v>6</v>
      </c>
      <c r="DJ194" t="s">
        <v>6</v>
      </c>
      <c r="DK194" t="s">
        <v>6</v>
      </c>
      <c r="DL194" t="s">
        <v>6</v>
      </c>
      <c r="DM194" t="s">
        <v>6</v>
      </c>
      <c r="DN194">
        <v>0</v>
      </c>
      <c r="DO194">
        <v>0</v>
      </c>
      <c r="DP194">
        <v>1</v>
      </c>
      <c r="DQ194">
        <v>1</v>
      </c>
      <c r="DU194">
        <v>1013</v>
      </c>
      <c r="DV194" t="s">
        <v>625</v>
      </c>
      <c r="DW194" t="s">
        <v>627</v>
      </c>
      <c r="DX194">
        <v>1</v>
      </c>
      <c r="EE194">
        <v>16609228</v>
      </c>
      <c r="EF194">
        <v>3</v>
      </c>
      <c r="EG194" t="s">
        <v>491</v>
      </c>
      <c r="EH194">
        <v>0</v>
      </c>
      <c r="EI194" t="s">
        <v>6</v>
      </c>
      <c r="EJ194">
        <v>2</v>
      </c>
      <c r="EK194">
        <v>108001</v>
      </c>
      <c r="EL194" t="s">
        <v>492</v>
      </c>
      <c r="EM194" t="s">
        <v>493</v>
      </c>
      <c r="EO194" t="s">
        <v>6</v>
      </c>
      <c r="EQ194">
        <v>0</v>
      </c>
      <c r="ER194">
        <v>4832.12</v>
      </c>
      <c r="ES194">
        <v>4832.12</v>
      </c>
      <c r="ET194">
        <v>0</v>
      </c>
      <c r="EU194">
        <v>0</v>
      </c>
      <c r="EV194">
        <v>0</v>
      </c>
      <c r="EW194">
        <v>0</v>
      </c>
      <c r="EX194">
        <v>0</v>
      </c>
      <c r="FQ194">
        <v>0</v>
      </c>
      <c r="FR194">
        <f t="shared" si="224"/>
        <v>0</v>
      </c>
      <c r="FS194">
        <v>0</v>
      </c>
      <c r="FX194">
        <v>95</v>
      </c>
      <c r="FY194">
        <v>65</v>
      </c>
      <c r="GA194" t="s">
        <v>6</v>
      </c>
      <c r="GD194">
        <v>0</v>
      </c>
      <c r="GF194">
        <v>-1479501953</v>
      </c>
      <c r="GG194">
        <v>1</v>
      </c>
      <c r="GH194">
        <v>1</v>
      </c>
      <c r="GI194">
        <v>4</v>
      </c>
      <c r="GJ194">
        <v>0</v>
      </c>
      <c r="GK194">
        <f>ROUND(R194*(R12)/100,2)</f>
        <v>0</v>
      </c>
      <c r="GL194">
        <f t="shared" si="225"/>
        <v>0</v>
      </c>
      <c r="GM194">
        <f t="shared" si="226"/>
        <v>5736.43</v>
      </c>
      <c r="GN194">
        <f t="shared" si="227"/>
        <v>0</v>
      </c>
      <c r="GO194">
        <f t="shared" si="228"/>
        <v>5736.43</v>
      </c>
      <c r="GP194">
        <f t="shared" si="229"/>
        <v>0</v>
      </c>
      <c r="GR194">
        <v>0</v>
      </c>
      <c r="GS194">
        <v>3</v>
      </c>
      <c r="GT194">
        <v>0</v>
      </c>
      <c r="GU194" t="s">
        <v>6</v>
      </c>
      <c r="GV194">
        <f t="shared" si="230"/>
        <v>0</v>
      </c>
      <c r="GW194">
        <v>1</v>
      </c>
      <c r="GX194">
        <f t="shared" si="231"/>
        <v>0</v>
      </c>
      <c r="HA194">
        <v>0</v>
      </c>
      <c r="HB194">
        <v>0</v>
      </c>
      <c r="HC194">
        <f t="shared" si="232"/>
        <v>0</v>
      </c>
      <c r="IK194">
        <v>0</v>
      </c>
    </row>
    <row r="195" spans="1:245" x14ac:dyDescent="0.2">
      <c r="A195">
        <v>17</v>
      </c>
      <c r="B195">
        <v>1</v>
      </c>
      <c r="C195">
        <f>ROW(SmtRes!A447)</f>
        <v>447</v>
      </c>
      <c r="D195">
        <f>ROW(EtalonRes!A437)</f>
        <v>437</v>
      </c>
      <c r="E195" t="s">
        <v>644</v>
      </c>
      <c r="F195" t="s">
        <v>645</v>
      </c>
      <c r="G195" t="s">
        <v>646</v>
      </c>
      <c r="H195" t="s">
        <v>27</v>
      </c>
      <c r="I195">
        <f>ROUND(25/100,9)</f>
        <v>0.25</v>
      </c>
      <c r="J195">
        <v>0</v>
      </c>
      <c r="O195">
        <f t="shared" si="199"/>
        <v>755.72</v>
      </c>
      <c r="P195">
        <f t="shared" si="200"/>
        <v>188.64</v>
      </c>
      <c r="Q195">
        <f t="shared" si="201"/>
        <v>8.32</v>
      </c>
      <c r="R195">
        <f t="shared" si="202"/>
        <v>1.1399999999999999</v>
      </c>
      <c r="S195">
        <f t="shared" si="203"/>
        <v>558.76</v>
      </c>
      <c r="T195">
        <f t="shared" si="204"/>
        <v>0</v>
      </c>
      <c r="U195">
        <f t="shared" si="205"/>
        <v>7.9</v>
      </c>
      <c r="V195">
        <f t="shared" si="206"/>
        <v>1.2500000000000001E-2</v>
      </c>
      <c r="W195">
        <f t="shared" si="207"/>
        <v>0</v>
      </c>
      <c r="X195">
        <f t="shared" si="208"/>
        <v>531.91</v>
      </c>
      <c r="Y195">
        <f t="shared" si="209"/>
        <v>363.94</v>
      </c>
      <c r="AA195">
        <v>16630606</v>
      </c>
      <c r="AB195">
        <f t="shared" si="210"/>
        <v>423.97</v>
      </c>
      <c r="AC195">
        <f t="shared" si="193"/>
        <v>105.83</v>
      </c>
      <c r="AD195">
        <f t="shared" si="194"/>
        <v>4.67</v>
      </c>
      <c r="AE195">
        <f t="shared" si="195"/>
        <v>0.64</v>
      </c>
      <c r="AF195">
        <f t="shared" si="196"/>
        <v>313.47000000000003</v>
      </c>
      <c r="AG195">
        <f t="shared" si="211"/>
        <v>0</v>
      </c>
      <c r="AH195">
        <f t="shared" si="197"/>
        <v>31.6</v>
      </c>
      <c r="AI195">
        <f t="shared" si="198"/>
        <v>0.05</v>
      </c>
      <c r="AJ195">
        <f t="shared" si="212"/>
        <v>0</v>
      </c>
      <c r="AK195">
        <v>423.97</v>
      </c>
      <c r="AL195">
        <v>105.83</v>
      </c>
      <c r="AM195">
        <v>4.67</v>
      </c>
      <c r="AN195">
        <v>0.64</v>
      </c>
      <c r="AO195">
        <v>313.47000000000003</v>
      </c>
      <c r="AP195">
        <v>0</v>
      </c>
      <c r="AQ195">
        <v>31.6</v>
      </c>
      <c r="AR195">
        <v>0.05</v>
      </c>
      <c r="AS195">
        <v>0</v>
      </c>
      <c r="AT195">
        <v>95</v>
      </c>
      <c r="AU195">
        <v>65</v>
      </c>
      <c r="AV195">
        <v>1</v>
      </c>
      <c r="AW195">
        <v>1</v>
      </c>
      <c r="AZ195">
        <v>7.13</v>
      </c>
      <c r="BA195">
        <v>7.13</v>
      </c>
      <c r="BB195">
        <v>7.13</v>
      </c>
      <c r="BC195">
        <v>7.13</v>
      </c>
      <c r="BD195" t="s">
        <v>6</v>
      </c>
      <c r="BE195" t="s">
        <v>6</v>
      </c>
      <c r="BF195" t="s">
        <v>6</v>
      </c>
      <c r="BG195" t="s">
        <v>6</v>
      </c>
      <c r="BH195">
        <v>0</v>
      </c>
      <c r="BI195">
        <v>2</v>
      </c>
      <c r="BJ195" t="s">
        <v>647</v>
      </c>
      <c r="BM195">
        <v>108001</v>
      </c>
      <c r="BN195">
        <v>0</v>
      </c>
      <c r="BO195" t="s">
        <v>6</v>
      </c>
      <c r="BP195">
        <v>0</v>
      </c>
      <c r="BQ195">
        <v>3</v>
      </c>
      <c r="BR195">
        <v>0</v>
      </c>
      <c r="BS195">
        <v>7.13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6</v>
      </c>
      <c r="BZ195">
        <v>95</v>
      </c>
      <c r="CA195">
        <v>65</v>
      </c>
      <c r="CE195">
        <v>0</v>
      </c>
      <c r="CF195">
        <v>0</v>
      </c>
      <c r="CG195">
        <v>0</v>
      </c>
      <c r="CM195">
        <v>0</v>
      </c>
      <c r="CN195" t="s">
        <v>6</v>
      </c>
      <c r="CO195">
        <v>0</v>
      </c>
      <c r="CP195">
        <f t="shared" si="213"/>
        <v>755.72</v>
      </c>
      <c r="CQ195">
        <f t="shared" si="214"/>
        <v>754.56790000000001</v>
      </c>
      <c r="CR195">
        <f t="shared" si="215"/>
        <v>33.2971</v>
      </c>
      <c r="CS195">
        <f t="shared" si="216"/>
        <v>4.5632000000000001</v>
      </c>
      <c r="CT195">
        <f t="shared" si="217"/>
        <v>2235.0411000000004</v>
      </c>
      <c r="CU195">
        <f t="shared" si="218"/>
        <v>0</v>
      </c>
      <c r="CV195">
        <f t="shared" si="219"/>
        <v>31.6</v>
      </c>
      <c r="CW195">
        <f t="shared" si="220"/>
        <v>0.05</v>
      </c>
      <c r="CX195">
        <f t="shared" si="221"/>
        <v>0</v>
      </c>
      <c r="CY195">
        <f t="shared" si="222"/>
        <v>531.90499999999997</v>
      </c>
      <c r="CZ195">
        <f t="shared" si="223"/>
        <v>363.935</v>
      </c>
      <c r="DC195" t="s">
        <v>6</v>
      </c>
      <c r="DD195" t="s">
        <v>6</v>
      </c>
      <c r="DE195" t="s">
        <v>6</v>
      </c>
      <c r="DF195" t="s">
        <v>6</v>
      </c>
      <c r="DG195" t="s">
        <v>6</v>
      </c>
      <c r="DH195" t="s">
        <v>6</v>
      </c>
      <c r="DI195" t="s">
        <v>6</v>
      </c>
      <c r="DJ195" t="s">
        <v>6</v>
      </c>
      <c r="DK195" t="s">
        <v>6</v>
      </c>
      <c r="DL195" t="s">
        <v>6</v>
      </c>
      <c r="DM195" t="s">
        <v>6</v>
      </c>
      <c r="DN195">
        <v>0</v>
      </c>
      <c r="DO195">
        <v>0</v>
      </c>
      <c r="DP195">
        <v>1</v>
      </c>
      <c r="DQ195">
        <v>1</v>
      </c>
      <c r="DU195">
        <v>1013</v>
      </c>
      <c r="DV195" t="s">
        <v>27</v>
      </c>
      <c r="DW195" t="s">
        <v>27</v>
      </c>
      <c r="DX195">
        <v>1</v>
      </c>
      <c r="EE195">
        <v>16609228</v>
      </c>
      <c r="EF195">
        <v>3</v>
      </c>
      <c r="EG195" t="s">
        <v>491</v>
      </c>
      <c r="EH195">
        <v>0</v>
      </c>
      <c r="EI195" t="s">
        <v>6</v>
      </c>
      <c r="EJ195">
        <v>2</v>
      </c>
      <c r="EK195">
        <v>108001</v>
      </c>
      <c r="EL195" t="s">
        <v>492</v>
      </c>
      <c r="EM195" t="s">
        <v>493</v>
      </c>
      <c r="EO195" t="s">
        <v>6</v>
      </c>
      <c r="EQ195">
        <v>131072</v>
      </c>
      <c r="ER195">
        <v>423.97</v>
      </c>
      <c r="ES195">
        <v>105.83</v>
      </c>
      <c r="ET195">
        <v>4.67</v>
      </c>
      <c r="EU195">
        <v>0.64</v>
      </c>
      <c r="EV195">
        <v>313.47000000000003</v>
      </c>
      <c r="EW195">
        <v>31.6</v>
      </c>
      <c r="EX195">
        <v>0.05</v>
      </c>
      <c r="EY195">
        <v>0</v>
      </c>
      <c r="FQ195">
        <v>0</v>
      </c>
      <c r="FR195">
        <f t="shared" si="224"/>
        <v>0</v>
      </c>
      <c r="FS195">
        <v>0</v>
      </c>
      <c r="FX195">
        <v>95</v>
      </c>
      <c r="FY195">
        <v>65</v>
      </c>
      <c r="GA195" t="s">
        <v>6</v>
      </c>
      <c r="GD195">
        <v>0</v>
      </c>
      <c r="GF195">
        <v>-339943543</v>
      </c>
      <c r="GG195">
        <v>1</v>
      </c>
      <c r="GH195">
        <v>1</v>
      </c>
      <c r="GI195">
        <v>4</v>
      </c>
      <c r="GJ195">
        <v>0</v>
      </c>
      <c r="GK195">
        <f>ROUND(R195*(R12)/100,2)</f>
        <v>0</v>
      </c>
      <c r="GL195">
        <f t="shared" si="225"/>
        <v>0</v>
      </c>
      <c r="GM195">
        <f t="shared" si="226"/>
        <v>1651.57</v>
      </c>
      <c r="GN195">
        <f t="shared" si="227"/>
        <v>0</v>
      </c>
      <c r="GO195">
        <f t="shared" si="228"/>
        <v>1651.57</v>
      </c>
      <c r="GP195">
        <f t="shared" si="229"/>
        <v>0</v>
      </c>
      <c r="GR195">
        <v>0</v>
      </c>
      <c r="GS195">
        <v>3</v>
      </c>
      <c r="GT195">
        <v>0</v>
      </c>
      <c r="GU195" t="s">
        <v>6</v>
      </c>
      <c r="GV195">
        <f t="shared" si="230"/>
        <v>0</v>
      </c>
      <c r="GW195">
        <v>1</v>
      </c>
      <c r="GX195">
        <f t="shared" si="231"/>
        <v>0</v>
      </c>
      <c r="HA195">
        <v>0</v>
      </c>
      <c r="HB195">
        <v>0</v>
      </c>
      <c r="HC195">
        <f t="shared" si="232"/>
        <v>0</v>
      </c>
      <c r="IK195">
        <v>0</v>
      </c>
    </row>
    <row r="196" spans="1:245" x14ac:dyDescent="0.2">
      <c r="A196">
        <v>18</v>
      </c>
      <c r="B196">
        <v>1</v>
      </c>
      <c r="C196">
        <v>446</v>
      </c>
      <c r="E196" t="s">
        <v>648</v>
      </c>
      <c r="F196" t="s">
        <v>649</v>
      </c>
      <c r="G196" t="s">
        <v>650</v>
      </c>
      <c r="H196" t="s">
        <v>616</v>
      </c>
      <c r="I196">
        <f>I195*J196</f>
        <v>2.5</v>
      </c>
      <c r="J196">
        <v>10</v>
      </c>
      <c r="O196">
        <f t="shared" si="199"/>
        <v>1714.77</v>
      </c>
      <c r="P196">
        <f t="shared" si="200"/>
        <v>1714.77</v>
      </c>
      <c r="Q196">
        <f t="shared" si="201"/>
        <v>0</v>
      </c>
      <c r="R196">
        <f t="shared" si="202"/>
        <v>0</v>
      </c>
      <c r="S196">
        <f t="shared" si="203"/>
        <v>0</v>
      </c>
      <c r="T196">
        <f t="shared" si="204"/>
        <v>0</v>
      </c>
      <c r="U196">
        <f t="shared" si="205"/>
        <v>0</v>
      </c>
      <c r="V196">
        <f t="shared" si="206"/>
        <v>0</v>
      </c>
      <c r="W196">
        <f t="shared" si="207"/>
        <v>0</v>
      </c>
      <c r="X196">
        <f t="shared" si="208"/>
        <v>0</v>
      </c>
      <c r="Y196">
        <f t="shared" si="209"/>
        <v>0</v>
      </c>
      <c r="AA196">
        <v>16630606</v>
      </c>
      <c r="AB196">
        <f t="shared" si="210"/>
        <v>96.2</v>
      </c>
      <c r="AC196">
        <f t="shared" si="193"/>
        <v>96.2</v>
      </c>
      <c r="AD196">
        <f t="shared" si="194"/>
        <v>0</v>
      </c>
      <c r="AE196">
        <f t="shared" si="195"/>
        <v>0</v>
      </c>
      <c r="AF196">
        <f t="shared" si="196"/>
        <v>0</v>
      </c>
      <c r="AG196">
        <f t="shared" si="211"/>
        <v>0</v>
      </c>
      <c r="AH196">
        <f t="shared" si="197"/>
        <v>0</v>
      </c>
      <c r="AI196">
        <f t="shared" si="198"/>
        <v>0</v>
      </c>
      <c r="AJ196">
        <f t="shared" si="212"/>
        <v>0</v>
      </c>
      <c r="AK196">
        <v>96.2</v>
      </c>
      <c r="AL196">
        <v>96.2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95</v>
      </c>
      <c r="AU196">
        <v>65</v>
      </c>
      <c r="AV196">
        <v>1</v>
      </c>
      <c r="AW196">
        <v>1</v>
      </c>
      <c r="AZ196">
        <v>7.13</v>
      </c>
      <c r="BA196">
        <v>1</v>
      </c>
      <c r="BB196">
        <v>1</v>
      </c>
      <c r="BC196">
        <v>7.13</v>
      </c>
      <c r="BD196" t="s">
        <v>6</v>
      </c>
      <c r="BE196" t="s">
        <v>6</v>
      </c>
      <c r="BF196" t="s">
        <v>6</v>
      </c>
      <c r="BG196" t="s">
        <v>6</v>
      </c>
      <c r="BH196">
        <v>3</v>
      </c>
      <c r="BI196">
        <v>2</v>
      </c>
      <c r="BJ196" t="s">
        <v>651</v>
      </c>
      <c r="BM196">
        <v>108001</v>
      </c>
      <c r="BN196">
        <v>0</v>
      </c>
      <c r="BO196" t="s">
        <v>6</v>
      </c>
      <c r="BP196">
        <v>0</v>
      </c>
      <c r="BQ196">
        <v>3</v>
      </c>
      <c r="BR196">
        <v>0</v>
      </c>
      <c r="BS196">
        <v>1</v>
      </c>
      <c r="BT196">
        <v>1</v>
      </c>
      <c r="BU196">
        <v>1</v>
      </c>
      <c r="BV196">
        <v>1</v>
      </c>
      <c r="BW196">
        <v>1</v>
      </c>
      <c r="BX196">
        <v>1</v>
      </c>
      <c r="BY196" t="s">
        <v>6</v>
      </c>
      <c r="BZ196">
        <v>95</v>
      </c>
      <c r="CA196">
        <v>65</v>
      </c>
      <c r="CE196">
        <v>0</v>
      </c>
      <c r="CF196">
        <v>0</v>
      </c>
      <c r="CG196">
        <v>0</v>
      </c>
      <c r="CM196">
        <v>0</v>
      </c>
      <c r="CN196" t="s">
        <v>6</v>
      </c>
      <c r="CO196">
        <v>0</v>
      </c>
      <c r="CP196">
        <f t="shared" si="213"/>
        <v>1714.77</v>
      </c>
      <c r="CQ196">
        <f t="shared" si="214"/>
        <v>685.90600000000006</v>
      </c>
      <c r="CR196">
        <f t="shared" si="215"/>
        <v>0</v>
      </c>
      <c r="CS196">
        <f t="shared" si="216"/>
        <v>0</v>
      </c>
      <c r="CT196">
        <f t="shared" si="217"/>
        <v>0</v>
      </c>
      <c r="CU196">
        <f t="shared" si="218"/>
        <v>0</v>
      </c>
      <c r="CV196">
        <f t="shared" si="219"/>
        <v>0</v>
      </c>
      <c r="CW196">
        <f t="shared" si="220"/>
        <v>0</v>
      </c>
      <c r="CX196">
        <f t="shared" si="221"/>
        <v>0</v>
      </c>
      <c r="CY196">
        <f t="shared" si="222"/>
        <v>0</v>
      </c>
      <c r="CZ196">
        <f t="shared" si="223"/>
        <v>0</v>
      </c>
      <c r="DC196" t="s">
        <v>6</v>
      </c>
      <c r="DD196" t="s">
        <v>6</v>
      </c>
      <c r="DE196" t="s">
        <v>6</v>
      </c>
      <c r="DF196" t="s">
        <v>6</v>
      </c>
      <c r="DG196" t="s">
        <v>6</v>
      </c>
      <c r="DH196" t="s">
        <v>6</v>
      </c>
      <c r="DI196" t="s">
        <v>6</v>
      </c>
      <c r="DJ196" t="s">
        <v>6</v>
      </c>
      <c r="DK196" t="s">
        <v>6</v>
      </c>
      <c r="DL196" t="s">
        <v>6</v>
      </c>
      <c r="DM196" t="s">
        <v>6</v>
      </c>
      <c r="DN196">
        <v>0</v>
      </c>
      <c r="DO196">
        <v>0</v>
      </c>
      <c r="DP196">
        <v>1</v>
      </c>
      <c r="DQ196">
        <v>1</v>
      </c>
      <c r="DU196">
        <v>1010</v>
      </c>
      <c r="DV196" t="s">
        <v>616</v>
      </c>
      <c r="DW196" t="s">
        <v>616</v>
      </c>
      <c r="DX196">
        <v>10</v>
      </c>
      <c r="EE196">
        <v>16609228</v>
      </c>
      <c r="EF196">
        <v>3</v>
      </c>
      <c r="EG196" t="s">
        <v>491</v>
      </c>
      <c r="EH196">
        <v>0</v>
      </c>
      <c r="EI196" t="s">
        <v>6</v>
      </c>
      <c r="EJ196">
        <v>2</v>
      </c>
      <c r="EK196">
        <v>108001</v>
      </c>
      <c r="EL196" t="s">
        <v>492</v>
      </c>
      <c r="EM196" t="s">
        <v>493</v>
      </c>
      <c r="EO196" t="s">
        <v>6</v>
      </c>
      <c r="EQ196">
        <v>0</v>
      </c>
      <c r="ER196">
        <v>96.2</v>
      </c>
      <c r="ES196">
        <v>96.2</v>
      </c>
      <c r="ET196">
        <v>0</v>
      </c>
      <c r="EU196">
        <v>0</v>
      </c>
      <c r="EV196">
        <v>0</v>
      </c>
      <c r="EW196">
        <v>0</v>
      </c>
      <c r="EX196">
        <v>0</v>
      </c>
      <c r="FQ196">
        <v>0</v>
      </c>
      <c r="FR196">
        <f t="shared" si="224"/>
        <v>0</v>
      </c>
      <c r="FS196">
        <v>0</v>
      </c>
      <c r="FX196">
        <v>95</v>
      </c>
      <c r="FY196">
        <v>65</v>
      </c>
      <c r="GA196" t="s">
        <v>6</v>
      </c>
      <c r="GD196">
        <v>0</v>
      </c>
      <c r="GF196">
        <v>815488521</v>
      </c>
      <c r="GG196">
        <v>1</v>
      </c>
      <c r="GH196">
        <v>1</v>
      </c>
      <c r="GI196">
        <v>4</v>
      </c>
      <c r="GJ196">
        <v>0</v>
      </c>
      <c r="GK196">
        <f>ROUND(R196*(R12)/100,2)</f>
        <v>0</v>
      </c>
      <c r="GL196">
        <f t="shared" si="225"/>
        <v>0</v>
      </c>
      <c r="GM196">
        <f t="shared" si="226"/>
        <v>1714.77</v>
      </c>
      <c r="GN196">
        <f t="shared" si="227"/>
        <v>0</v>
      </c>
      <c r="GO196">
        <f t="shared" si="228"/>
        <v>1714.77</v>
      </c>
      <c r="GP196">
        <f t="shared" si="229"/>
        <v>0</v>
      </c>
      <c r="GR196">
        <v>0</v>
      </c>
      <c r="GS196">
        <v>3</v>
      </c>
      <c r="GT196">
        <v>0</v>
      </c>
      <c r="GU196" t="s">
        <v>6</v>
      </c>
      <c r="GV196">
        <f t="shared" si="230"/>
        <v>0</v>
      </c>
      <c r="GW196">
        <v>1</v>
      </c>
      <c r="GX196">
        <f t="shared" si="231"/>
        <v>0</v>
      </c>
      <c r="HA196">
        <v>0</v>
      </c>
      <c r="HB196">
        <v>0</v>
      </c>
      <c r="HC196">
        <f t="shared" si="232"/>
        <v>0</v>
      </c>
      <c r="IK196">
        <v>0</v>
      </c>
    </row>
    <row r="197" spans="1:245" x14ac:dyDescent="0.2">
      <c r="A197">
        <v>17</v>
      </c>
      <c r="B197">
        <v>1</v>
      </c>
      <c r="C197">
        <f>ROW(SmtRes!A456)</f>
        <v>456</v>
      </c>
      <c r="D197">
        <f>ROW(EtalonRes!A445)</f>
        <v>445</v>
      </c>
      <c r="E197" t="s">
        <v>652</v>
      </c>
      <c r="F197" t="s">
        <v>487</v>
      </c>
      <c r="G197" t="s">
        <v>653</v>
      </c>
      <c r="H197" t="s">
        <v>127</v>
      </c>
      <c r="I197">
        <v>2</v>
      </c>
      <c r="J197">
        <v>0</v>
      </c>
      <c r="O197">
        <f t="shared" si="199"/>
        <v>476.57</v>
      </c>
      <c r="P197">
        <f t="shared" si="200"/>
        <v>88.41</v>
      </c>
      <c r="Q197">
        <f t="shared" si="201"/>
        <v>253.4</v>
      </c>
      <c r="R197">
        <f t="shared" si="202"/>
        <v>35.79</v>
      </c>
      <c r="S197">
        <f t="shared" si="203"/>
        <v>134.76</v>
      </c>
      <c r="T197">
        <f t="shared" si="204"/>
        <v>0</v>
      </c>
      <c r="U197">
        <f t="shared" si="205"/>
        <v>1.8</v>
      </c>
      <c r="V197">
        <f t="shared" si="206"/>
        <v>0.4</v>
      </c>
      <c r="W197">
        <f t="shared" si="207"/>
        <v>0</v>
      </c>
      <c r="X197">
        <f t="shared" si="208"/>
        <v>162.02000000000001</v>
      </c>
      <c r="Y197">
        <f t="shared" si="209"/>
        <v>110.86</v>
      </c>
      <c r="AA197">
        <v>16630606</v>
      </c>
      <c r="AB197">
        <f t="shared" si="210"/>
        <v>33.42</v>
      </c>
      <c r="AC197">
        <f t="shared" si="193"/>
        <v>6.2</v>
      </c>
      <c r="AD197">
        <f t="shared" si="194"/>
        <v>17.77</v>
      </c>
      <c r="AE197">
        <f t="shared" si="195"/>
        <v>2.5099999999999998</v>
      </c>
      <c r="AF197">
        <f t="shared" si="196"/>
        <v>9.4499999999999993</v>
      </c>
      <c r="AG197">
        <f t="shared" si="211"/>
        <v>0</v>
      </c>
      <c r="AH197">
        <f t="shared" si="197"/>
        <v>0.9</v>
      </c>
      <c r="AI197">
        <f t="shared" si="198"/>
        <v>0.2</v>
      </c>
      <c r="AJ197">
        <f t="shared" si="212"/>
        <v>0</v>
      </c>
      <c r="AK197">
        <v>33.42</v>
      </c>
      <c r="AL197">
        <v>6.2</v>
      </c>
      <c r="AM197">
        <v>17.77</v>
      </c>
      <c r="AN197">
        <v>2.5099999999999998</v>
      </c>
      <c r="AO197">
        <v>9.4499999999999993</v>
      </c>
      <c r="AP197">
        <v>0</v>
      </c>
      <c r="AQ197">
        <v>0.9</v>
      </c>
      <c r="AR197">
        <v>0.2</v>
      </c>
      <c r="AS197">
        <v>0</v>
      </c>
      <c r="AT197">
        <v>95</v>
      </c>
      <c r="AU197">
        <v>65</v>
      </c>
      <c r="AV197">
        <v>1</v>
      </c>
      <c r="AW197">
        <v>1</v>
      </c>
      <c r="AZ197">
        <v>7.13</v>
      </c>
      <c r="BA197">
        <v>7.13</v>
      </c>
      <c r="BB197">
        <v>7.13</v>
      </c>
      <c r="BC197">
        <v>7.13</v>
      </c>
      <c r="BD197" t="s">
        <v>6</v>
      </c>
      <c r="BE197" t="s">
        <v>6</v>
      </c>
      <c r="BF197" t="s">
        <v>6</v>
      </c>
      <c r="BG197" t="s">
        <v>6</v>
      </c>
      <c r="BH197">
        <v>0</v>
      </c>
      <c r="BI197">
        <v>2</v>
      </c>
      <c r="BJ197" t="s">
        <v>489</v>
      </c>
      <c r="BM197">
        <v>108001</v>
      </c>
      <c r="BN197">
        <v>0</v>
      </c>
      <c r="BO197" t="s">
        <v>6</v>
      </c>
      <c r="BP197">
        <v>0</v>
      </c>
      <c r="BQ197">
        <v>3</v>
      </c>
      <c r="BR197">
        <v>0</v>
      </c>
      <c r="BS197">
        <v>7.13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6</v>
      </c>
      <c r="BZ197">
        <v>95</v>
      </c>
      <c r="CA197">
        <v>65</v>
      </c>
      <c r="CE197">
        <v>0</v>
      </c>
      <c r="CF197">
        <v>0</v>
      </c>
      <c r="CG197">
        <v>0</v>
      </c>
      <c r="CM197">
        <v>0</v>
      </c>
      <c r="CN197" t="s">
        <v>6</v>
      </c>
      <c r="CO197">
        <v>0</v>
      </c>
      <c r="CP197">
        <f t="shared" si="213"/>
        <v>476.57</v>
      </c>
      <c r="CQ197">
        <f t="shared" si="214"/>
        <v>44.206000000000003</v>
      </c>
      <c r="CR197">
        <f t="shared" si="215"/>
        <v>126.70009999999999</v>
      </c>
      <c r="CS197">
        <f t="shared" si="216"/>
        <v>17.896299999999997</v>
      </c>
      <c r="CT197">
        <f t="shared" si="217"/>
        <v>67.378499999999988</v>
      </c>
      <c r="CU197">
        <f t="shared" si="218"/>
        <v>0</v>
      </c>
      <c r="CV197">
        <f t="shared" si="219"/>
        <v>0.9</v>
      </c>
      <c r="CW197">
        <f t="shared" si="220"/>
        <v>0.2</v>
      </c>
      <c r="CX197">
        <f t="shared" si="221"/>
        <v>0</v>
      </c>
      <c r="CY197">
        <f t="shared" si="222"/>
        <v>162.02249999999998</v>
      </c>
      <c r="CZ197">
        <f t="shared" si="223"/>
        <v>110.85749999999999</v>
      </c>
      <c r="DC197" t="s">
        <v>6</v>
      </c>
      <c r="DD197" t="s">
        <v>6</v>
      </c>
      <c r="DE197" t="s">
        <v>6</v>
      </c>
      <c r="DF197" t="s">
        <v>6</v>
      </c>
      <c r="DG197" t="s">
        <v>6</v>
      </c>
      <c r="DH197" t="s">
        <v>6</v>
      </c>
      <c r="DI197" t="s">
        <v>6</v>
      </c>
      <c r="DJ197" t="s">
        <v>6</v>
      </c>
      <c r="DK197" t="s">
        <v>6</v>
      </c>
      <c r="DL197" t="s">
        <v>6</v>
      </c>
      <c r="DM197" t="s">
        <v>6</v>
      </c>
      <c r="DN197">
        <v>0</v>
      </c>
      <c r="DO197">
        <v>0</v>
      </c>
      <c r="DP197">
        <v>1</v>
      </c>
      <c r="DQ197">
        <v>1</v>
      </c>
      <c r="DU197">
        <v>1013</v>
      </c>
      <c r="DV197" t="s">
        <v>127</v>
      </c>
      <c r="DW197" t="s">
        <v>127</v>
      </c>
      <c r="DX197">
        <v>1</v>
      </c>
      <c r="EE197">
        <v>16609228</v>
      </c>
      <c r="EF197">
        <v>3</v>
      </c>
      <c r="EG197" t="s">
        <v>491</v>
      </c>
      <c r="EH197">
        <v>0</v>
      </c>
      <c r="EI197" t="s">
        <v>6</v>
      </c>
      <c r="EJ197">
        <v>2</v>
      </c>
      <c r="EK197">
        <v>108001</v>
      </c>
      <c r="EL197" t="s">
        <v>492</v>
      </c>
      <c r="EM197" t="s">
        <v>493</v>
      </c>
      <c r="EO197" t="s">
        <v>6</v>
      </c>
      <c r="EQ197">
        <v>131072</v>
      </c>
      <c r="ER197">
        <v>33.42</v>
      </c>
      <c r="ES197">
        <v>6.2</v>
      </c>
      <c r="ET197">
        <v>17.77</v>
      </c>
      <c r="EU197">
        <v>2.5099999999999998</v>
      </c>
      <c r="EV197">
        <v>9.4499999999999993</v>
      </c>
      <c r="EW197">
        <v>0.9</v>
      </c>
      <c r="EX197">
        <v>0.2</v>
      </c>
      <c r="EY197">
        <v>0</v>
      </c>
      <c r="FQ197">
        <v>0</v>
      </c>
      <c r="FR197">
        <f t="shared" si="224"/>
        <v>0</v>
      </c>
      <c r="FS197">
        <v>0</v>
      </c>
      <c r="FX197">
        <v>95</v>
      </c>
      <c r="FY197">
        <v>65</v>
      </c>
      <c r="GA197" t="s">
        <v>6</v>
      </c>
      <c r="GD197">
        <v>0</v>
      </c>
      <c r="GF197">
        <v>932748081</v>
      </c>
      <c r="GG197">
        <v>1</v>
      </c>
      <c r="GH197">
        <v>1</v>
      </c>
      <c r="GI197">
        <v>4</v>
      </c>
      <c r="GJ197">
        <v>0</v>
      </c>
      <c r="GK197">
        <f>ROUND(R197*(R12)/100,2)</f>
        <v>0</v>
      </c>
      <c r="GL197">
        <f t="shared" si="225"/>
        <v>0</v>
      </c>
      <c r="GM197">
        <f t="shared" si="226"/>
        <v>749.45</v>
      </c>
      <c r="GN197">
        <f t="shared" si="227"/>
        <v>0</v>
      </c>
      <c r="GO197">
        <f t="shared" si="228"/>
        <v>749.45</v>
      </c>
      <c r="GP197">
        <f t="shared" si="229"/>
        <v>0</v>
      </c>
      <c r="GR197">
        <v>0</v>
      </c>
      <c r="GS197">
        <v>3</v>
      </c>
      <c r="GT197">
        <v>0</v>
      </c>
      <c r="GU197" t="s">
        <v>6</v>
      </c>
      <c r="GV197">
        <f t="shared" si="230"/>
        <v>0</v>
      </c>
      <c r="GW197">
        <v>1</v>
      </c>
      <c r="GX197">
        <f t="shared" si="231"/>
        <v>0</v>
      </c>
      <c r="HA197">
        <v>0</v>
      </c>
      <c r="HB197">
        <v>0</v>
      </c>
      <c r="HC197">
        <f t="shared" si="232"/>
        <v>0</v>
      </c>
      <c r="IK197">
        <v>0</v>
      </c>
    </row>
    <row r="198" spans="1:245" x14ac:dyDescent="0.2">
      <c r="A198">
        <v>18</v>
      </c>
      <c r="B198">
        <v>1</v>
      </c>
      <c r="C198">
        <v>455</v>
      </c>
      <c r="E198" t="s">
        <v>654</v>
      </c>
      <c r="F198" t="s">
        <v>655</v>
      </c>
      <c r="G198" t="s">
        <v>656</v>
      </c>
      <c r="H198" t="s">
        <v>132</v>
      </c>
      <c r="I198">
        <f>I197*J198</f>
        <v>2</v>
      </c>
      <c r="J198">
        <v>1</v>
      </c>
      <c r="O198">
        <f t="shared" si="199"/>
        <v>2334.36</v>
      </c>
      <c r="P198">
        <f t="shared" si="200"/>
        <v>2334.36</v>
      </c>
      <c r="Q198">
        <f t="shared" si="201"/>
        <v>0</v>
      </c>
      <c r="R198">
        <f t="shared" si="202"/>
        <v>0</v>
      </c>
      <c r="S198">
        <f t="shared" si="203"/>
        <v>0</v>
      </c>
      <c r="T198">
        <f t="shared" si="204"/>
        <v>0</v>
      </c>
      <c r="U198">
        <f t="shared" si="205"/>
        <v>0</v>
      </c>
      <c r="V198">
        <f t="shared" si="206"/>
        <v>0</v>
      </c>
      <c r="W198">
        <f t="shared" si="207"/>
        <v>0</v>
      </c>
      <c r="X198">
        <f t="shared" si="208"/>
        <v>0</v>
      </c>
      <c r="Y198">
        <f t="shared" si="209"/>
        <v>0</v>
      </c>
      <c r="AA198">
        <v>16630606</v>
      </c>
      <c r="AB198">
        <f t="shared" si="210"/>
        <v>163.69999999999999</v>
      </c>
      <c r="AC198">
        <f t="shared" si="193"/>
        <v>163.69999999999999</v>
      </c>
      <c r="AD198">
        <f t="shared" si="194"/>
        <v>0</v>
      </c>
      <c r="AE198">
        <f t="shared" si="195"/>
        <v>0</v>
      </c>
      <c r="AF198">
        <f t="shared" si="196"/>
        <v>0</v>
      </c>
      <c r="AG198">
        <f t="shared" si="211"/>
        <v>0</v>
      </c>
      <c r="AH198">
        <f t="shared" si="197"/>
        <v>0</v>
      </c>
      <c r="AI198">
        <f t="shared" si="198"/>
        <v>0</v>
      </c>
      <c r="AJ198">
        <f t="shared" si="212"/>
        <v>0</v>
      </c>
      <c r="AK198">
        <v>163.69999999999999</v>
      </c>
      <c r="AL198">
        <v>163.69999999999999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80</v>
      </c>
      <c r="AU198">
        <v>60</v>
      </c>
      <c r="AV198">
        <v>1</v>
      </c>
      <c r="AW198">
        <v>1</v>
      </c>
      <c r="AZ198">
        <v>7.13</v>
      </c>
      <c r="BA198">
        <v>1</v>
      </c>
      <c r="BB198">
        <v>1</v>
      </c>
      <c r="BC198">
        <v>7.13</v>
      </c>
      <c r="BD198" t="s">
        <v>6</v>
      </c>
      <c r="BE198" t="s">
        <v>6</v>
      </c>
      <c r="BF198" t="s">
        <v>6</v>
      </c>
      <c r="BG198" t="s">
        <v>6</v>
      </c>
      <c r="BH198">
        <v>3</v>
      </c>
      <c r="BI198">
        <v>2</v>
      </c>
      <c r="BJ198" t="s">
        <v>657</v>
      </c>
      <c r="BM198">
        <v>110011</v>
      </c>
      <c r="BN198">
        <v>0</v>
      </c>
      <c r="BO198" t="s">
        <v>6</v>
      </c>
      <c r="BP198">
        <v>0</v>
      </c>
      <c r="BQ198">
        <v>3</v>
      </c>
      <c r="BR198">
        <v>0</v>
      </c>
      <c r="BS198">
        <v>1</v>
      </c>
      <c r="BT198">
        <v>1</v>
      </c>
      <c r="BU198">
        <v>1</v>
      </c>
      <c r="BV198">
        <v>1</v>
      </c>
      <c r="BW198">
        <v>1</v>
      </c>
      <c r="BX198">
        <v>1</v>
      </c>
      <c r="BY198" t="s">
        <v>6</v>
      </c>
      <c r="BZ198">
        <v>80</v>
      </c>
      <c r="CA198">
        <v>60</v>
      </c>
      <c r="CE198">
        <v>0</v>
      </c>
      <c r="CF198">
        <v>0</v>
      </c>
      <c r="CG198">
        <v>0</v>
      </c>
      <c r="CM198">
        <v>0</v>
      </c>
      <c r="CN198" t="s">
        <v>6</v>
      </c>
      <c r="CO198">
        <v>0</v>
      </c>
      <c r="CP198">
        <f t="shared" si="213"/>
        <v>2334.36</v>
      </c>
      <c r="CQ198">
        <f t="shared" si="214"/>
        <v>1167.1809999999998</v>
      </c>
      <c r="CR198">
        <f t="shared" si="215"/>
        <v>0</v>
      </c>
      <c r="CS198">
        <f t="shared" si="216"/>
        <v>0</v>
      </c>
      <c r="CT198">
        <f t="shared" si="217"/>
        <v>0</v>
      </c>
      <c r="CU198">
        <f t="shared" si="218"/>
        <v>0</v>
      </c>
      <c r="CV198">
        <f t="shared" si="219"/>
        <v>0</v>
      </c>
      <c r="CW198">
        <f t="shared" si="220"/>
        <v>0</v>
      </c>
      <c r="CX198">
        <f t="shared" si="221"/>
        <v>0</v>
      </c>
      <c r="CY198">
        <f t="shared" si="222"/>
        <v>0</v>
      </c>
      <c r="CZ198">
        <f t="shared" si="223"/>
        <v>0</v>
      </c>
      <c r="DC198" t="s">
        <v>6</v>
      </c>
      <c r="DD198" t="s">
        <v>6</v>
      </c>
      <c r="DE198" t="s">
        <v>6</v>
      </c>
      <c r="DF198" t="s">
        <v>6</v>
      </c>
      <c r="DG198" t="s">
        <v>6</v>
      </c>
      <c r="DH198" t="s">
        <v>6</v>
      </c>
      <c r="DI198" t="s">
        <v>6</v>
      </c>
      <c r="DJ198" t="s">
        <v>6</v>
      </c>
      <c r="DK198" t="s">
        <v>6</v>
      </c>
      <c r="DL198" t="s">
        <v>6</v>
      </c>
      <c r="DM198" t="s">
        <v>6</v>
      </c>
      <c r="DN198">
        <v>0</v>
      </c>
      <c r="DO198">
        <v>0</v>
      </c>
      <c r="DP198">
        <v>1</v>
      </c>
      <c r="DQ198">
        <v>1</v>
      </c>
      <c r="DU198">
        <v>1010</v>
      </c>
      <c r="DV198" t="s">
        <v>132</v>
      </c>
      <c r="DW198" t="s">
        <v>132</v>
      </c>
      <c r="DX198">
        <v>1</v>
      </c>
      <c r="EE198">
        <v>16609240</v>
      </c>
      <c r="EF198">
        <v>3</v>
      </c>
      <c r="EG198" t="s">
        <v>491</v>
      </c>
      <c r="EH198">
        <v>0</v>
      </c>
      <c r="EI198" t="s">
        <v>6</v>
      </c>
      <c r="EJ198">
        <v>2</v>
      </c>
      <c r="EK198">
        <v>110011</v>
      </c>
      <c r="EL198" t="s">
        <v>612</v>
      </c>
      <c r="EM198" t="s">
        <v>514</v>
      </c>
      <c r="EO198" t="s">
        <v>6</v>
      </c>
      <c r="EQ198">
        <v>0</v>
      </c>
      <c r="ER198">
        <v>163.69999999999999</v>
      </c>
      <c r="ES198">
        <v>163.69999999999999</v>
      </c>
      <c r="ET198">
        <v>0</v>
      </c>
      <c r="EU198">
        <v>0</v>
      </c>
      <c r="EV198">
        <v>0</v>
      </c>
      <c r="EW198">
        <v>0</v>
      </c>
      <c r="EX198">
        <v>0</v>
      </c>
      <c r="FQ198">
        <v>0</v>
      </c>
      <c r="FR198">
        <f t="shared" si="224"/>
        <v>0</v>
      </c>
      <c r="FS198">
        <v>0</v>
      </c>
      <c r="FX198">
        <v>80</v>
      </c>
      <c r="FY198">
        <v>60</v>
      </c>
      <c r="GA198" t="s">
        <v>6</v>
      </c>
      <c r="GD198">
        <v>0</v>
      </c>
      <c r="GF198">
        <v>19955358</v>
      </c>
      <c r="GG198">
        <v>1</v>
      </c>
      <c r="GH198">
        <v>1</v>
      </c>
      <c r="GI198">
        <v>4</v>
      </c>
      <c r="GJ198">
        <v>0</v>
      </c>
      <c r="GK198">
        <f>ROUND(R198*(R12)/100,2)</f>
        <v>0</v>
      </c>
      <c r="GL198">
        <f t="shared" si="225"/>
        <v>0</v>
      </c>
      <c r="GM198">
        <f t="shared" si="226"/>
        <v>2334.36</v>
      </c>
      <c r="GN198">
        <f t="shared" si="227"/>
        <v>0</v>
      </c>
      <c r="GO198">
        <f t="shared" si="228"/>
        <v>2334.36</v>
      </c>
      <c r="GP198">
        <f t="shared" si="229"/>
        <v>0</v>
      </c>
      <c r="GR198">
        <v>0</v>
      </c>
      <c r="GS198">
        <v>3</v>
      </c>
      <c r="GT198">
        <v>0</v>
      </c>
      <c r="GU198" t="s">
        <v>6</v>
      </c>
      <c r="GV198">
        <f t="shared" si="230"/>
        <v>0</v>
      </c>
      <c r="GW198">
        <v>1</v>
      </c>
      <c r="GX198">
        <f t="shared" si="231"/>
        <v>0</v>
      </c>
      <c r="HA198">
        <v>0</v>
      </c>
      <c r="HB198">
        <v>0</v>
      </c>
      <c r="HC198">
        <f t="shared" si="232"/>
        <v>0</v>
      </c>
      <c r="IK198">
        <v>0</v>
      </c>
    </row>
    <row r="199" spans="1:245" x14ac:dyDescent="0.2">
      <c r="A199">
        <v>17</v>
      </c>
      <c r="B199">
        <v>1</v>
      </c>
      <c r="C199">
        <f>ROW(SmtRes!A473)</f>
        <v>473</v>
      </c>
      <c r="D199">
        <f>ROW(EtalonRes!A459)</f>
        <v>459</v>
      </c>
      <c r="E199" t="s">
        <v>658</v>
      </c>
      <c r="F199" t="s">
        <v>506</v>
      </c>
      <c r="G199" t="s">
        <v>659</v>
      </c>
      <c r="H199" t="s">
        <v>127</v>
      </c>
      <c r="I199">
        <v>18</v>
      </c>
      <c r="J199">
        <v>0</v>
      </c>
      <c r="O199">
        <f t="shared" si="199"/>
        <v>4617.68</v>
      </c>
      <c r="P199">
        <f t="shared" si="200"/>
        <v>2578.35</v>
      </c>
      <c r="Q199">
        <f t="shared" si="201"/>
        <v>134.76</v>
      </c>
      <c r="R199">
        <f t="shared" si="202"/>
        <v>0</v>
      </c>
      <c r="S199">
        <f t="shared" si="203"/>
        <v>1904.57</v>
      </c>
      <c r="T199">
        <f t="shared" si="204"/>
        <v>0</v>
      </c>
      <c r="U199">
        <f t="shared" si="205"/>
        <v>28.080000000000002</v>
      </c>
      <c r="V199">
        <f t="shared" si="206"/>
        <v>0</v>
      </c>
      <c r="W199">
        <f t="shared" si="207"/>
        <v>0</v>
      </c>
      <c r="X199">
        <f t="shared" si="208"/>
        <v>1809.34</v>
      </c>
      <c r="Y199">
        <f t="shared" si="209"/>
        <v>1237.97</v>
      </c>
      <c r="AA199">
        <v>16630606</v>
      </c>
      <c r="AB199">
        <f t="shared" si="210"/>
        <v>35.979999999999997</v>
      </c>
      <c r="AC199">
        <f t="shared" si="193"/>
        <v>20.09</v>
      </c>
      <c r="AD199">
        <f t="shared" si="194"/>
        <v>1.05</v>
      </c>
      <c r="AE199">
        <f t="shared" si="195"/>
        <v>0</v>
      </c>
      <c r="AF199">
        <f t="shared" si="196"/>
        <v>14.84</v>
      </c>
      <c r="AG199">
        <f t="shared" si="211"/>
        <v>0</v>
      </c>
      <c r="AH199">
        <f t="shared" si="197"/>
        <v>1.56</v>
      </c>
      <c r="AI199">
        <f t="shared" si="198"/>
        <v>0</v>
      </c>
      <c r="AJ199">
        <f t="shared" si="212"/>
        <v>0</v>
      </c>
      <c r="AK199">
        <v>35.979999999999997</v>
      </c>
      <c r="AL199">
        <v>20.09</v>
      </c>
      <c r="AM199">
        <v>1.05</v>
      </c>
      <c r="AN199">
        <v>0</v>
      </c>
      <c r="AO199">
        <v>14.84</v>
      </c>
      <c r="AP199">
        <v>0</v>
      </c>
      <c r="AQ199">
        <v>1.56</v>
      </c>
      <c r="AR199">
        <v>0</v>
      </c>
      <c r="AS199">
        <v>0</v>
      </c>
      <c r="AT199">
        <v>95</v>
      </c>
      <c r="AU199">
        <v>65</v>
      </c>
      <c r="AV199">
        <v>1</v>
      </c>
      <c r="AW199">
        <v>1</v>
      </c>
      <c r="AZ199">
        <v>7.13</v>
      </c>
      <c r="BA199">
        <v>7.13</v>
      </c>
      <c r="BB199">
        <v>7.13</v>
      </c>
      <c r="BC199">
        <v>7.13</v>
      </c>
      <c r="BD199" t="s">
        <v>6</v>
      </c>
      <c r="BE199" t="s">
        <v>6</v>
      </c>
      <c r="BF199" t="s">
        <v>6</v>
      </c>
      <c r="BG199" t="s">
        <v>6</v>
      </c>
      <c r="BH199">
        <v>0</v>
      </c>
      <c r="BI199">
        <v>2</v>
      </c>
      <c r="BJ199" t="s">
        <v>508</v>
      </c>
      <c r="BM199">
        <v>108001</v>
      </c>
      <c r="BN199">
        <v>0</v>
      </c>
      <c r="BO199" t="s">
        <v>6</v>
      </c>
      <c r="BP199">
        <v>0</v>
      </c>
      <c r="BQ199">
        <v>3</v>
      </c>
      <c r="BR199">
        <v>0</v>
      </c>
      <c r="BS199">
        <v>7.13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6</v>
      </c>
      <c r="BZ199">
        <v>95</v>
      </c>
      <c r="CA199">
        <v>65</v>
      </c>
      <c r="CE199">
        <v>0</v>
      </c>
      <c r="CF199">
        <v>0</v>
      </c>
      <c r="CG199">
        <v>0</v>
      </c>
      <c r="CM199">
        <v>0</v>
      </c>
      <c r="CN199" t="s">
        <v>6</v>
      </c>
      <c r="CO199">
        <v>0</v>
      </c>
      <c r="CP199">
        <f t="shared" si="213"/>
        <v>4617.6799999999994</v>
      </c>
      <c r="CQ199">
        <f t="shared" si="214"/>
        <v>143.24170000000001</v>
      </c>
      <c r="CR199">
        <f t="shared" si="215"/>
        <v>7.4865000000000004</v>
      </c>
      <c r="CS199">
        <f t="shared" si="216"/>
        <v>0</v>
      </c>
      <c r="CT199">
        <f t="shared" si="217"/>
        <v>105.8092</v>
      </c>
      <c r="CU199">
        <f t="shared" si="218"/>
        <v>0</v>
      </c>
      <c r="CV199">
        <f t="shared" si="219"/>
        <v>1.56</v>
      </c>
      <c r="CW199">
        <f t="shared" si="220"/>
        <v>0</v>
      </c>
      <c r="CX199">
        <f t="shared" si="221"/>
        <v>0</v>
      </c>
      <c r="CY199">
        <f t="shared" si="222"/>
        <v>1809.3415</v>
      </c>
      <c r="CZ199">
        <f t="shared" si="223"/>
        <v>1237.9705000000001</v>
      </c>
      <c r="DC199" t="s">
        <v>6</v>
      </c>
      <c r="DD199" t="s">
        <v>6</v>
      </c>
      <c r="DE199" t="s">
        <v>6</v>
      </c>
      <c r="DF199" t="s">
        <v>6</v>
      </c>
      <c r="DG199" t="s">
        <v>6</v>
      </c>
      <c r="DH199" t="s">
        <v>6</v>
      </c>
      <c r="DI199" t="s">
        <v>6</v>
      </c>
      <c r="DJ199" t="s">
        <v>6</v>
      </c>
      <c r="DK199" t="s">
        <v>6</v>
      </c>
      <c r="DL199" t="s">
        <v>6</v>
      </c>
      <c r="DM199" t="s">
        <v>6</v>
      </c>
      <c r="DN199">
        <v>0</v>
      </c>
      <c r="DO199">
        <v>0</v>
      </c>
      <c r="DP199">
        <v>1</v>
      </c>
      <c r="DQ199">
        <v>1</v>
      </c>
      <c r="DU199">
        <v>1013</v>
      </c>
      <c r="DV199" t="s">
        <v>127</v>
      </c>
      <c r="DW199" t="s">
        <v>127</v>
      </c>
      <c r="DX199">
        <v>1</v>
      </c>
      <c r="EE199">
        <v>16609228</v>
      </c>
      <c r="EF199">
        <v>3</v>
      </c>
      <c r="EG199" t="s">
        <v>491</v>
      </c>
      <c r="EH199">
        <v>0</v>
      </c>
      <c r="EI199" t="s">
        <v>6</v>
      </c>
      <c r="EJ199">
        <v>2</v>
      </c>
      <c r="EK199">
        <v>108001</v>
      </c>
      <c r="EL199" t="s">
        <v>492</v>
      </c>
      <c r="EM199" t="s">
        <v>493</v>
      </c>
      <c r="EO199" t="s">
        <v>6</v>
      </c>
      <c r="EQ199">
        <v>131072</v>
      </c>
      <c r="ER199">
        <v>35.979999999999997</v>
      </c>
      <c r="ES199">
        <v>20.09</v>
      </c>
      <c r="ET199">
        <v>1.05</v>
      </c>
      <c r="EU199">
        <v>0</v>
      </c>
      <c r="EV199">
        <v>14.84</v>
      </c>
      <c r="EW199">
        <v>1.56</v>
      </c>
      <c r="EX199">
        <v>0</v>
      </c>
      <c r="EY199">
        <v>0</v>
      </c>
      <c r="FQ199">
        <v>0</v>
      </c>
      <c r="FR199">
        <f t="shared" si="224"/>
        <v>0</v>
      </c>
      <c r="FS199">
        <v>0</v>
      </c>
      <c r="FX199">
        <v>95</v>
      </c>
      <c r="FY199">
        <v>65</v>
      </c>
      <c r="GA199" t="s">
        <v>6</v>
      </c>
      <c r="GD199">
        <v>0</v>
      </c>
      <c r="GF199">
        <v>1616097985</v>
      </c>
      <c r="GG199">
        <v>1</v>
      </c>
      <c r="GH199">
        <v>1</v>
      </c>
      <c r="GI199">
        <v>4</v>
      </c>
      <c r="GJ199">
        <v>0</v>
      </c>
      <c r="GK199">
        <f>ROUND(R199*(R12)/100,2)</f>
        <v>0</v>
      </c>
      <c r="GL199">
        <f t="shared" si="225"/>
        <v>0</v>
      </c>
      <c r="GM199">
        <f t="shared" si="226"/>
        <v>7664.99</v>
      </c>
      <c r="GN199">
        <f t="shared" si="227"/>
        <v>0</v>
      </c>
      <c r="GO199">
        <f t="shared" si="228"/>
        <v>7664.99</v>
      </c>
      <c r="GP199">
        <f t="shared" si="229"/>
        <v>0</v>
      </c>
      <c r="GR199">
        <v>0</v>
      </c>
      <c r="GS199">
        <v>3</v>
      </c>
      <c r="GT199">
        <v>0</v>
      </c>
      <c r="GU199" t="s">
        <v>6</v>
      </c>
      <c r="GV199">
        <f t="shared" si="230"/>
        <v>0</v>
      </c>
      <c r="GW199">
        <v>1</v>
      </c>
      <c r="GX199">
        <f t="shared" si="231"/>
        <v>0</v>
      </c>
      <c r="HA199">
        <v>0</v>
      </c>
      <c r="HB199">
        <v>0</v>
      </c>
      <c r="HC199">
        <f t="shared" si="232"/>
        <v>0</v>
      </c>
      <c r="IK199">
        <v>0</v>
      </c>
    </row>
    <row r="200" spans="1:245" x14ac:dyDescent="0.2">
      <c r="A200">
        <v>18</v>
      </c>
      <c r="B200">
        <v>1</v>
      </c>
      <c r="C200">
        <v>472</v>
      </c>
      <c r="E200" t="s">
        <v>660</v>
      </c>
      <c r="F200" t="s">
        <v>661</v>
      </c>
      <c r="G200" t="s">
        <v>662</v>
      </c>
      <c r="H200" t="s">
        <v>132</v>
      </c>
      <c r="I200">
        <f>I199*J200</f>
        <v>14</v>
      </c>
      <c r="J200">
        <v>0.77777777777777779</v>
      </c>
      <c r="O200">
        <f t="shared" si="199"/>
        <v>6636.03</v>
      </c>
      <c r="P200">
        <f t="shared" si="200"/>
        <v>6636.03</v>
      </c>
      <c r="Q200">
        <f t="shared" si="201"/>
        <v>0</v>
      </c>
      <c r="R200">
        <f t="shared" si="202"/>
        <v>0</v>
      </c>
      <c r="S200">
        <f t="shared" si="203"/>
        <v>0</v>
      </c>
      <c r="T200">
        <f t="shared" si="204"/>
        <v>0</v>
      </c>
      <c r="U200">
        <f t="shared" si="205"/>
        <v>0</v>
      </c>
      <c r="V200">
        <f t="shared" si="206"/>
        <v>0</v>
      </c>
      <c r="W200">
        <f t="shared" si="207"/>
        <v>0</v>
      </c>
      <c r="X200">
        <f t="shared" si="208"/>
        <v>0</v>
      </c>
      <c r="Y200">
        <f t="shared" si="209"/>
        <v>0</v>
      </c>
      <c r="AA200">
        <v>16630606</v>
      </c>
      <c r="AB200">
        <f t="shared" si="210"/>
        <v>66.48</v>
      </c>
      <c r="AC200">
        <f t="shared" si="193"/>
        <v>66.48</v>
      </c>
      <c r="AD200">
        <f t="shared" si="194"/>
        <v>0</v>
      </c>
      <c r="AE200">
        <f t="shared" si="195"/>
        <v>0</v>
      </c>
      <c r="AF200">
        <f t="shared" si="196"/>
        <v>0</v>
      </c>
      <c r="AG200">
        <f t="shared" si="211"/>
        <v>0</v>
      </c>
      <c r="AH200">
        <f t="shared" si="197"/>
        <v>0</v>
      </c>
      <c r="AI200">
        <f t="shared" si="198"/>
        <v>0</v>
      </c>
      <c r="AJ200">
        <f t="shared" si="212"/>
        <v>0</v>
      </c>
      <c r="AK200">
        <v>66.48</v>
      </c>
      <c r="AL200">
        <v>66.48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95</v>
      </c>
      <c r="AU200">
        <v>65</v>
      </c>
      <c r="AV200">
        <v>1</v>
      </c>
      <c r="AW200">
        <v>1</v>
      </c>
      <c r="AZ200">
        <v>7.13</v>
      </c>
      <c r="BA200">
        <v>1</v>
      </c>
      <c r="BB200">
        <v>1</v>
      </c>
      <c r="BC200">
        <v>7.13</v>
      </c>
      <c r="BD200" t="s">
        <v>6</v>
      </c>
      <c r="BE200" t="s">
        <v>6</v>
      </c>
      <c r="BF200" t="s">
        <v>6</v>
      </c>
      <c r="BG200" t="s">
        <v>6</v>
      </c>
      <c r="BH200">
        <v>3</v>
      </c>
      <c r="BI200">
        <v>2</v>
      </c>
      <c r="BJ200" t="s">
        <v>663</v>
      </c>
      <c r="BM200">
        <v>108001</v>
      </c>
      <c r="BN200">
        <v>0</v>
      </c>
      <c r="BO200" t="s">
        <v>6</v>
      </c>
      <c r="BP200">
        <v>0</v>
      </c>
      <c r="BQ200">
        <v>3</v>
      </c>
      <c r="BR200">
        <v>0</v>
      </c>
      <c r="BS200">
        <v>1</v>
      </c>
      <c r="BT200">
        <v>1</v>
      </c>
      <c r="BU200">
        <v>1</v>
      </c>
      <c r="BV200">
        <v>1</v>
      </c>
      <c r="BW200">
        <v>1</v>
      </c>
      <c r="BX200">
        <v>1</v>
      </c>
      <c r="BY200" t="s">
        <v>6</v>
      </c>
      <c r="BZ200">
        <v>95</v>
      </c>
      <c r="CA200">
        <v>65</v>
      </c>
      <c r="CE200">
        <v>0</v>
      </c>
      <c r="CF200">
        <v>0</v>
      </c>
      <c r="CG200">
        <v>0</v>
      </c>
      <c r="CM200">
        <v>0</v>
      </c>
      <c r="CN200" t="s">
        <v>6</v>
      </c>
      <c r="CO200">
        <v>0</v>
      </c>
      <c r="CP200">
        <f t="shared" si="213"/>
        <v>6636.03</v>
      </c>
      <c r="CQ200">
        <f t="shared" si="214"/>
        <v>474.00240000000002</v>
      </c>
      <c r="CR200">
        <f t="shared" si="215"/>
        <v>0</v>
      </c>
      <c r="CS200">
        <f t="shared" si="216"/>
        <v>0</v>
      </c>
      <c r="CT200">
        <f t="shared" si="217"/>
        <v>0</v>
      </c>
      <c r="CU200">
        <f t="shared" si="218"/>
        <v>0</v>
      </c>
      <c r="CV200">
        <f t="shared" si="219"/>
        <v>0</v>
      </c>
      <c r="CW200">
        <f t="shared" si="220"/>
        <v>0</v>
      </c>
      <c r="CX200">
        <f t="shared" si="221"/>
        <v>0</v>
      </c>
      <c r="CY200">
        <f t="shared" si="222"/>
        <v>0</v>
      </c>
      <c r="CZ200">
        <f t="shared" si="223"/>
        <v>0</v>
      </c>
      <c r="DC200" t="s">
        <v>6</v>
      </c>
      <c r="DD200" t="s">
        <v>6</v>
      </c>
      <c r="DE200" t="s">
        <v>6</v>
      </c>
      <c r="DF200" t="s">
        <v>6</v>
      </c>
      <c r="DG200" t="s">
        <v>6</v>
      </c>
      <c r="DH200" t="s">
        <v>6</v>
      </c>
      <c r="DI200" t="s">
        <v>6</v>
      </c>
      <c r="DJ200" t="s">
        <v>6</v>
      </c>
      <c r="DK200" t="s">
        <v>6</v>
      </c>
      <c r="DL200" t="s">
        <v>6</v>
      </c>
      <c r="DM200" t="s">
        <v>6</v>
      </c>
      <c r="DN200">
        <v>0</v>
      </c>
      <c r="DO200">
        <v>0</v>
      </c>
      <c r="DP200">
        <v>1</v>
      </c>
      <c r="DQ200">
        <v>1</v>
      </c>
      <c r="DU200">
        <v>1010</v>
      </c>
      <c r="DV200" t="s">
        <v>132</v>
      </c>
      <c r="DW200" t="s">
        <v>132</v>
      </c>
      <c r="DX200">
        <v>1</v>
      </c>
      <c r="EE200">
        <v>16609228</v>
      </c>
      <c r="EF200">
        <v>3</v>
      </c>
      <c r="EG200" t="s">
        <v>491</v>
      </c>
      <c r="EH200">
        <v>0</v>
      </c>
      <c r="EI200" t="s">
        <v>6</v>
      </c>
      <c r="EJ200">
        <v>2</v>
      </c>
      <c r="EK200">
        <v>108001</v>
      </c>
      <c r="EL200" t="s">
        <v>492</v>
      </c>
      <c r="EM200" t="s">
        <v>493</v>
      </c>
      <c r="EO200" t="s">
        <v>6</v>
      </c>
      <c r="EQ200">
        <v>0</v>
      </c>
      <c r="ER200">
        <v>66.48</v>
      </c>
      <c r="ES200">
        <v>66.48</v>
      </c>
      <c r="ET200">
        <v>0</v>
      </c>
      <c r="EU200">
        <v>0</v>
      </c>
      <c r="EV200">
        <v>0</v>
      </c>
      <c r="EW200">
        <v>0</v>
      </c>
      <c r="EX200">
        <v>0</v>
      </c>
      <c r="FQ200">
        <v>0</v>
      </c>
      <c r="FR200">
        <f t="shared" si="224"/>
        <v>0</v>
      </c>
      <c r="FS200">
        <v>0</v>
      </c>
      <c r="FX200">
        <v>95</v>
      </c>
      <c r="FY200">
        <v>65</v>
      </c>
      <c r="GA200" t="s">
        <v>6</v>
      </c>
      <c r="GD200">
        <v>0</v>
      </c>
      <c r="GF200">
        <v>1922285457</v>
      </c>
      <c r="GG200">
        <v>1</v>
      </c>
      <c r="GH200">
        <v>1</v>
      </c>
      <c r="GI200">
        <v>4</v>
      </c>
      <c r="GJ200">
        <v>0</v>
      </c>
      <c r="GK200">
        <f>ROUND(R200*(R12)/100,2)</f>
        <v>0</v>
      </c>
      <c r="GL200">
        <f t="shared" si="225"/>
        <v>0</v>
      </c>
      <c r="GM200">
        <f t="shared" si="226"/>
        <v>6636.03</v>
      </c>
      <c r="GN200">
        <f t="shared" si="227"/>
        <v>0</v>
      </c>
      <c r="GO200">
        <f t="shared" si="228"/>
        <v>6636.03</v>
      </c>
      <c r="GP200">
        <f t="shared" si="229"/>
        <v>0</v>
      </c>
      <c r="GR200">
        <v>0</v>
      </c>
      <c r="GS200">
        <v>3</v>
      </c>
      <c r="GT200">
        <v>0</v>
      </c>
      <c r="GU200" t="s">
        <v>6</v>
      </c>
      <c r="GV200">
        <f t="shared" si="230"/>
        <v>0</v>
      </c>
      <c r="GW200">
        <v>1</v>
      </c>
      <c r="GX200">
        <f t="shared" si="231"/>
        <v>0</v>
      </c>
      <c r="HA200">
        <v>0</v>
      </c>
      <c r="HB200">
        <v>0</v>
      </c>
      <c r="HC200">
        <f t="shared" si="232"/>
        <v>0</v>
      </c>
      <c r="IK200">
        <v>0</v>
      </c>
    </row>
    <row r="201" spans="1:245" x14ac:dyDescent="0.2">
      <c r="A201">
        <v>18</v>
      </c>
      <c r="B201">
        <v>1</v>
      </c>
      <c r="C201">
        <v>471</v>
      </c>
      <c r="E201" t="s">
        <v>664</v>
      </c>
      <c r="F201" t="s">
        <v>665</v>
      </c>
      <c r="G201" t="s">
        <v>666</v>
      </c>
      <c r="H201" t="s">
        <v>132</v>
      </c>
      <c r="I201">
        <f>I199*J201</f>
        <v>2</v>
      </c>
      <c r="J201">
        <v>0.1111111111111111</v>
      </c>
      <c r="O201">
        <f t="shared" si="199"/>
        <v>1049.96</v>
      </c>
      <c r="P201">
        <f t="shared" si="200"/>
        <v>1049.96</v>
      </c>
      <c r="Q201">
        <f t="shared" si="201"/>
        <v>0</v>
      </c>
      <c r="R201">
        <f t="shared" si="202"/>
        <v>0</v>
      </c>
      <c r="S201">
        <f t="shared" si="203"/>
        <v>0</v>
      </c>
      <c r="T201">
        <f t="shared" si="204"/>
        <v>0</v>
      </c>
      <c r="U201">
        <f t="shared" si="205"/>
        <v>0</v>
      </c>
      <c r="V201">
        <f t="shared" si="206"/>
        <v>0</v>
      </c>
      <c r="W201">
        <f t="shared" si="207"/>
        <v>0</v>
      </c>
      <c r="X201">
        <f t="shared" si="208"/>
        <v>0</v>
      </c>
      <c r="Y201">
        <f t="shared" si="209"/>
        <v>0</v>
      </c>
      <c r="AA201">
        <v>16630606</v>
      </c>
      <c r="AB201">
        <f t="shared" si="210"/>
        <v>73.63</v>
      </c>
      <c r="AC201">
        <f t="shared" si="193"/>
        <v>73.63</v>
      </c>
      <c r="AD201">
        <f t="shared" si="194"/>
        <v>0</v>
      </c>
      <c r="AE201">
        <f t="shared" si="195"/>
        <v>0</v>
      </c>
      <c r="AF201">
        <f t="shared" si="196"/>
        <v>0</v>
      </c>
      <c r="AG201">
        <f t="shared" si="211"/>
        <v>0</v>
      </c>
      <c r="AH201">
        <f t="shared" si="197"/>
        <v>0</v>
      </c>
      <c r="AI201">
        <f t="shared" si="198"/>
        <v>0</v>
      </c>
      <c r="AJ201">
        <f t="shared" si="212"/>
        <v>0</v>
      </c>
      <c r="AK201">
        <v>73.63</v>
      </c>
      <c r="AL201">
        <v>73.63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95</v>
      </c>
      <c r="AU201">
        <v>65</v>
      </c>
      <c r="AV201">
        <v>1</v>
      </c>
      <c r="AW201">
        <v>1</v>
      </c>
      <c r="AZ201">
        <v>7.13</v>
      </c>
      <c r="BA201">
        <v>1</v>
      </c>
      <c r="BB201">
        <v>1</v>
      </c>
      <c r="BC201">
        <v>7.13</v>
      </c>
      <c r="BD201" t="s">
        <v>6</v>
      </c>
      <c r="BE201" t="s">
        <v>6</v>
      </c>
      <c r="BF201" t="s">
        <v>6</v>
      </c>
      <c r="BG201" t="s">
        <v>6</v>
      </c>
      <c r="BH201">
        <v>3</v>
      </c>
      <c r="BI201">
        <v>2</v>
      </c>
      <c r="BJ201" t="s">
        <v>667</v>
      </c>
      <c r="BM201">
        <v>108001</v>
      </c>
      <c r="BN201">
        <v>0</v>
      </c>
      <c r="BO201" t="s">
        <v>6</v>
      </c>
      <c r="BP201">
        <v>0</v>
      </c>
      <c r="BQ201">
        <v>3</v>
      </c>
      <c r="BR201">
        <v>0</v>
      </c>
      <c r="BS201">
        <v>1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6</v>
      </c>
      <c r="BZ201">
        <v>95</v>
      </c>
      <c r="CA201">
        <v>65</v>
      </c>
      <c r="CE201">
        <v>0</v>
      </c>
      <c r="CF201">
        <v>0</v>
      </c>
      <c r="CG201">
        <v>0</v>
      </c>
      <c r="CM201">
        <v>0</v>
      </c>
      <c r="CN201" t="s">
        <v>6</v>
      </c>
      <c r="CO201">
        <v>0</v>
      </c>
      <c r="CP201">
        <f t="shared" si="213"/>
        <v>1049.96</v>
      </c>
      <c r="CQ201">
        <f t="shared" si="214"/>
        <v>524.9819</v>
      </c>
      <c r="CR201">
        <f t="shared" si="215"/>
        <v>0</v>
      </c>
      <c r="CS201">
        <f t="shared" si="216"/>
        <v>0</v>
      </c>
      <c r="CT201">
        <f t="shared" si="217"/>
        <v>0</v>
      </c>
      <c r="CU201">
        <f t="shared" si="218"/>
        <v>0</v>
      </c>
      <c r="CV201">
        <f t="shared" si="219"/>
        <v>0</v>
      </c>
      <c r="CW201">
        <f t="shared" si="220"/>
        <v>0</v>
      </c>
      <c r="CX201">
        <f t="shared" si="221"/>
        <v>0</v>
      </c>
      <c r="CY201">
        <f t="shared" si="222"/>
        <v>0</v>
      </c>
      <c r="CZ201">
        <f t="shared" si="223"/>
        <v>0</v>
      </c>
      <c r="DC201" t="s">
        <v>6</v>
      </c>
      <c r="DD201" t="s">
        <v>6</v>
      </c>
      <c r="DE201" t="s">
        <v>6</v>
      </c>
      <c r="DF201" t="s">
        <v>6</v>
      </c>
      <c r="DG201" t="s">
        <v>6</v>
      </c>
      <c r="DH201" t="s">
        <v>6</v>
      </c>
      <c r="DI201" t="s">
        <v>6</v>
      </c>
      <c r="DJ201" t="s">
        <v>6</v>
      </c>
      <c r="DK201" t="s">
        <v>6</v>
      </c>
      <c r="DL201" t="s">
        <v>6</v>
      </c>
      <c r="DM201" t="s">
        <v>6</v>
      </c>
      <c r="DN201">
        <v>0</v>
      </c>
      <c r="DO201">
        <v>0</v>
      </c>
      <c r="DP201">
        <v>1</v>
      </c>
      <c r="DQ201">
        <v>1</v>
      </c>
      <c r="DU201">
        <v>1010</v>
      </c>
      <c r="DV201" t="s">
        <v>132</v>
      </c>
      <c r="DW201" t="s">
        <v>132</v>
      </c>
      <c r="DX201">
        <v>1</v>
      </c>
      <c r="EE201">
        <v>16609228</v>
      </c>
      <c r="EF201">
        <v>3</v>
      </c>
      <c r="EG201" t="s">
        <v>491</v>
      </c>
      <c r="EH201">
        <v>0</v>
      </c>
      <c r="EI201" t="s">
        <v>6</v>
      </c>
      <c r="EJ201">
        <v>2</v>
      </c>
      <c r="EK201">
        <v>108001</v>
      </c>
      <c r="EL201" t="s">
        <v>492</v>
      </c>
      <c r="EM201" t="s">
        <v>493</v>
      </c>
      <c r="EO201" t="s">
        <v>6</v>
      </c>
      <c r="EQ201">
        <v>0</v>
      </c>
      <c r="ER201">
        <v>73.63</v>
      </c>
      <c r="ES201">
        <v>73.63</v>
      </c>
      <c r="ET201">
        <v>0</v>
      </c>
      <c r="EU201">
        <v>0</v>
      </c>
      <c r="EV201">
        <v>0</v>
      </c>
      <c r="EW201">
        <v>0</v>
      </c>
      <c r="EX201">
        <v>0</v>
      </c>
      <c r="FQ201">
        <v>0</v>
      </c>
      <c r="FR201">
        <f t="shared" si="224"/>
        <v>0</v>
      </c>
      <c r="FS201">
        <v>0</v>
      </c>
      <c r="FX201">
        <v>95</v>
      </c>
      <c r="FY201">
        <v>65</v>
      </c>
      <c r="GA201" t="s">
        <v>6</v>
      </c>
      <c r="GD201">
        <v>0</v>
      </c>
      <c r="GF201">
        <v>-400125341</v>
      </c>
      <c r="GG201">
        <v>1</v>
      </c>
      <c r="GH201">
        <v>1</v>
      </c>
      <c r="GI201">
        <v>4</v>
      </c>
      <c r="GJ201">
        <v>0</v>
      </c>
      <c r="GK201">
        <f>ROUND(R201*(R12)/100,2)</f>
        <v>0</v>
      </c>
      <c r="GL201">
        <f t="shared" si="225"/>
        <v>0</v>
      </c>
      <c r="GM201">
        <f t="shared" si="226"/>
        <v>1049.96</v>
      </c>
      <c r="GN201">
        <f t="shared" si="227"/>
        <v>0</v>
      </c>
      <c r="GO201">
        <f t="shared" si="228"/>
        <v>1049.96</v>
      </c>
      <c r="GP201">
        <f t="shared" si="229"/>
        <v>0</v>
      </c>
      <c r="GR201">
        <v>0</v>
      </c>
      <c r="GS201">
        <v>3</v>
      </c>
      <c r="GT201">
        <v>0</v>
      </c>
      <c r="GU201" t="s">
        <v>6</v>
      </c>
      <c r="GV201">
        <f t="shared" si="230"/>
        <v>0</v>
      </c>
      <c r="GW201">
        <v>1</v>
      </c>
      <c r="GX201">
        <f t="shared" si="231"/>
        <v>0</v>
      </c>
      <c r="HA201">
        <v>0</v>
      </c>
      <c r="HB201">
        <v>0</v>
      </c>
      <c r="HC201">
        <f t="shared" si="232"/>
        <v>0</v>
      </c>
      <c r="IK201">
        <v>0</v>
      </c>
    </row>
    <row r="202" spans="1:245" x14ac:dyDescent="0.2">
      <c r="A202">
        <v>18</v>
      </c>
      <c r="B202">
        <v>1</v>
      </c>
      <c r="C202">
        <v>470</v>
      </c>
      <c r="E202" t="s">
        <v>668</v>
      </c>
      <c r="F202" t="s">
        <v>669</v>
      </c>
      <c r="G202" t="s">
        <v>670</v>
      </c>
      <c r="H202" t="s">
        <v>132</v>
      </c>
      <c r="I202">
        <f>I199*J202</f>
        <v>2</v>
      </c>
      <c r="J202">
        <v>0.1111111111111111</v>
      </c>
      <c r="O202">
        <f t="shared" si="199"/>
        <v>2034.05</v>
      </c>
      <c r="P202">
        <f t="shared" si="200"/>
        <v>2034.05</v>
      </c>
      <c r="Q202">
        <f t="shared" si="201"/>
        <v>0</v>
      </c>
      <c r="R202">
        <f t="shared" si="202"/>
        <v>0</v>
      </c>
      <c r="S202">
        <f t="shared" si="203"/>
        <v>0</v>
      </c>
      <c r="T202">
        <f t="shared" si="204"/>
        <v>0</v>
      </c>
      <c r="U202">
        <f t="shared" si="205"/>
        <v>0</v>
      </c>
      <c r="V202">
        <f t="shared" si="206"/>
        <v>0</v>
      </c>
      <c r="W202">
        <f t="shared" si="207"/>
        <v>0</v>
      </c>
      <c r="X202">
        <f t="shared" si="208"/>
        <v>0</v>
      </c>
      <c r="Y202">
        <f t="shared" si="209"/>
        <v>0</v>
      </c>
      <c r="AA202">
        <v>16630606</v>
      </c>
      <c r="AB202">
        <f t="shared" si="210"/>
        <v>142.63999999999999</v>
      </c>
      <c r="AC202">
        <f t="shared" si="193"/>
        <v>142.63999999999999</v>
      </c>
      <c r="AD202">
        <f t="shared" si="194"/>
        <v>0</v>
      </c>
      <c r="AE202">
        <f t="shared" si="195"/>
        <v>0</v>
      </c>
      <c r="AF202">
        <f t="shared" si="196"/>
        <v>0</v>
      </c>
      <c r="AG202">
        <f t="shared" si="211"/>
        <v>0</v>
      </c>
      <c r="AH202">
        <f t="shared" si="197"/>
        <v>0</v>
      </c>
      <c r="AI202">
        <f t="shared" si="198"/>
        <v>0</v>
      </c>
      <c r="AJ202">
        <f t="shared" si="212"/>
        <v>0</v>
      </c>
      <c r="AK202">
        <v>142.63999999999999</v>
      </c>
      <c r="AL202">
        <v>142.63999999999999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95</v>
      </c>
      <c r="AU202">
        <v>65</v>
      </c>
      <c r="AV202">
        <v>1</v>
      </c>
      <c r="AW202">
        <v>1</v>
      </c>
      <c r="AZ202">
        <v>7.13</v>
      </c>
      <c r="BA202">
        <v>1</v>
      </c>
      <c r="BB202">
        <v>1</v>
      </c>
      <c r="BC202">
        <v>7.13</v>
      </c>
      <c r="BD202" t="s">
        <v>6</v>
      </c>
      <c r="BE202" t="s">
        <v>6</v>
      </c>
      <c r="BF202" t="s">
        <v>6</v>
      </c>
      <c r="BG202" t="s">
        <v>6</v>
      </c>
      <c r="BH202">
        <v>3</v>
      </c>
      <c r="BI202">
        <v>2</v>
      </c>
      <c r="BJ202" t="s">
        <v>671</v>
      </c>
      <c r="BM202">
        <v>108001</v>
      </c>
      <c r="BN202">
        <v>0</v>
      </c>
      <c r="BO202" t="s">
        <v>6</v>
      </c>
      <c r="BP202">
        <v>0</v>
      </c>
      <c r="BQ202">
        <v>3</v>
      </c>
      <c r="BR202">
        <v>0</v>
      </c>
      <c r="BS202">
        <v>1</v>
      </c>
      <c r="BT202">
        <v>1</v>
      </c>
      <c r="BU202">
        <v>1</v>
      </c>
      <c r="BV202">
        <v>1</v>
      </c>
      <c r="BW202">
        <v>1</v>
      </c>
      <c r="BX202">
        <v>1</v>
      </c>
      <c r="BY202" t="s">
        <v>6</v>
      </c>
      <c r="BZ202">
        <v>95</v>
      </c>
      <c r="CA202">
        <v>65</v>
      </c>
      <c r="CE202">
        <v>0</v>
      </c>
      <c r="CF202">
        <v>0</v>
      </c>
      <c r="CG202">
        <v>0</v>
      </c>
      <c r="CM202">
        <v>0</v>
      </c>
      <c r="CN202" t="s">
        <v>6</v>
      </c>
      <c r="CO202">
        <v>0</v>
      </c>
      <c r="CP202">
        <f t="shared" si="213"/>
        <v>2034.05</v>
      </c>
      <c r="CQ202">
        <f t="shared" si="214"/>
        <v>1017.0231999999999</v>
      </c>
      <c r="CR202">
        <f t="shared" si="215"/>
        <v>0</v>
      </c>
      <c r="CS202">
        <f t="shared" si="216"/>
        <v>0</v>
      </c>
      <c r="CT202">
        <f t="shared" si="217"/>
        <v>0</v>
      </c>
      <c r="CU202">
        <f t="shared" si="218"/>
        <v>0</v>
      </c>
      <c r="CV202">
        <f t="shared" si="219"/>
        <v>0</v>
      </c>
      <c r="CW202">
        <f t="shared" si="220"/>
        <v>0</v>
      </c>
      <c r="CX202">
        <f t="shared" si="221"/>
        <v>0</v>
      </c>
      <c r="CY202">
        <f t="shared" si="222"/>
        <v>0</v>
      </c>
      <c r="CZ202">
        <f t="shared" si="223"/>
        <v>0</v>
      </c>
      <c r="DC202" t="s">
        <v>6</v>
      </c>
      <c r="DD202" t="s">
        <v>6</v>
      </c>
      <c r="DE202" t="s">
        <v>6</v>
      </c>
      <c r="DF202" t="s">
        <v>6</v>
      </c>
      <c r="DG202" t="s">
        <v>6</v>
      </c>
      <c r="DH202" t="s">
        <v>6</v>
      </c>
      <c r="DI202" t="s">
        <v>6</v>
      </c>
      <c r="DJ202" t="s">
        <v>6</v>
      </c>
      <c r="DK202" t="s">
        <v>6</v>
      </c>
      <c r="DL202" t="s">
        <v>6</v>
      </c>
      <c r="DM202" t="s">
        <v>6</v>
      </c>
      <c r="DN202">
        <v>0</v>
      </c>
      <c r="DO202">
        <v>0</v>
      </c>
      <c r="DP202">
        <v>1</v>
      </c>
      <c r="DQ202">
        <v>1</v>
      </c>
      <c r="DU202">
        <v>1010</v>
      </c>
      <c r="DV202" t="s">
        <v>132</v>
      </c>
      <c r="DW202" t="s">
        <v>132</v>
      </c>
      <c r="DX202">
        <v>1</v>
      </c>
      <c r="EE202">
        <v>16609228</v>
      </c>
      <c r="EF202">
        <v>3</v>
      </c>
      <c r="EG202" t="s">
        <v>491</v>
      </c>
      <c r="EH202">
        <v>0</v>
      </c>
      <c r="EI202" t="s">
        <v>6</v>
      </c>
      <c r="EJ202">
        <v>2</v>
      </c>
      <c r="EK202">
        <v>108001</v>
      </c>
      <c r="EL202" t="s">
        <v>492</v>
      </c>
      <c r="EM202" t="s">
        <v>493</v>
      </c>
      <c r="EO202" t="s">
        <v>6</v>
      </c>
      <c r="EQ202">
        <v>0</v>
      </c>
      <c r="ER202">
        <v>142.63999999999999</v>
      </c>
      <c r="ES202">
        <v>142.63999999999999</v>
      </c>
      <c r="ET202">
        <v>0</v>
      </c>
      <c r="EU202">
        <v>0</v>
      </c>
      <c r="EV202">
        <v>0</v>
      </c>
      <c r="EW202">
        <v>0</v>
      </c>
      <c r="EX202">
        <v>0</v>
      </c>
      <c r="FQ202">
        <v>0</v>
      </c>
      <c r="FR202">
        <f t="shared" si="224"/>
        <v>0</v>
      </c>
      <c r="FS202">
        <v>0</v>
      </c>
      <c r="FX202">
        <v>95</v>
      </c>
      <c r="FY202">
        <v>65</v>
      </c>
      <c r="GA202" t="s">
        <v>6</v>
      </c>
      <c r="GD202">
        <v>0</v>
      </c>
      <c r="GF202">
        <v>-1557122540</v>
      </c>
      <c r="GG202">
        <v>1</v>
      </c>
      <c r="GH202">
        <v>1</v>
      </c>
      <c r="GI202">
        <v>4</v>
      </c>
      <c r="GJ202">
        <v>0</v>
      </c>
      <c r="GK202">
        <f>ROUND(R202*(R12)/100,2)</f>
        <v>0</v>
      </c>
      <c r="GL202">
        <f t="shared" si="225"/>
        <v>0</v>
      </c>
      <c r="GM202">
        <f t="shared" si="226"/>
        <v>2034.05</v>
      </c>
      <c r="GN202">
        <f t="shared" si="227"/>
        <v>0</v>
      </c>
      <c r="GO202">
        <f t="shared" si="228"/>
        <v>2034.05</v>
      </c>
      <c r="GP202">
        <f t="shared" si="229"/>
        <v>0</v>
      </c>
      <c r="GR202">
        <v>0</v>
      </c>
      <c r="GS202">
        <v>3</v>
      </c>
      <c r="GT202">
        <v>0</v>
      </c>
      <c r="GU202" t="s">
        <v>6</v>
      </c>
      <c r="GV202">
        <f t="shared" si="230"/>
        <v>0</v>
      </c>
      <c r="GW202">
        <v>1</v>
      </c>
      <c r="GX202">
        <f t="shared" si="231"/>
        <v>0</v>
      </c>
      <c r="HA202">
        <v>0</v>
      </c>
      <c r="HB202">
        <v>0</v>
      </c>
      <c r="HC202">
        <f t="shared" si="232"/>
        <v>0</v>
      </c>
      <c r="IK202">
        <v>0</v>
      </c>
    </row>
    <row r="203" spans="1:245" x14ac:dyDescent="0.2">
      <c r="A203">
        <v>17</v>
      </c>
      <c r="B203">
        <v>1</v>
      </c>
      <c r="C203">
        <f>ROW(SmtRes!A492)</f>
        <v>492</v>
      </c>
      <c r="D203">
        <f>ROW(EtalonRes!A477)</f>
        <v>477</v>
      </c>
      <c r="E203" t="s">
        <v>672</v>
      </c>
      <c r="F203" t="s">
        <v>673</v>
      </c>
      <c r="G203" t="s">
        <v>674</v>
      </c>
      <c r="H203" t="s">
        <v>127</v>
      </c>
      <c r="I203">
        <v>4</v>
      </c>
      <c r="J203">
        <v>0</v>
      </c>
      <c r="O203">
        <f t="shared" si="199"/>
        <v>1753.41</v>
      </c>
      <c r="P203">
        <f t="shared" si="200"/>
        <v>1037.27</v>
      </c>
      <c r="Q203">
        <f t="shared" si="201"/>
        <v>86.99</v>
      </c>
      <c r="R203">
        <f t="shared" si="202"/>
        <v>7.42</v>
      </c>
      <c r="S203">
        <f t="shared" si="203"/>
        <v>629.15</v>
      </c>
      <c r="T203">
        <f t="shared" si="204"/>
        <v>0</v>
      </c>
      <c r="U203">
        <f t="shared" si="205"/>
        <v>9.2799999999999994</v>
      </c>
      <c r="V203">
        <f t="shared" si="206"/>
        <v>0.08</v>
      </c>
      <c r="W203">
        <f t="shared" si="207"/>
        <v>0</v>
      </c>
      <c r="X203">
        <f t="shared" si="208"/>
        <v>604.74</v>
      </c>
      <c r="Y203">
        <f t="shared" si="209"/>
        <v>413.77</v>
      </c>
      <c r="AA203">
        <v>16630606</v>
      </c>
      <c r="AB203">
        <f t="shared" si="210"/>
        <v>61.48</v>
      </c>
      <c r="AC203">
        <f t="shared" si="193"/>
        <v>36.369999999999997</v>
      </c>
      <c r="AD203">
        <f t="shared" si="194"/>
        <v>3.05</v>
      </c>
      <c r="AE203">
        <f t="shared" si="195"/>
        <v>0.26</v>
      </c>
      <c r="AF203">
        <f t="shared" si="196"/>
        <v>22.06</v>
      </c>
      <c r="AG203">
        <f t="shared" si="211"/>
        <v>0</v>
      </c>
      <c r="AH203">
        <f t="shared" si="197"/>
        <v>2.3199999999999998</v>
      </c>
      <c r="AI203">
        <f t="shared" si="198"/>
        <v>0.02</v>
      </c>
      <c r="AJ203">
        <f t="shared" si="212"/>
        <v>0</v>
      </c>
      <c r="AK203">
        <v>61.48</v>
      </c>
      <c r="AL203">
        <v>36.369999999999997</v>
      </c>
      <c r="AM203">
        <v>3.05</v>
      </c>
      <c r="AN203">
        <v>0.26</v>
      </c>
      <c r="AO203">
        <v>22.06</v>
      </c>
      <c r="AP203">
        <v>0</v>
      </c>
      <c r="AQ203">
        <v>2.3199999999999998</v>
      </c>
      <c r="AR203">
        <v>0.02</v>
      </c>
      <c r="AS203">
        <v>0</v>
      </c>
      <c r="AT203">
        <v>95</v>
      </c>
      <c r="AU203">
        <v>65</v>
      </c>
      <c r="AV203">
        <v>1</v>
      </c>
      <c r="AW203">
        <v>1</v>
      </c>
      <c r="AZ203">
        <v>7.13</v>
      </c>
      <c r="BA203">
        <v>7.13</v>
      </c>
      <c r="BB203">
        <v>7.13</v>
      </c>
      <c r="BC203">
        <v>7.13</v>
      </c>
      <c r="BD203" t="s">
        <v>6</v>
      </c>
      <c r="BE203" t="s">
        <v>6</v>
      </c>
      <c r="BF203" t="s">
        <v>6</v>
      </c>
      <c r="BG203" t="s">
        <v>6</v>
      </c>
      <c r="BH203">
        <v>0</v>
      </c>
      <c r="BI203">
        <v>2</v>
      </c>
      <c r="BJ203" t="s">
        <v>675</v>
      </c>
      <c r="BM203">
        <v>108001</v>
      </c>
      <c r="BN203">
        <v>0</v>
      </c>
      <c r="BO203" t="s">
        <v>6</v>
      </c>
      <c r="BP203">
        <v>0</v>
      </c>
      <c r="BQ203">
        <v>3</v>
      </c>
      <c r="BR203">
        <v>0</v>
      </c>
      <c r="BS203">
        <v>7.13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6</v>
      </c>
      <c r="BZ203">
        <v>95</v>
      </c>
      <c r="CA203">
        <v>65</v>
      </c>
      <c r="CE203">
        <v>0</v>
      </c>
      <c r="CF203">
        <v>0</v>
      </c>
      <c r="CG203">
        <v>0</v>
      </c>
      <c r="CM203">
        <v>0</v>
      </c>
      <c r="CN203" t="s">
        <v>6</v>
      </c>
      <c r="CO203">
        <v>0</v>
      </c>
      <c r="CP203">
        <f t="shared" si="213"/>
        <v>1753.4099999999999</v>
      </c>
      <c r="CQ203">
        <f t="shared" si="214"/>
        <v>259.31809999999996</v>
      </c>
      <c r="CR203">
        <f t="shared" si="215"/>
        <v>21.746499999999997</v>
      </c>
      <c r="CS203">
        <f t="shared" si="216"/>
        <v>1.8538000000000001</v>
      </c>
      <c r="CT203">
        <f t="shared" si="217"/>
        <v>157.28779999999998</v>
      </c>
      <c r="CU203">
        <f t="shared" si="218"/>
        <v>0</v>
      </c>
      <c r="CV203">
        <f t="shared" si="219"/>
        <v>2.3199999999999998</v>
      </c>
      <c r="CW203">
        <f t="shared" si="220"/>
        <v>0.02</v>
      </c>
      <c r="CX203">
        <f t="shared" si="221"/>
        <v>0</v>
      </c>
      <c r="CY203">
        <f t="shared" si="222"/>
        <v>604.74149999999997</v>
      </c>
      <c r="CZ203">
        <f t="shared" si="223"/>
        <v>413.77049999999997</v>
      </c>
      <c r="DC203" t="s">
        <v>6</v>
      </c>
      <c r="DD203" t="s">
        <v>6</v>
      </c>
      <c r="DE203" t="s">
        <v>6</v>
      </c>
      <c r="DF203" t="s">
        <v>6</v>
      </c>
      <c r="DG203" t="s">
        <v>6</v>
      </c>
      <c r="DH203" t="s">
        <v>6</v>
      </c>
      <c r="DI203" t="s">
        <v>6</v>
      </c>
      <c r="DJ203" t="s">
        <v>6</v>
      </c>
      <c r="DK203" t="s">
        <v>6</v>
      </c>
      <c r="DL203" t="s">
        <v>6</v>
      </c>
      <c r="DM203" t="s">
        <v>6</v>
      </c>
      <c r="DN203">
        <v>0</v>
      </c>
      <c r="DO203">
        <v>0</v>
      </c>
      <c r="DP203">
        <v>1</v>
      </c>
      <c r="DQ203">
        <v>1</v>
      </c>
      <c r="DU203">
        <v>1013</v>
      </c>
      <c r="DV203" t="s">
        <v>127</v>
      </c>
      <c r="DW203" t="s">
        <v>127</v>
      </c>
      <c r="DX203">
        <v>1</v>
      </c>
      <c r="EE203">
        <v>16609228</v>
      </c>
      <c r="EF203">
        <v>3</v>
      </c>
      <c r="EG203" t="s">
        <v>491</v>
      </c>
      <c r="EH203">
        <v>0</v>
      </c>
      <c r="EI203" t="s">
        <v>6</v>
      </c>
      <c r="EJ203">
        <v>2</v>
      </c>
      <c r="EK203">
        <v>108001</v>
      </c>
      <c r="EL203" t="s">
        <v>492</v>
      </c>
      <c r="EM203" t="s">
        <v>493</v>
      </c>
      <c r="EO203" t="s">
        <v>6</v>
      </c>
      <c r="EQ203">
        <v>131072</v>
      </c>
      <c r="ER203">
        <v>61.48</v>
      </c>
      <c r="ES203">
        <v>36.369999999999997</v>
      </c>
      <c r="ET203">
        <v>3.05</v>
      </c>
      <c r="EU203">
        <v>0.26</v>
      </c>
      <c r="EV203">
        <v>22.06</v>
      </c>
      <c r="EW203">
        <v>2.3199999999999998</v>
      </c>
      <c r="EX203">
        <v>0.02</v>
      </c>
      <c r="EY203">
        <v>0</v>
      </c>
      <c r="FQ203">
        <v>0</v>
      </c>
      <c r="FR203">
        <f t="shared" si="224"/>
        <v>0</v>
      </c>
      <c r="FS203">
        <v>0</v>
      </c>
      <c r="FX203">
        <v>95</v>
      </c>
      <c r="FY203">
        <v>65</v>
      </c>
      <c r="GA203" t="s">
        <v>6</v>
      </c>
      <c r="GD203">
        <v>0</v>
      </c>
      <c r="GF203">
        <v>484308007</v>
      </c>
      <c r="GG203">
        <v>1</v>
      </c>
      <c r="GH203">
        <v>1</v>
      </c>
      <c r="GI203">
        <v>4</v>
      </c>
      <c r="GJ203">
        <v>0</v>
      </c>
      <c r="GK203">
        <f>ROUND(R203*(R12)/100,2)</f>
        <v>0</v>
      </c>
      <c r="GL203">
        <f t="shared" si="225"/>
        <v>0</v>
      </c>
      <c r="GM203">
        <f t="shared" si="226"/>
        <v>2771.92</v>
      </c>
      <c r="GN203">
        <f t="shared" si="227"/>
        <v>0</v>
      </c>
      <c r="GO203">
        <f t="shared" si="228"/>
        <v>2771.92</v>
      </c>
      <c r="GP203">
        <f t="shared" si="229"/>
        <v>0</v>
      </c>
      <c r="GR203">
        <v>0</v>
      </c>
      <c r="GS203">
        <v>3</v>
      </c>
      <c r="GT203">
        <v>0</v>
      </c>
      <c r="GU203" t="s">
        <v>6</v>
      </c>
      <c r="GV203">
        <f t="shared" si="230"/>
        <v>0</v>
      </c>
      <c r="GW203">
        <v>1</v>
      </c>
      <c r="GX203">
        <f t="shared" si="231"/>
        <v>0</v>
      </c>
      <c r="HA203">
        <v>0</v>
      </c>
      <c r="HB203">
        <v>0</v>
      </c>
      <c r="HC203">
        <f t="shared" si="232"/>
        <v>0</v>
      </c>
      <c r="IK203">
        <v>0</v>
      </c>
    </row>
    <row r="204" spans="1:245" x14ac:dyDescent="0.2">
      <c r="A204">
        <v>18</v>
      </c>
      <c r="B204">
        <v>1</v>
      </c>
      <c r="C204">
        <v>491</v>
      </c>
      <c r="E204" t="s">
        <v>676</v>
      </c>
      <c r="F204" t="s">
        <v>677</v>
      </c>
      <c r="G204" t="s">
        <v>678</v>
      </c>
      <c r="H204" t="s">
        <v>132</v>
      </c>
      <c r="I204">
        <f>I203*J204</f>
        <v>4</v>
      </c>
      <c r="J204">
        <v>1</v>
      </c>
      <c r="O204">
        <f t="shared" si="199"/>
        <v>2192.9</v>
      </c>
      <c r="P204">
        <f t="shared" si="200"/>
        <v>2192.9</v>
      </c>
      <c r="Q204">
        <f t="shared" si="201"/>
        <v>0</v>
      </c>
      <c r="R204">
        <f t="shared" si="202"/>
        <v>0</v>
      </c>
      <c r="S204">
        <f t="shared" si="203"/>
        <v>0</v>
      </c>
      <c r="T204">
        <f t="shared" si="204"/>
        <v>0</v>
      </c>
      <c r="U204">
        <f t="shared" si="205"/>
        <v>0</v>
      </c>
      <c r="V204">
        <f t="shared" si="206"/>
        <v>0</v>
      </c>
      <c r="W204">
        <f t="shared" si="207"/>
        <v>0</v>
      </c>
      <c r="X204">
        <f t="shared" si="208"/>
        <v>0</v>
      </c>
      <c r="Y204">
        <f t="shared" si="209"/>
        <v>0</v>
      </c>
      <c r="AA204">
        <v>16630606</v>
      </c>
      <c r="AB204">
        <f t="shared" si="210"/>
        <v>76.89</v>
      </c>
      <c r="AC204">
        <f t="shared" si="193"/>
        <v>76.89</v>
      </c>
      <c r="AD204">
        <f t="shared" si="194"/>
        <v>0</v>
      </c>
      <c r="AE204">
        <f t="shared" si="195"/>
        <v>0</v>
      </c>
      <c r="AF204">
        <f t="shared" si="196"/>
        <v>0</v>
      </c>
      <c r="AG204">
        <f t="shared" si="211"/>
        <v>0</v>
      </c>
      <c r="AH204">
        <f t="shared" si="197"/>
        <v>0</v>
      </c>
      <c r="AI204">
        <f t="shared" si="198"/>
        <v>0</v>
      </c>
      <c r="AJ204">
        <f t="shared" si="212"/>
        <v>0</v>
      </c>
      <c r="AK204">
        <v>76.89</v>
      </c>
      <c r="AL204">
        <v>76.89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95</v>
      </c>
      <c r="AU204">
        <v>65</v>
      </c>
      <c r="AV204">
        <v>1</v>
      </c>
      <c r="AW204">
        <v>1</v>
      </c>
      <c r="AZ204">
        <v>7.13</v>
      </c>
      <c r="BA204">
        <v>1</v>
      </c>
      <c r="BB204">
        <v>1</v>
      </c>
      <c r="BC204">
        <v>7.13</v>
      </c>
      <c r="BD204" t="s">
        <v>6</v>
      </c>
      <c r="BE204" t="s">
        <v>6</v>
      </c>
      <c r="BF204" t="s">
        <v>6</v>
      </c>
      <c r="BG204" t="s">
        <v>6</v>
      </c>
      <c r="BH204">
        <v>3</v>
      </c>
      <c r="BI204">
        <v>2</v>
      </c>
      <c r="BJ204" t="s">
        <v>679</v>
      </c>
      <c r="BM204">
        <v>108001</v>
      </c>
      <c r="BN204">
        <v>0</v>
      </c>
      <c r="BO204" t="s">
        <v>6</v>
      </c>
      <c r="BP204">
        <v>0</v>
      </c>
      <c r="BQ204">
        <v>3</v>
      </c>
      <c r="BR204">
        <v>0</v>
      </c>
      <c r="BS204">
        <v>1</v>
      </c>
      <c r="BT204">
        <v>1</v>
      </c>
      <c r="BU204">
        <v>1</v>
      </c>
      <c r="BV204">
        <v>1</v>
      </c>
      <c r="BW204">
        <v>1</v>
      </c>
      <c r="BX204">
        <v>1</v>
      </c>
      <c r="BY204" t="s">
        <v>6</v>
      </c>
      <c r="BZ204">
        <v>95</v>
      </c>
      <c r="CA204">
        <v>65</v>
      </c>
      <c r="CE204">
        <v>0</v>
      </c>
      <c r="CF204">
        <v>0</v>
      </c>
      <c r="CG204">
        <v>0</v>
      </c>
      <c r="CM204">
        <v>0</v>
      </c>
      <c r="CN204" t="s">
        <v>6</v>
      </c>
      <c r="CO204">
        <v>0</v>
      </c>
      <c r="CP204">
        <f t="shared" si="213"/>
        <v>2192.9</v>
      </c>
      <c r="CQ204">
        <f t="shared" si="214"/>
        <v>548.22569999999996</v>
      </c>
      <c r="CR204">
        <f t="shared" si="215"/>
        <v>0</v>
      </c>
      <c r="CS204">
        <f t="shared" si="216"/>
        <v>0</v>
      </c>
      <c r="CT204">
        <f t="shared" si="217"/>
        <v>0</v>
      </c>
      <c r="CU204">
        <f t="shared" si="218"/>
        <v>0</v>
      </c>
      <c r="CV204">
        <f t="shared" si="219"/>
        <v>0</v>
      </c>
      <c r="CW204">
        <f t="shared" si="220"/>
        <v>0</v>
      </c>
      <c r="CX204">
        <f t="shared" si="221"/>
        <v>0</v>
      </c>
      <c r="CY204">
        <f t="shared" si="222"/>
        <v>0</v>
      </c>
      <c r="CZ204">
        <f t="shared" si="223"/>
        <v>0</v>
      </c>
      <c r="DC204" t="s">
        <v>6</v>
      </c>
      <c r="DD204" t="s">
        <v>6</v>
      </c>
      <c r="DE204" t="s">
        <v>6</v>
      </c>
      <c r="DF204" t="s">
        <v>6</v>
      </c>
      <c r="DG204" t="s">
        <v>6</v>
      </c>
      <c r="DH204" t="s">
        <v>6</v>
      </c>
      <c r="DI204" t="s">
        <v>6</v>
      </c>
      <c r="DJ204" t="s">
        <v>6</v>
      </c>
      <c r="DK204" t="s">
        <v>6</v>
      </c>
      <c r="DL204" t="s">
        <v>6</v>
      </c>
      <c r="DM204" t="s">
        <v>6</v>
      </c>
      <c r="DN204">
        <v>0</v>
      </c>
      <c r="DO204">
        <v>0</v>
      </c>
      <c r="DP204">
        <v>1</v>
      </c>
      <c r="DQ204">
        <v>1</v>
      </c>
      <c r="DU204">
        <v>1010</v>
      </c>
      <c r="DV204" t="s">
        <v>132</v>
      </c>
      <c r="DW204" t="s">
        <v>132</v>
      </c>
      <c r="DX204">
        <v>1</v>
      </c>
      <c r="EE204">
        <v>16609228</v>
      </c>
      <c r="EF204">
        <v>3</v>
      </c>
      <c r="EG204" t="s">
        <v>491</v>
      </c>
      <c r="EH204">
        <v>0</v>
      </c>
      <c r="EI204" t="s">
        <v>6</v>
      </c>
      <c r="EJ204">
        <v>2</v>
      </c>
      <c r="EK204">
        <v>108001</v>
      </c>
      <c r="EL204" t="s">
        <v>492</v>
      </c>
      <c r="EM204" t="s">
        <v>493</v>
      </c>
      <c r="EO204" t="s">
        <v>6</v>
      </c>
      <c r="EQ204">
        <v>0</v>
      </c>
      <c r="ER204">
        <v>76.89</v>
      </c>
      <c r="ES204">
        <v>76.89</v>
      </c>
      <c r="ET204">
        <v>0</v>
      </c>
      <c r="EU204">
        <v>0</v>
      </c>
      <c r="EV204">
        <v>0</v>
      </c>
      <c r="EW204">
        <v>0</v>
      </c>
      <c r="EX204">
        <v>0</v>
      </c>
      <c r="FQ204">
        <v>0</v>
      </c>
      <c r="FR204">
        <f t="shared" si="224"/>
        <v>0</v>
      </c>
      <c r="FS204">
        <v>0</v>
      </c>
      <c r="FX204">
        <v>95</v>
      </c>
      <c r="FY204">
        <v>65</v>
      </c>
      <c r="GA204" t="s">
        <v>6</v>
      </c>
      <c r="GD204">
        <v>0</v>
      </c>
      <c r="GF204">
        <v>2013622572</v>
      </c>
      <c r="GG204">
        <v>1</v>
      </c>
      <c r="GH204">
        <v>1</v>
      </c>
      <c r="GI204">
        <v>4</v>
      </c>
      <c r="GJ204">
        <v>0</v>
      </c>
      <c r="GK204">
        <f>ROUND(R204*(R12)/100,2)</f>
        <v>0</v>
      </c>
      <c r="GL204">
        <f t="shared" si="225"/>
        <v>0</v>
      </c>
      <c r="GM204">
        <f t="shared" si="226"/>
        <v>2192.9</v>
      </c>
      <c r="GN204">
        <f t="shared" si="227"/>
        <v>0</v>
      </c>
      <c r="GO204">
        <f t="shared" si="228"/>
        <v>2192.9</v>
      </c>
      <c r="GP204">
        <f t="shared" si="229"/>
        <v>0</v>
      </c>
      <c r="GR204">
        <v>0</v>
      </c>
      <c r="GS204">
        <v>3</v>
      </c>
      <c r="GT204">
        <v>0</v>
      </c>
      <c r="GU204" t="s">
        <v>6</v>
      </c>
      <c r="GV204">
        <f t="shared" si="230"/>
        <v>0</v>
      </c>
      <c r="GW204">
        <v>1</v>
      </c>
      <c r="GX204">
        <f t="shared" si="231"/>
        <v>0</v>
      </c>
      <c r="HA204">
        <v>0</v>
      </c>
      <c r="HB204">
        <v>0</v>
      </c>
      <c r="HC204">
        <f t="shared" si="232"/>
        <v>0</v>
      </c>
      <c r="IK204">
        <v>0</v>
      </c>
    </row>
    <row r="205" spans="1:245" x14ac:dyDescent="0.2">
      <c r="A205">
        <v>17</v>
      </c>
      <c r="B205">
        <v>1</v>
      </c>
      <c r="C205">
        <f>ROW(SmtRes!A499)</f>
        <v>499</v>
      </c>
      <c r="D205">
        <f>ROW(EtalonRes!A483)</f>
        <v>483</v>
      </c>
      <c r="E205" t="s">
        <v>680</v>
      </c>
      <c r="F205" t="s">
        <v>681</v>
      </c>
      <c r="G205" t="s">
        <v>682</v>
      </c>
      <c r="H205" t="s">
        <v>127</v>
      </c>
      <c r="I205">
        <v>2</v>
      </c>
      <c r="J205">
        <v>0</v>
      </c>
      <c r="O205">
        <f t="shared" si="199"/>
        <v>522.78</v>
      </c>
      <c r="P205">
        <f t="shared" si="200"/>
        <v>11.27</v>
      </c>
      <c r="Q205">
        <f t="shared" si="201"/>
        <v>202.78</v>
      </c>
      <c r="R205">
        <f t="shared" si="202"/>
        <v>28.66</v>
      </c>
      <c r="S205">
        <f t="shared" si="203"/>
        <v>308.73</v>
      </c>
      <c r="T205">
        <f t="shared" si="204"/>
        <v>0</v>
      </c>
      <c r="U205">
        <f t="shared" si="205"/>
        <v>4.5</v>
      </c>
      <c r="V205">
        <f t="shared" si="206"/>
        <v>0.32</v>
      </c>
      <c r="W205">
        <f t="shared" si="207"/>
        <v>0</v>
      </c>
      <c r="X205">
        <f t="shared" si="208"/>
        <v>320.52</v>
      </c>
      <c r="Y205">
        <f t="shared" si="209"/>
        <v>219.3</v>
      </c>
      <c r="AA205">
        <v>16630606</v>
      </c>
      <c r="AB205">
        <f t="shared" si="210"/>
        <v>36.659999999999997</v>
      </c>
      <c r="AC205">
        <f t="shared" si="193"/>
        <v>0.79</v>
      </c>
      <c r="AD205">
        <f t="shared" si="194"/>
        <v>14.22</v>
      </c>
      <c r="AE205">
        <f t="shared" si="195"/>
        <v>2.0099999999999998</v>
      </c>
      <c r="AF205">
        <f t="shared" si="196"/>
        <v>21.65</v>
      </c>
      <c r="AG205">
        <f t="shared" si="211"/>
        <v>0</v>
      </c>
      <c r="AH205">
        <f t="shared" si="197"/>
        <v>2.25</v>
      </c>
      <c r="AI205">
        <f t="shared" si="198"/>
        <v>0.16</v>
      </c>
      <c r="AJ205">
        <f t="shared" si="212"/>
        <v>0</v>
      </c>
      <c r="AK205">
        <v>36.659999999999997</v>
      </c>
      <c r="AL205">
        <v>0.79</v>
      </c>
      <c r="AM205">
        <v>14.22</v>
      </c>
      <c r="AN205">
        <v>2.0099999999999998</v>
      </c>
      <c r="AO205">
        <v>21.65</v>
      </c>
      <c r="AP205">
        <v>0</v>
      </c>
      <c r="AQ205">
        <v>2.25</v>
      </c>
      <c r="AR205">
        <v>0.16</v>
      </c>
      <c r="AS205">
        <v>0</v>
      </c>
      <c r="AT205">
        <v>95</v>
      </c>
      <c r="AU205">
        <v>65</v>
      </c>
      <c r="AV205">
        <v>1</v>
      </c>
      <c r="AW205">
        <v>1</v>
      </c>
      <c r="AZ205">
        <v>7.13</v>
      </c>
      <c r="BA205">
        <v>7.13</v>
      </c>
      <c r="BB205">
        <v>7.13</v>
      </c>
      <c r="BC205">
        <v>7.13</v>
      </c>
      <c r="BD205" t="s">
        <v>6</v>
      </c>
      <c r="BE205" t="s">
        <v>6</v>
      </c>
      <c r="BF205" t="s">
        <v>6</v>
      </c>
      <c r="BG205" t="s">
        <v>6</v>
      </c>
      <c r="BH205">
        <v>0</v>
      </c>
      <c r="BI205">
        <v>2</v>
      </c>
      <c r="BJ205" t="s">
        <v>683</v>
      </c>
      <c r="BM205">
        <v>108001</v>
      </c>
      <c r="BN205">
        <v>0</v>
      </c>
      <c r="BO205" t="s">
        <v>6</v>
      </c>
      <c r="BP205">
        <v>0</v>
      </c>
      <c r="BQ205">
        <v>3</v>
      </c>
      <c r="BR205">
        <v>0</v>
      </c>
      <c r="BS205">
        <v>7.13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6</v>
      </c>
      <c r="BZ205">
        <v>95</v>
      </c>
      <c r="CA205">
        <v>65</v>
      </c>
      <c r="CE205">
        <v>0</v>
      </c>
      <c r="CF205">
        <v>0</v>
      </c>
      <c r="CG205">
        <v>0</v>
      </c>
      <c r="CM205">
        <v>0</v>
      </c>
      <c r="CN205" t="s">
        <v>6</v>
      </c>
      <c r="CO205">
        <v>0</v>
      </c>
      <c r="CP205">
        <f t="shared" si="213"/>
        <v>522.78</v>
      </c>
      <c r="CQ205">
        <f t="shared" si="214"/>
        <v>5.6326999999999998</v>
      </c>
      <c r="CR205">
        <f t="shared" si="215"/>
        <v>101.3886</v>
      </c>
      <c r="CS205">
        <f t="shared" si="216"/>
        <v>14.331299999999999</v>
      </c>
      <c r="CT205">
        <f t="shared" si="217"/>
        <v>154.36449999999999</v>
      </c>
      <c r="CU205">
        <f t="shared" si="218"/>
        <v>0</v>
      </c>
      <c r="CV205">
        <f t="shared" si="219"/>
        <v>2.25</v>
      </c>
      <c r="CW205">
        <f t="shared" si="220"/>
        <v>0.16</v>
      </c>
      <c r="CX205">
        <f t="shared" si="221"/>
        <v>0</v>
      </c>
      <c r="CY205">
        <f t="shared" si="222"/>
        <v>320.52050000000003</v>
      </c>
      <c r="CZ205">
        <f t="shared" si="223"/>
        <v>219.30350000000001</v>
      </c>
      <c r="DC205" t="s">
        <v>6</v>
      </c>
      <c r="DD205" t="s">
        <v>6</v>
      </c>
      <c r="DE205" t="s">
        <v>6</v>
      </c>
      <c r="DF205" t="s">
        <v>6</v>
      </c>
      <c r="DG205" t="s">
        <v>6</v>
      </c>
      <c r="DH205" t="s">
        <v>6</v>
      </c>
      <c r="DI205" t="s">
        <v>6</v>
      </c>
      <c r="DJ205" t="s">
        <v>6</v>
      </c>
      <c r="DK205" t="s">
        <v>6</v>
      </c>
      <c r="DL205" t="s">
        <v>6</v>
      </c>
      <c r="DM205" t="s">
        <v>6</v>
      </c>
      <c r="DN205">
        <v>0</v>
      </c>
      <c r="DO205">
        <v>0</v>
      </c>
      <c r="DP205">
        <v>1</v>
      </c>
      <c r="DQ205">
        <v>1</v>
      </c>
      <c r="DU205">
        <v>1013</v>
      </c>
      <c r="DV205" t="s">
        <v>127</v>
      </c>
      <c r="DW205" t="s">
        <v>127</v>
      </c>
      <c r="DX205">
        <v>1</v>
      </c>
      <c r="EE205">
        <v>16609228</v>
      </c>
      <c r="EF205">
        <v>3</v>
      </c>
      <c r="EG205" t="s">
        <v>491</v>
      </c>
      <c r="EH205">
        <v>0</v>
      </c>
      <c r="EI205" t="s">
        <v>6</v>
      </c>
      <c r="EJ205">
        <v>2</v>
      </c>
      <c r="EK205">
        <v>108001</v>
      </c>
      <c r="EL205" t="s">
        <v>492</v>
      </c>
      <c r="EM205" t="s">
        <v>493</v>
      </c>
      <c r="EO205" t="s">
        <v>6</v>
      </c>
      <c r="EQ205">
        <v>0</v>
      </c>
      <c r="ER205">
        <v>36.659999999999997</v>
      </c>
      <c r="ES205">
        <v>0.79</v>
      </c>
      <c r="ET205">
        <v>14.22</v>
      </c>
      <c r="EU205">
        <v>2.0099999999999998</v>
      </c>
      <c r="EV205">
        <v>21.65</v>
      </c>
      <c r="EW205">
        <v>2.25</v>
      </c>
      <c r="EX205">
        <v>0.16</v>
      </c>
      <c r="EY205">
        <v>0</v>
      </c>
      <c r="FQ205">
        <v>0</v>
      </c>
      <c r="FR205">
        <f t="shared" si="224"/>
        <v>0</v>
      </c>
      <c r="FS205">
        <v>0</v>
      </c>
      <c r="FX205">
        <v>95</v>
      </c>
      <c r="FY205">
        <v>65</v>
      </c>
      <c r="GA205" t="s">
        <v>6</v>
      </c>
      <c r="GD205">
        <v>0</v>
      </c>
      <c r="GF205">
        <v>1041151047</v>
      </c>
      <c r="GG205">
        <v>1</v>
      </c>
      <c r="GH205">
        <v>1</v>
      </c>
      <c r="GI205">
        <v>4</v>
      </c>
      <c r="GJ205">
        <v>0</v>
      </c>
      <c r="GK205">
        <f>ROUND(R205*(R12)/100,2)</f>
        <v>0</v>
      </c>
      <c r="GL205">
        <f t="shared" si="225"/>
        <v>0</v>
      </c>
      <c r="GM205">
        <f t="shared" si="226"/>
        <v>1062.5999999999999</v>
      </c>
      <c r="GN205">
        <f t="shared" si="227"/>
        <v>0</v>
      </c>
      <c r="GO205">
        <f t="shared" si="228"/>
        <v>1062.5999999999999</v>
      </c>
      <c r="GP205">
        <f t="shared" si="229"/>
        <v>0</v>
      </c>
      <c r="GR205">
        <v>0</v>
      </c>
      <c r="GS205">
        <v>3</v>
      </c>
      <c r="GT205">
        <v>0</v>
      </c>
      <c r="GU205" t="s">
        <v>6</v>
      </c>
      <c r="GV205">
        <f t="shared" si="230"/>
        <v>0</v>
      </c>
      <c r="GW205">
        <v>1</v>
      </c>
      <c r="GX205">
        <f t="shared" si="231"/>
        <v>0</v>
      </c>
      <c r="HA205">
        <v>0</v>
      </c>
      <c r="HB205">
        <v>0</v>
      </c>
      <c r="HC205">
        <f t="shared" si="232"/>
        <v>0</v>
      </c>
      <c r="IK205">
        <v>0</v>
      </c>
    </row>
    <row r="206" spans="1:245" x14ac:dyDescent="0.2">
      <c r="A206">
        <v>18</v>
      </c>
      <c r="B206">
        <v>1</v>
      </c>
      <c r="C206">
        <v>498</v>
      </c>
      <c r="E206" t="s">
        <v>684</v>
      </c>
      <c r="F206" t="s">
        <v>685</v>
      </c>
      <c r="G206" t="s">
        <v>686</v>
      </c>
      <c r="H206" t="s">
        <v>132</v>
      </c>
      <c r="I206">
        <f>I205*J206</f>
        <v>2</v>
      </c>
      <c r="J206">
        <v>1</v>
      </c>
      <c r="O206">
        <f t="shared" si="199"/>
        <v>1219.8</v>
      </c>
      <c r="P206">
        <f t="shared" si="200"/>
        <v>1219.8</v>
      </c>
      <c r="Q206">
        <f t="shared" si="201"/>
        <v>0</v>
      </c>
      <c r="R206">
        <f t="shared" si="202"/>
        <v>0</v>
      </c>
      <c r="S206">
        <f t="shared" si="203"/>
        <v>0</v>
      </c>
      <c r="T206">
        <f t="shared" si="204"/>
        <v>0</v>
      </c>
      <c r="U206">
        <f t="shared" si="205"/>
        <v>0</v>
      </c>
      <c r="V206">
        <f t="shared" si="206"/>
        <v>0</v>
      </c>
      <c r="W206">
        <f t="shared" si="207"/>
        <v>0</v>
      </c>
      <c r="X206">
        <f t="shared" si="208"/>
        <v>0</v>
      </c>
      <c r="Y206">
        <f t="shared" si="209"/>
        <v>0</v>
      </c>
      <c r="AA206">
        <v>16630606</v>
      </c>
      <c r="AB206">
        <f t="shared" si="210"/>
        <v>85.54</v>
      </c>
      <c r="AC206">
        <f t="shared" si="193"/>
        <v>85.54</v>
      </c>
      <c r="AD206">
        <f t="shared" si="194"/>
        <v>0</v>
      </c>
      <c r="AE206">
        <f t="shared" si="195"/>
        <v>0</v>
      </c>
      <c r="AF206">
        <f t="shared" si="196"/>
        <v>0</v>
      </c>
      <c r="AG206">
        <f t="shared" si="211"/>
        <v>0</v>
      </c>
      <c r="AH206">
        <f t="shared" si="197"/>
        <v>0</v>
      </c>
      <c r="AI206">
        <f t="shared" si="198"/>
        <v>0</v>
      </c>
      <c r="AJ206">
        <f t="shared" si="212"/>
        <v>0</v>
      </c>
      <c r="AK206">
        <v>85.54</v>
      </c>
      <c r="AL206">
        <v>85.54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95</v>
      </c>
      <c r="AU206">
        <v>65</v>
      </c>
      <c r="AV206">
        <v>1</v>
      </c>
      <c r="AW206">
        <v>1</v>
      </c>
      <c r="AZ206">
        <v>7.13</v>
      </c>
      <c r="BA206">
        <v>1</v>
      </c>
      <c r="BB206">
        <v>1</v>
      </c>
      <c r="BC206">
        <v>7.13</v>
      </c>
      <c r="BD206" t="s">
        <v>6</v>
      </c>
      <c r="BE206" t="s">
        <v>6</v>
      </c>
      <c r="BF206" t="s">
        <v>6</v>
      </c>
      <c r="BG206" t="s">
        <v>6</v>
      </c>
      <c r="BH206">
        <v>3</v>
      </c>
      <c r="BI206">
        <v>2</v>
      </c>
      <c r="BJ206" t="s">
        <v>687</v>
      </c>
      <c r="BM206">
        <v>108001</v>
      </c>
      <c r="BN206">
        <v>0</v>
      </c>
      <c r="BO206" t="s">
        <v>6</v>
      </c>
      <c r="BP206">
        <v>0</v>
      </c>
      <c r="BQ206">
        <v>3</v>
      </c>
      <c r="BR206">
        <v>0</v>
      </c>
      <c r="BS206">
        <v>1</v>
      </c>
      <c r="BT206">
        <v>1</v>
      </c>
      <c r="BU206">
        <v>1</v>
      </c>
      <c r="BV206">
        <v>1</v>
      </c>
      <c r="BW206">
        <v>1</v>
      </c>
      <c r="BX206">
        <v>1</v>
      </c>
      <c r="BY206" t="s">
        <v>6</v>
      </c>
      <c r="BZ206">
        <v>95</v>
      </c>
      <c r="CA206">
        <v>65</v>
      </c>
      <c r="CE206">
        <v>0</v>
      </c>
      <c r="CF206">
        <v>0</v>
      </c>
      <c r="CG206">
        <v>0</v>
      </c>
      <c r="CM206">
        <v>0</v>
      </c>
      <c r="CN206" t="s">
        <v>6</v>
      </c>
      <c r="CO206">
        <v>0</v>
      </c>
      <c r="CP206">
        <f t="shared" si="213"/>
        <v>1219.8</v>
      </c>
      <c r="CQ206">
        <f t="shared" si="214"/>
        <v>609.90020000000004</v>
      </c>
      <c r="CR206">
        <f t="shared" si="215"/>
        <v>0</v>
      </c>
      <c r="CS206">
        <f t="shared" si="216"/>
        <v>0</v>
      </c>
      <c r="CT206">
        <f t="shared" si="217"/>
        <v>0</v>
      </c>
      <c r="CU206">
        <f t="shared" si="218"/>
        <v>0</v>
      </c>
      <c r="CV206">
        <f t="shared" si="219"/>
        <v>0</v>
      </c>
      <c r="CW206">
        <f t="shared" si="220"/>
        <v>0</v>
      </c>
      <c r="CX206">
        <f t="shared" si="221"/>
        <v>0</v>
      </c>
      <c r="CY206">
        <f t="shared" si="222"/>
        <v>0</v>
      </c>
      <c r="CZ206">
        <f t="shared" si="223"/>
        <v>0</v>
      </c>
      <c r="DC206" t="s">
        <v>6</v>
      </c>
      <c r="DD206" t="s">
        <v>6</v>
      </c>
      <c r="DE206" t="s">
        <v>6</v>
      </c>
      <c r="DF206" t="s">
        <v>6</v>
      </c>
      <c r="DG206" t="s">
        <v>6</v>
      </c>
      <c r="DH206" t="s">
        <v>6</v>
      </c>
      <c r="DI206" t="s">
        <v>6</v>
      </c>
      <c r="DJ206" t="s">
        <v>6</v>
      </c>
      <c r="DK206" t="s">
        <v>6</v>
      </c>
      <c r="DL206" t="s">
        <v>6</v>
      </c>
      <c r="DM206" t="s">
        <v>6</v>
      </c>
      <c r="DN206">
        <v>0</v>
      </c>
      <c r="DO206">
        <v>0</v>
      </c>
      <c r="DP206">
        <v>1</v>
      </c>
      <c r="DQ206">
        <v>1</v>
      </c>
      <c r="DU206">
        <v>1010</v>
      </c>
      <c r="DV206" t="s">
        <v>132</v>
      </c>
      <c r="DW206" t="s">
        <v>132</v>
      </c>
      <c r="DX206">
        <v>1</v>
      </c>
      <c r="EE206">
        <v>16609228</v>
      </c>
      <c r="EF206">
        <v>3</v>
      </c>
      <c r="EG206" t="s">
        <v>491</v>
      </c>
      <c r="EH206">
        <v>0</v>
      </c>
      <c r="EI206" t="s">
        <v>6</v>
      </c>
      <c r="EJ206">
        <v>2</v>
      </c>
      <c r="EK206">
        <v>108001</v>
      </c>
      <c r="EL206" t="s">
        <v>492</v>
      </c>
      <c r="EM206" t="s">
        <v>493</v>
      </c>
      <c r="EO206" t="s">
        <v>6</v>
      </c>
      <c r="EQ206">
        <v>0</v>
      </c>
      <c r="ER206">
        <v>85.54</v>
      </c>
      <c r="ES206">
        <v>85.54</v>
      </c>
      <c r="ET206">
        <v>0</v>
      </c>
      <c r="EU206">
        <v>0</v>
      </c>
      <c r="EV206">
        <v>0</v>
      </c>
      <c r="EW206">
        <v>0</v>
      </c>
      <c r="EX206">
        <v>0</v>
      </c>
      <c r="FQ206">
        <v>0</v>
      </c>
      <c r="FR206">
        <f t="shared" si="224"/>
        <v>0</v>
      </c>
      <c r="FS206">
        <v>0</v>
      </c>
      <c r="FX206">
        <v>95</v>
      </c>
      <c r="FY206">
        <v>65</v>
      </c>
      <c r="GA206" t="s">
        <v>6</v>
      </c>
      <c r="GD206">
        <v>0</v>
      </c>
      <c r="GF206">
        <v>-59692635</v>
      </c>
      <c r="GG206">
        <v>1</v>
      </c>
      <c r="GH206">
        <v>1</v>
      </c>
      <c r="GI206">
        <v>4</v>
      </c>
      <c r="GJ206">
        <v>0</v>
      </c>
      <c r="GK206">
        <f>ROUND(R206*(R12)/100,2)</f>
        <v>0</v>
      </c>
      <c r="GL206">
        <f t="shared" si="225"/>
        <v>0</v>
      </c>
      <c r="GM206">
        <f t="shared" si="226"/>
        <v>1219.8</v>
      </c>
      <c r="GN206">
        <f t="shared" si="227"/>
        <v>0</v>
      </c>
      <c r="GO206">
        <f t="shared" si="228"/>
        <v>1219.8</v>
      </c>
      <c r="GP206">
        <f t="shared" si="229"/>
        <v>0</v>
      </c>
      <c r="GR206">
        <v>0</v>
      </c>
      <c r="GS206">
        <v>3</v>
      </c>
      <c r="GT206">
        <v>0</v>
      </c>
      <c r="GU206" t="s">
        <v>6</v>
      </c>
      <c r="GV206">
        <f t="shared" si="230"/>
        <v>0</v>
      </c>
      <c r="GW206">
        <v>1</v>
      </c>
      <c r="GX206">
        <f t="shared" si="231"/>
        <v>0</v>
      </c>
      <c r="HA206">
        <v>0</v>
      </c>
      <c r="HB206">
        <v>0</v>
      </c>
      <c r="HC206">
        <f t="shared" si="232"/>
        <v>0</v>
      </c>
      <c r="IK206">
        <v>0</v>
      </c>
    </row>
    <row r="207" spans="1:245" x14ac:dyDescent="0.2">
      <c r="A207">
        <v>17</v>
      </c>
      <c r="B207">
        <v>1</v>
      </c>
      <c r="C207">
        <f>ROW(SmtRes!A501)</f>
        <v>501</v>
      </c>
      <c r="D207">
        <f>ROW(EtalonRes!A485)</f>
        <v>485</v>
      </c>
      <c r="E207" t="s">
        <v>688</v>
      </c>
      <c r="F207" t="s">
        <v>689</v>
      </c>
      <c r="G207" t="s">
        <v>690</v>
      </c>
      <c r="H207" t="s">
        <v>127</v>
      </c>
      <c r="I207">
        <v>22</v>
      </c>
      <c r="J207">
        <v>0</v>
      </c>
      <c r="O207">
        <f t="shared" si="199"/>
        <v>1132.9100000000001</v>
      </c>
      <c r="P207">
        <f t="shared" si="200"/>
        <v>0</v>
      </c>
      <c r="Q207">
        <f t="shared" si="201"/>
        <v>0</v>
      </c>
      <c r="R207">
        <f t="shared" si="202"/>
        <v>0</v>
      </c>
      <c r="S207">
        <f t="shared" si="203"/>
        <v>1132.9100000000001</v>
      </c>
      <c r="T207">
        <f t="shared" si="204"/>
        <v>0</v>
      </c>
      <c r="U207">
        <f t="shared" si="205"/>
        <v>7.04</v>
      </c>
      <c r="V207">
        <f t="shared" si="206"/>
        <v>0</v>
      </c>
      <c r="W207">
        <f t="shared" si="207"/>
        <v>0</v>
      </c>
      <c r="X207">
        <f t="shared" si="208"/>
        <v>736.39</v>
      </c>
      <c r="Y207">
        <f t="shared" si="209"/>
        <v>453.16</v>
      </c>
      <c r="AA207">
        <v>16630606</v>
      </c>
      <c r="AB207">
        <f t="shared" si="210"/>
        <v>4.0999999999999996</v>
      </c>
      <c r="AC207">
        <f t="shared" si="193"/>
        <v>0</v>
      </c>
      <c r="AD207">
        <f t="shared" si="194"/>
        <v>0</v>
      </c>
      <c r="AE207">
        <f t="shared" si="195"/>
        <v>0</v>
      </c>
      <c r="AF207">
        <f t="shared" si="196"/>
        <v>4.0999999999999996</v>
      </c>
      <c r="AG207">
        <f t="shared" si="211"/>
        <v>0</v>
      </c>
      <c r="AH207">
        <f t="shared" si="197"/>
        <v>0.32</v>
      </c>
      <c r="AI207">
        <f t="shared" si="198"/>
        <v>0</v>
      </c>
      <c r="AJ207">
        <f t="shared" si="212"/>
        <v>0</v>
      </c>
      <c r="AK207">
        <v>4.0999999999999996</v>
      </c>
      <c r="AL207">
        <v>0</v>
      </c>
      <c r="AM207">
        <v>0</v>
      </c>
      <c r="AN207">
        <v>0</v>
      </c>
      <c r="AO207">
        <v>4.0999999999999996</v>
      </c>
      <c r="AP207">
        <v>0</v>
      </c>
      <c r="AQ207">
        <v>0.32</v>
      </c>
      <c r="AR207">
        <v>0</v>
      </c>
      <c r="AS207">
        <v>0</v>
      </c>
      <c r="AT207">
        <v>65</v>
      </c>
      <c r="AU207">
        <v>40</v>
      </c>
      <c r="AV207">
        <v>1</v>
      </c>
      <c r="AW207">
        <v>1</v>
      </c>
      <c r="AZ207">
        <v>12.56</v>
      </c>
      <c r="BA207">
        <v>12.56</v>
      </c>
      <c r="BB207">
        <v>1</v>
      </c>
      <c r="BC207">
        <v>1</v>
      </c>
      <c r="BD207" t="s">
        <v>6</v>
      </c>
      <c r="BE207" t="s">
        <v>6</v>
      </c>
      <c r="BF207" t="s">
        <v>6</v>
      </c>
      <c r="BG207" t="s">
        <v>6</v>
      </c>
      <c r="BH207">
        <v>0</v>
      </c>
      <c r="BI207">
        <v>4</v>
      </c>
      <c r="BJ207" t="s">
        <v>691</v>
      </c>
      <c r="BM207">
        <v>200001</v>
      </c>
      <c r="BN207">
        <v>0</v>
      </c>
      <c r="BO207" t="s">
        <v>6</v>
      </c>
      <c r="BP207">
        <v>0</v>
      </c>
      <c r="BQ207">
        <v>4</v>
      </c>
      <c r="BR207">
        <v>0</v>
      </c>
      <c r="BS207">
        <v>1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6</v>
      </c>
      <c r="BZ207">
        <v>65</v>
      </c>
      <c r="CA207">
        <v>40</v>
      </c>
      <c r="CE207">
        <v>0</v>
      </c>
      <c r="CF207">
        <v>0</v>
      </c>
      <c r="CG207">
        <v>0</v>
      </c>
      <c r="CM207">
        <v>0</v>
      </c>
      <c r="CN207" t="s">
        <v>6</v>
      </c>
      <c r="CO207">
        <v>0</v>
      </c>
      <c r="CP207">
        <f t="shared" si="213"/>
        <v>1132.9100000000001</v>
      </c>
      <c r="CQ207">
        <f t="shared" si="214"/>
        <v>0</v>
      </c>
      <c r="CR207">
        <f t="shared" si="215"/>
        <v>0</v>
      </c>
      <c r="CS207">
        <f t="shared" si="216"/>
        <v>0</v>
      </c>
      <c r="CT207">
        <f t="shared" si="217"/>
        <v>51.495999999999995</v>
      </c>
      <c r="CU207">
        <f t="shared" si="218"/>
        <v>0</v>
      </c>
      <c r="CV207">
        <f t="shared" si="219"/>
        <v>0.32</v>
      </c>
      <c r="CW207">
        <f t="shared" si="220"/>
        <v>0</v>
      </c>
      <c r="CX207">
        <f t="shared" si="221"/>
        <v>0</v>
      </c>
      <c r="CY207">
        <f t="shared" si="222"/>
        <v>736.39150000000006</v>
      </c>
      <c r="CZ207">
        <f t="shared" si="223"/>
        <v>453.16399999999999</v>
      </c>
      <c r="DC207" t="s">
        <v>6</v>
      </c>
      <c r="DD207" t="s">
        <v>6</v>
      </c>
      <c r="DE207" t="s">
        <v>6</v>
      </c>
      <c r="DF207" t="s">
        <v>6</v>
      </c>
      <c r="DG207" t="s">
        <v>6</v>
      </c>
      <c r="DH207" t="s">
        <v>6</v>
      </c>
      <c r="DI207" t="s">
        <v>6</v>
      </c>
      <c r="DJ207" t="s">
        <v>6</v>
      </c>
      <c r="DK207" t="s">
        <v>6</v>
      </c>
      <c r="DL207" t="s">
        <v>6</v>
      </c>
      <c r="DM207" t="s">
        <v>6</v>
      </c>
      <c r="DN207">
        <v>0</v>
      </c>
      <c r="DO207">
        <v>0</v>
      </c>
      <c r="DP207">
        <v>1</v>
      </c>
      <c r="DQ207">
        <v>1</v>
      </c>
      <c r="DU207">
        <v>1013</v>
      </c>
      <c r="DV207" t="s">
        <v>127</v>
      </c>
      <c r="DW207" t="s">
        <v>127</v>
      </c>
      <c r="DX207">
        <v>1</v>
      </c>
      <c r="EE207">
        <v>16609280</v>
      </c>
      <c r="EF207">
        <v>4</v>
      </c>
      <c r="EG207" t="s">
        <v>692</v>
      </c>
      <c r="EH207">
        <v>0</v>
      </c>
      <c r="EI207" t="s">
        <v>6</v>
      </c>
      <c r="EJ207">
        <v>4</v>
      </c>
      <c r="EK207">
        <v>200001</v>
      </c>
      <c r="EL207" t="s">
        <v>693</v>
      </c>
      <c r="EM207" t="s">
        <v>694</v>
      </c>
      <c r="EO207" t="s">
        <v>6</v>
      </c>
      <c r="EQ207">
        <v>131072</v>
      </c>
      <c r="ER207">
        <v>4.0999999999999996</v>
      </c>
      <c r="ES207">
        <v>0</v>
      </c>
      <c r="ET207">
        <v>0</v>
      </c>
      <c r="EU207">
        <v>0</v>
      </c>
      <c r="EV207">
        <v>4.0999999999999996</v>
      </c>
      <c r="EW207">
        <v>0.32</v>
      </c>
      <c r="EX207">
        <v>0</v>
      </c>
      <c r="EY207">
        <v>0</v>
      </c>
      <c r="FQ207">
        <v>0</v>
      </c>
      <c r="FR207">
        <f t="shared" si="224"/>
        <v>0</v>
      </c>
      <c r="FS207">
        <v>0</v>
      </c>
      <c r="FX207">
        <v>65</v>
      </c>
      <c r="FY207">
        <v>40</v>
      </c>
      <c r="GA207" t="s">
        <v>6</v>
      </c>
      <c r="GD207">
        <v>0</v>
      </c>
      <c r="GF207">
        <v>-1617765494</v>
      </c>
      <c r="GG207">
        <v>1</v>
      </c>
      <c r="GH207">
        <v>1</v>
      </c>
      <c r="GI207">
        <v>4</v>
      </c>
      <c r="GJ207">
        <v>0</v>
      </c>
      <c r="GK207">
        <f>ROUND(R207*(R12)/100,2)</f>
        <v>0</v>
      </c>
      <c r="GL207">
        <f t="shared" si="225"/>
        <v>0</v>
      </c>
      <c r="GM207">
        <f t="shared" si="226"/>
        <v>2322.46</v>
      </c>
      <c r="GN207">
        <f t="shared" si="227"/>
        <v>0</v>
      </c>
      <c r="GO207">
        <f t="shared" si="228"/>
        <v>0</v>
      </c>
      <c r="GP207">
        <f t="shared" si="229"/>
        <v>2322.46</v>
      </c>
      <c r="GR207">
        <v>0</v>
      </c>
      <c r="GS207">
        <v>3</v>
      </c>
      <c r="GT207">
        <v>0</v>
      </c>
      <c r="GU207" t="s">
        <v>6</v>
      </c>
      <c r="GV207">
        <f t="shared" si="230"/>
        <v>0</v>
      </c>
      <c r="GW207">
        <v>1</v>
      </c>
      <c r="GX207">
        <f t="shared" si="231"/>
        <v>0</v>
      </c>
      <c r="HA207">
        <v>0</v>
      </c>
      <c r="HB207">
        <v>0</v>
      </c>
      <c r="HC207">
        <f t="shared" si="232"/>
        <v>0</v>
      </c>
      <c r="IK207">
        <v>0</v>
      </c>
    </row>
    <row r="208" spans="1:245" x14ac:dyDescent="0.2">
      <c r="A208">
        <v>17</v>
      </c>
      <c r="B208">
        <v>1</v>
      </c>
      <c r="C208">
        <f>ROW(SmtRes!A503)</f>
        <v>503</v>
      </c>
      <c r="D208">
        <f>ROW(EtalonRes!A487)</f>
        <v>487</v>
      </c>
      <c r="E208" t="s">
        <v>695</v>
      </c>
      <c r="F208" t="s">
        <v>696</v>
      </c>
      <c r="G208" t="s">
        <v>697</v>
      </c>
      <c r="H208" t="s">
        <v>698</v>
      </c>
      <c r="I208">
        <f>ROUND(32/100,9)</f>
        <v>0.32</v>
      </c>
      <c r="J208">
        <v>0</v>
      </c>
      <c r="O208">
        <f t="shared" si="199"/>
        <v>666.99</v>
      </c>
      <c r="P208">
        <f t="shared" si="200"/>
        <v>0</v>
      </c>
      <c r="Q208">
        <f t="shared" si="201"/>
        <v>0</v>
      </c>
      <c r="R208">
        <f t="shared" si="202"/>
        <v>0</v>
      </c>
      <c r="S208">
        <f t="shared" si="203"/>
        <v>666.99</v>
      </c>
      <c r="T208">
        <f t="shared" si="204"/>
        <v>0</v>
      </c>
      <c r="U208">
        <f t="shared" si="205"/>
        <v>4.1472000000000007</v>
      </c>
      <c r="V208">
        <f t="shared" si="206"/>
        <v>0</v>
      </c>
      <c r="W208">
        <f t="shared" si="207"/>
        <v>0</v>
      </c>
      <c r="X208">
        <f t="shared" si="208"/>
        <v>433.54</v>
      </c>
      <c r="Y208">
        <f t="shared" si="209"/>
        <v>266.8</v>
      </c>
      <c r="AA208">
        <v>16630606</v>
      </c>
      <c r="AB208">
        <f t="shared" si="210"/>
        <v>165.95</v>
      </c>
      <c r="AC208">
        <f t="shared" si="193"/>
        <v>0</v>
      </c>
      <c r="AD208">
        <f t="shared" si="194"/>
        <v>0</v>
      </c>
      <c r="AE208">
        <f t="shared" si="195"/>
        <v>0</v>
      </c>
      <c r="AF208">
        <f t="shared" si="196"/>
        <v>165.95</v>
      </c>
      <c r="AG208">
        <f t="shared" si="211"/>
        <v>0</v>
      </c>
      <c r="AH208">
        <f t="shared" si="197"/>
        <v>12.96</v>
      </c>
      <c r="AI208">
        <f t="shared" si="198"/>
        <v>0</v>
      </c>
      <c r="AJ208">
        <f t="shared" si="212"/>
        <v>0</v>
      </c>
      <c r="AK208">
        <v>165.95</v>
      </c>
      <c r="AL208">
        <v>0</v>
      </c>
      <c r="AM208">
        <v>0</v>
      </c>
      <c r="AN208">
        <v>0</v>
      </c>
      <c r="AO208">
        <v>165.95</v>
      </c>
      <c r="AP208">
        <v>0</v>
      </c>
      <c r="AQ208">
        <v>12.96</v>
      </c>
      <c r="AR208">
        <v>0</v>
      </c>
      <c r="AS208">
        <v>0</v>
      </c>
      <c r="AT208">
        <v>65</v>
      </c>
      <c r="AU208">
        <v>40</v>
      </c>
      <c r="AV208">
        <v>1</v>
      </c>
      <c r="AW208">
        <v>1</v>
      </c>
      <c r="AZ208">
        <v>12.56</v>
      </c>
      <c r="BA208">
        <v>12.56</v>
      </c>
      <c r="BB208">
        <v>1</v>
      </c>
      <c r="BC208">
        <v>1</v>
      </c>
      <c r="BD208" t="s">
        <v>6</v>
      </c>
      <c r="BE208" t="s">
        <v>6</v>
      </c>
      <c r="BF208" t="s">
        <v>6</v>
      </c>
      <c r="BG208" t="s">
        <v>6</v>
      </c>
      <c r="BH208">
        <v>0</v>
      </c>
      <c r="BI208">
        <v>4</v>
      </c>
      <c r="BJ208" t="s">
        <v>699</v>
      </c>
      <c r="BM208">
        <v>200001</v>
      </c>
      <c r="BN208">
        <v>0</v>
      </c>
      <c r="BO208" t="s">
        <v>6</v>
      </c>
      <c r="BP208">
        <v>0</v>
      </c>
      <c r="BQ208">
        <v>4</v>
      </c>
      <c r="BR208">
        <v>0</v>
      </c>
      <c r="BS208">
        <v>1</v>
      </c>
      <c r="BT208">
        <v>1</v>
      </c>
      <c r="BU208">
        <v>1</v>
      </c>
      <c r="BV208">
        <v>1</v>
      </c>
      <c r="BW208">
        <v>1</v>
      </c>
      <c r="BX208">
        <v>1</v>
      </c>
      <c r="BY208" t="s">
        <v>6</v>
      </c>
      <c r="BZ208">
        <v>65</v>
      </c>
      <c r="CA208">
        <v>40</v>
      </c>
      <c r="CE208">
        <v>0</v>
      </c>
      <c r="CF208">
        <v>0</v>
      </c>
      <c r="CG208">
        <v>0</v>
      </c>
      <c r="CM208">
        <v>0</v>
      </c>
      <c r="CN208" t="s">
        <v>6</v>
      </c>
      <c r="CO208">
        <v>0</v>
      </c>
      <c r="CP208">
        <f t="shared" si="213"/>
        <v>666.99</v>
      </c>
      <c r="CQ208">
        <f t="shared" si="214"/>
        <v>0</v>
      </c>
      <c r="CR208">
        <f t="shared" si="215"/>
        <v>0</v>
      </c>
      <c r="CS208">
        <f t="shared" si="216"/>
        <v>0</v>
      </c>
      <c r="CT208">
        <f t="shared" si="217"/>
        <v>2084.3319999999999</v>
      </c>
      <c r="CU208">
        <f t="shared" si="218"/>
        <v>0</v>
      </c>
      <c r="CV208">
        <f t="shared" si="219"/>
        <v>12.96</v>
      </c>
      <c r="CW208">
        <f t="shared" si="220"/>
        <v>0</v>
      </c>
      <c r="CX208">
        <f t="shared" si="221"/>
        <v>0</v>
      </c>
      <c r="CY208">
        <f t="shared" si="222"/>
        <v>433.54349999999999</v>
      </c>
      <c r="CZ208">
        <f t="shared" si="223"/>
        <v>266.79599999999999</v>
      </c>
      <c r="DC208" t="s">
        <v>6</v>
      </c>
      <c r="DD208" t="s">
        <v>6</v>
      </c>
      <c r="DE208" t="s">
        <v>6</v>
      </c>
      <c r="DF208" t="s">
        <v>6</v>
      </c>
      <c r="DG208" t="s">
        <v>6</v>
      </c>
      <c r="DH208" t="s">
        <v>6</v>
      </c>
      <c r="DI208" t="s">
        <v>6</v>
      </c>
      <c r="DJ208" t="s">
        <v>6</v>
      </c>
      <c r="DK208" t="s">
        <v>6</v>
      </c>
      <c r="DL208" t="s">
        <v>6</v>
      </c>
      <c r="DM208" t="s">
        <v>6</v>
      </c>
      <c r="DN208">
        <v>0</v>
      </c>
      <c r="DO208">
        <v>0</v>
      </c>
      <c r="DP208">
        <v>1</v>
      </c>
      <c r="DQ208">
        <v>1</v>
      </c>
      <c r="DU208">
        <v>1013</v>
      </c>
      <c r="DV208" t="s">
        <v>698</v>
      </c>
      <c r="DW208" t="s">
        <v>698</v>
      </c>
      <c r="DX208">
        <v>1</v>
      </c>
      <c r="EE208">
        <v>16609280</v>
      </c>
      <c r="EF208">
        <v>4</v>
      </c>
      <c r="EG208" t="s">
        <v>692</v>
      </c>
      <c r="EH208">
        <v>0</v>
      </c>
      <c r="EI208" t="s">
        <v>6</v>
      </c>
      <c r="EJ208">
        <v>4</v>
      </c>
      <c r="EK208">
        <v>200001</v>
      </c>
      <c r="EL208" t="s">
        <v>693</v>
      </c>
      <c r="EM208" t="s">
        <v>694</v>
      </c>
      <c r="EO208" t="s">
        <v>6</v>
      </c>
      <c r="EQ208">
        <v>131072</v>
      </c>
      <c r="ER208">
        <v>165.95</v>
      </c>
      <c r="ES208">
        <v>0</v>
      </c>
      <c r="ET208">
        <v>0</v>
      </c>
      <c r="EU208">
        <v>0</v>
      </c>
      <c r="EV208">
        <v>165.95</v>
      </c>
      <c r="EW208">
        <v>12.96</v>
      </c>
      <c r="EX208">
        <v>0</v>
      </c>
      <c r="EY208">
        <v>0</v>
      </c>
      <c r="FQ208">
        <v>0</v>
      </c>
      <c r="FR208">
        <f t="shared" si="224"/>
        <v>0</v>
      </c>
      <c r="FS208">
        <v>0</v>
      </c>
      <c r="FX208">
        <v>65</v>
      </c>
      <c r="FY208">
        <v>40</v>
      </c>
      <c r="GA208" t="s">
        <v>6</v>
      </c>
      <c r="GD208">
        <v>0</v>
      </c>
      <c r="GF208">
        <v>-931447527</v>
      </c>
      <c r="GG208">
        <v>1</v>
      </c>
      <c r="GH208">
        <v>1</v>
      </c>
      <c r="GI208">
        <v>4</v>
      </c>
      <c r="GJ208">
        <v>0</v>
      </c>
      <c r="GK208">
        <f>ROUND(R208*(R12)/100,2)</f>
        <v>0</v>
      </c>
      <c r="GL208">
        <f t="shared" si="225"/>
        <v>0</v>
      </c>
      <c r="GM208">
        <f t="shared" si="226"/>
        <v>1367.33</v>
      </c>
      <c r="GN208">
        <f t="shared" si="227"/>
        <v>0</v>
      </c>
      <c r="GO208">
        <f t="shared" si="228"/>
        <v>0</v>
      </c>
      <c r="GP208">
        <f t="shared" si="229"/>
        <v>1367.33</v>
      </c>
      <c r="GR208">
        <v>0</v>
      </c>
      <c r="GS208">
        <v>3</v>
      </c>
      <c r="GT208">
        <v>0</v>
      </c>
      <c r="GU208" t="s">
        <v>6</v>
      </c>
      <c r="GV208">
        <f t="shared" si="230"/>
        <v>0</v>
      </c>
      <c r="GW208">
        <v>1</v>
      </c>
      <c r="GX208">
        <f t="shared" si="231"/>
        <v>0</v>
      </c>
      <c r="HA208">
        <v>0</v>
      </c>
      <c r="HB208">
        <v>0</v>
      </c>
      <c r="HC208">
        <f t="shared" si="232"/>
        <v>0</v>
      </c>
      <c r="IK208">
        <v>0</v>
      </c>
    </row>
    <row r="209" spans="1:245" x14ac:dyDescent="0.2">
      <c r="A209">
        <v>17</v>
      </c>
      <c r="B209">
        <v>1</v>
      </c>
      <c r="C209">
        <f>ROW(SmtRes!A505)</f>
        <v>505</v>
      </c>
      <c r="D209">
        <f>ROW(EtalonRes!A489)</f>
        <v>489</v>
      </c>
      <c r="E209" t="s">
        <v>700</v>
      </c>
      <c r="F209" t="s">
        <v>701</v>
      </c>
      <c r="G209" t="s">
        <v>702</v>
      </c>
      <c r="H209" t="s">
        <v>127</v>
      </c>
      <c r="I209">
        <v>2</v>
      </c>
      <c r="J209">
        <v>0</v>
      </c>
      <c r="O209">
        <f t="shared" si="199"/>
        <v>392.37</v>
      </c>
      <c r="P209">
        <f t="shared" si="200"/>
        <v>0</v>
      </c>
      <c r="Q209">
        <f t="shared" si="201"/>
        <v>0</v>
      </c>
      <c r="R209">
        <f t="shared" si="202"/>
        <v>0</v>
      </c>
      <c r="S209">
        <f t="shared" si="203"/>
        <v>392.37</v>
      </c>
      <c r="T209">
        <f t="shared" si="204"/>
        <v>0</v>
      </c>
      <c r="U209">
        <f t="shared" si="205"/>
        <v>2.44</v>
      </c>
      <c r="V209">
        <f t="shared" si="206"/>
        <v>0</v>
      </c>
      <c r="W209">
        <f t="shared" si="207"/>
        <v>0</v>
      </c>
      <c r="X209">
        <f t="shared" si="208"/>
        <v>255.04</v>
      </c>
      <c r="Y209">
        <f t="shared" si="209"/>
        <v>156.94999999999999</v>
      </c>
      <c r="AA209">
        <v>16630606</v>
      </c>
      <c r="AB209">
        <f t="shared" si="210"/>
        <v>15.62</v>
      </c>
      <c r="AC209">
        <f t="shared" si="193"/>
        <v>0</v>
      </c>
      <c r="AD209">
        <f t="shared" si="194"/>
        <v>0</v>
      </c>
      <c r="AE209">
        <f t="shared" si="195"/>
        <v>0</v>
      </c>
      <c r="AF209">
        <f t="shared" si="196"/>
        <v>15.62</v>
      </c>
      <c r="AG209">
        <f t="shared" si="211"/>
        <v>0</v>
      </c>
      <c r="AH209">
        <f t="shared" si="197"/>
        <v>1.22</v>
      </c>
      <c r="AI209">
        <f t="shared" si="198"/>
        <v>0</v>
      </c>
      <c r="AJ209">
        <f t="shared" si="212"/>
        <v>0</v>
      </c>
      <c r="AK209">
        <v>15.62</v>
      </c>
      <c r="AL209">
        <v>0</v>
      </c>
      <c r="AM209">
        <v>0</v>
      </c>
      <c r="AN209">
        <v>0</v>
      </c>
      <c r="AO209">
        <v>15.62</v>
      </c>
      <c r="AP209">
        <v>0</v>
      </c>
      <c r="AQ209">
        <v>1.22</v>
      </c>
      <c r="AR209">
        <v>0</v>
      </c>
      <c r="AS209">
        <v>0</v>
      </c>
      <c r="AT209">
        <v>65</v>
      </c>
      <c r="AU209">
        <v>40</v>
      </c>
      <c r="AV209">
        <v>1</v>
      </c>
      <c r="AW209">
        <v>1</v>
      </c>
      <c r="AZ209">
        <v>12.56</v>
      </c>
      <c r="BA209">
        <v>12.56</v>
      </c>
      <c r="BB209">
        <v>1</v>
      </c>
      <c r="BC209">
        <v>1</v>
      </c>
      <c r="BD209" t="s">
        <v>6</v>
      </c>
      <c r="BE209" t="s">
        <v>6</v>
      </c>
      <c r="BF209" t="s">
        <v>6</v>
      </c>
      <c r="BG209" t="s">
        <v>6</v>
      </c>
      <c r="BH209">
        <v>0</v>
      </c>
      <c r="BI209">
        <v>4</v>
      </c>
      <c r="BJ209" t="s">
        <v>703</v>
      </c>
      <c r="BM209">
        <v>200001</v>
      </c>
      <c r="BN209">
        <v>0</v>
      </c>
      <c r="BO209" t="s">
        <v>6</v>
      </c>
      <c r="BP209">
        <v>0</v>
      </c>
      <c r="BQ209">
        <v>4</v>
      </c>
      <c r="BR209">
        <v>0</v>
      </c>
      <c r="BS209">
        <v>1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6</v>
      </c>
      <c r="BZ209">
        <v>65</v>
      </c>
      <c r="CA209">
        <v>40</v>
      </c>
      <c r="CE209">
        <v>0</v>
      </c>
      <c r="CF209">
        <v>0</v>
      </c>
      <c r="CG209">
        <v>0</v>
      </c>
      <c r="CM209">
        <v>0</v>
      </c>
      <c r="CN209" t="s">
        <v>6</v>
      </c>
      <c r="CO209">
        <v>0</v>
      </c>
      <c r="CP209">
        <f t="shared" si="213"/>
        <v>392.37</v>
      </c>
      <c r="CQ209">
        <f t="shared" si="214"/>
        <v>0</v>
      </c>
      <c r="CR209">
        <f t="shared" si="215"/>
        <v>0</v>
      </c>
      <c r="CS209">
        <f t="shared" si="216"/>
        <v>0</v>
      </c>
      <c r="CT209">
        <f t="shared" si="217"/>
        <v>196.18719999999999</v>
      </c>
      <c r="CU209">
        <f t="shared" si="218"/>
        <v>0</v>
      </c>
      <c r="CV209">
        <f t="shared" si="219"/>
        <v>1.22</v>
      </c>
      <c r="CW209">
        <f t="shared" si="220"/>
        <v>0</v>
      </c>
      <c r="CX209">
        <f t="shared" si="221"/>
        <v>0</v>
      </c>
      <c r="CY209">
        <f t="shared" si="222"/>
        <v>255.04049999999998</v>
      </c>
      <c r="CZ209">
        <f t="shared" si="223"/>
        <v>156.94799999999998</v>
      </c>
      <c r="DC209" t="s">
        <v>6</v>
      </c>
      <c r="DD209" t="s">
        <v>6</v>
      </c>
      <c r="DE209" t="s">
        <v>6</v>
      </c>
      <c r="DF209" t="s">
        <v>6</v>
      </c>
      <c r="DG209" t="s">
        <v>6</v>
      </c>
      <c r="DH209" t="s">
        <v>6</v>
      </c>
      <c r="DI209" t="s">
        <v>6</v>
      </c>
      <c r="DJ209" t="s">
        <v>6</v>
      </c>
      <c r="DK209" t="s">
        <v>6</v>
      </c>
      <c r="DL209" t="s">
        <v>6</v>
      </c>
      <c r="DM209" t="s">
        <v>6</v>
      </c>
      <c r="DN209">
        <v>0</v>
      </c>
      <c r="DO209">
        <v>0</v>
      </c>
      <c r="DP209">
        <v>1</v>
      </c>
      <c r="DQ209">
        <v>1</v>
      </c>
      <c r="DU209">
        <v>1013</v>
      </c>
      <c r="DV209" t="s">
        <v>127</v>
      </c>
      <c r="DW209" t="s">
        <v>127</v>
      </c>
      <c r="DX209">
        <v>1</v>
      </c>
      <c r="EE209">
        <v>16609280</v>
      </c>
      <c r="EF209">
        <v>4</v>
      </c>
      <c r="EG209" t="s">
        <v>692</v>
      </c>
      <c r="EH209">
        <v>0</v>
      </c>
      <c r="EI209" t="s">
        <v>6</v>
      </c>
      <c r="EJ209">
        <v>4</v>
      </c>
      <c r="EK209">
        <v>200001</v>
      </c>
      <c r="EL209" t="s">
        <v>693</v>
      </c>
      <c r="EM209" t="s">
        <v>694</v>
      </c>
      <c r="EO209" t="s">
        <v>6</v>
      </c>
      <c r="EQ209">
        <v>131072</v>
      </c>
      <c r="ER209">
        <v>15.62</v>
      </c>
      <c r="ES209">
        <v>0</v>
      </c>
      <c r="ET209">
        <v>0</v>
      </c>
      <c r="EU209">
        <v>0</v>
      </c>
      <c r="EV209">
        <v>15.62</v>
      </c>
      <c r="EW209">
        <v>1.22</v>
      </c>
      <c r="EX209">
        <v>0</v>
      </c>
      <c r="EY209">
        <v>0</v>
      </c>
      <c r="FQ209">
        <v>0</v>
      </c>
      <c r="FR209">
        <f t="shared" si="224"/>
        <v>0</v>
      </c>
      <c r="FS209">
        <v>0</v>
      </c>
      <c r="FX209">
        <v>65</v>
      </c>
      <c r="FY209">
        <v>40</v>
      </c>
      <c r="GA209" t="s">
        <v>6</v>
      </c>
      <c r="GD209">
        <v>0</v>
      </c>
      <c r="GF209">
        <v>-829332442</v>
      </c>
      <c r="GG209">
        <v>1</v>
      </c>
      <c r="GH209">
        <v>1</v>
      </c>
      <c r="GI209">
        <v>4</v>
      </c>
      <c r="GJ209">
        <v>0</v>
      </c>
      <c r="GK209">
        <f>ROUND(R209*(R12)/100,2)</f>
        <v>0</v>
      </c>
      <c r="GL209">
        <f t="shared" si="225"/>
        <v>0</v>
      </c>
      <c r="GM209">
        <f t="shared" si="226"/>
        <v>804.36</v>
      </c>
      <c r="GN209">
        <f t="shared" si="227"/>
        <v>0</v>
      </c>
      <c r="GO209">
        <f t="shared" si="228"/>
        <v>0</v>
      </c>
      <c r="GP209">
        <f t="shared" si="229"/>
        <v>804.36</v>
      </c>
      <c r="GR209">
        <v>0</v>
      </c>
      <c r="GS209">
        <v>3</v>
      </c>
      <c r="GT209">
        <v>0</v>
      </c>
      <c r="GU209" t="s">
        <v>6</v>
      </c>
      <c r="GV209">
        <f t="shared" si="230"/>
        <v>0</v>
      </c>
      <c r="GW209">
        <v>1</v>
      </c>
      <c r="GX209">
        <f t="shared" si="231"/>
        <v>0</v>
      </c>
      <c r="HA209">
        <v>0</v>
      </c>
      <c r="HB209">
        <v>0</v>
      </c>
      <c r="HC209">
        <f t="shared" si="232"/>
        <v>0</v>
      </c>
      <c r="IK209">
        <v>0</v>
      </c>
    </row>
    <row r="210" spans="1:245" x14ac:dyDescent="0.2">
      <c r="A210">
        <v>17</v>
      </c>
      <c r="B210">
        <v>1</v>
      </c>
      <c r="C210">
        <f>ROW(SmtRes!A507)</f>
        <v>507</v>
      </c>
      <c r="D210">
        <f>ROW(EtalonRes!A491)</f>
        <v>491</v>
      </c>
      <c r="E210" t="s">
        <v>704</v>
      </c>
      <c r="F210" t="s">
        <v>705</v>
      </c>
      <c r="G210" t="s">
        <v>706</v>
      </c>
      <c r="H210" t="s">
        <v>127</v>
      </c>
      <c r="I210">
        <v>22</v>
      </c>
      <c r="J210">
        <v>0</v>
      </c>
      <c r="O210">
        <f t="shared" si="199"/>
        <v>3531.37</v>
      </c>
      <c r="P210">
        <f t="shared" si="200"/>
        <v>0</v>
      </c>
      <c r="Q210">
        <f t="shared" si="201"/>
        <v>0</v>
      </c>
      <c r="R210">
        <f t="shared" si="202"/>
        <v>0</v>
      </c>
      <c r="S210">
        <f t="shared" si="203"/>
        <v>3531.37</v>
      </c>
      <c r="T210">
        <f t="shared" si="204"/>
        <v>0</v>
      </c>
      <c r="U210">
        <f t="shared" si="205"/>
        <v>29.92</v>
      </c>
      <c r="V210">
        <f t="shared" si="206"/>
        <v>0</v>
      </c>
      <c r="W210">
        <f t="shared" si="207"/>
        <v>0</v>
      </c>
      <c r="X210">
        <f t="shared" si="208"/>
        <v>2295.39</v>
      </c>
      <c r="Y210">
        <f t="shared" si="209"/>
        <v>1412.55</v>
      </c>
      <c r="AA210">
        <v>16630606</v>
      </c>
      <c r="AB210">
        <f t="shared" si="210"/>
        <v>12.78</v>
      </c>
      <c r="AC210">
        <f t="shared" si="193"/>
        <v>0</v>
      </c>
      <c r="AD210">
        <f t="shared" si="194"/>
        <v>0</v>
      </c>
      <c r="AE210">
        <f t="shared" si="195"/>
        <v>0</v>
      </c>
      <c r="AF210">
        <f t="shared" si="196"/>
        <v>12.78</v>
      </c>
      <c r="AG210">
        <f t="shared" si="211"/>
        <v>0</v>
      </c>
      <c r="AH210">
        <f t="shared" si="197"/>
        <v>1.36</v>
      </c>
      <c r="AI210">
        <f t="shared" si="198"/>
        <v>0</v>
      </c>
      <c r="AJ210">
        <f t="shared" si="212"/>
        <v>0</v>
      </c>
      <c r="AK210">
        <v>12.78</v>
      </c>
      <c r="AL210">
        <v>0</v>
      </c>
      <c r="AM210">
        <v>0</v>
      </c>
      <c r="AN210">
        <v>0</v>
      </c>
      <c r="AO210">
        <v>12.78</v>
      </c>
      <c r="AP210">
        <v>0</v>
      </c>
      <c r="AQ210">
        <v>1.36</v>
      </c>
      <c r="AR210">
        <v>0</v>
      </c>
      <c r="AS210">
        <v>0</v>
      </c>
      <c r="AT210">
        <v>65</v>
      </c>
      <c r="AU210">
        <v>40</v>
      </c>
      <c r="AV210">
        <v>1</v>
      </c>
      <c r="AW210">
        <v>1</v>
      </c>
      <c r="AZ210">
        <v>12.56</v>
      </c>
      <c r="BA210">
        <v>12.56</v>
      </c>
      <c r="BB210">
        <v>1</v>
      </c>
      <c r="BC210">
        <v>1</v>
      </c>
      <c r="BD210" t="s">
        <v>6</v>
      </c>
      <c r="BE210" t="s">
        <v>6</v>
      </c>
      <c r="BF210" t="s">
        <v>6</v>
      </c>
      <c r="BG210" t="s">
        <v>6</v>
      </c>
      <c r="BH210">
        <v>0</v>
      </c>
      <c r="BI210">
        <v>4</v>
      </c>
      <c r="BJ210" t="s">
        <v>707</v>
      </c>
      <c r="BM210">
        <v>200001</v>
      </c>
      <c r="BN210">
        <v>0</v>
      </c>
      <c r="BO210" t="s">
        <v>6</v>
      </c>
      <c r="BP210">
        <v>0</v>
      </c>
      <c r="BQ210">
        <v>4</v>
      </c>
      <c r="BR210">
        <v>0</v>
      </c>
      <c r="BS210">
        <v>1</v>
      </c>
      <c r="BT210">
        <v>1</v>
      </c>
      <c r="BU210">
        <v>1</v>
      </c>
      <c r="BV210">
        <v>1</v>
      </c>
      <c r="BW210">
        <v>1</v>
      </c>
      <c r="BX210">
        <v>1</v>
      </c>
      <c r="BY210" t="s">
        <v>6</v>
      </c>
      <c r="BZ210">
        <v>65</v>
      </c>
      <c r="CA210">
        <v>40</v>
      </c>
      <c r="CE210">
        <v>0</v>
      </c>
      <c r="CF210">
        <v>0</v>
      </c>
      <c r="CG210">
        <v>0</v>
      </c>
      <c r="CM210">
        <v>0</v>
      </c>
      <c r="CN210" t="s">
        <v>6</v>
      </c>
      <c r="CO210">
        <v>0</v>
      </c>
      <c r="CP210">
        <f t="shared" si="213"/>
        <v>3531.37</v>
      </c>
      <c r="CQ210">
        <f t="shared" si="214"/>
        <v>0</v>
      </c>
      <c r="CR210">
        <f t="shared" si="215"/>
        <v>0</v>
      </c>
      <c r="CS210">
        <f t="shared" si="216"/>
        <v>0</v>
      </c>
      <c r="CT210">
        <f t="shared" si="217"/>
        <v>160.51679999999999</v>
      </c>
      <c r="CU210">
        <f t="shared" si="218"/>
        <v>0</v>
      </c>
      <c r="CV210">
        <f t="shared" si="219"/>
        <v>1.36</v>
      </c>
      <c r="CW210">
        <f t="shared" si="220"/>
        <v>0</v>
      </c>
      <c r="CX210">
        <f t="shared" si="221"/>
        <v>0</v>
      </c>
      <c r="CY210">
        <f t="shared" si="222"/>
        <v>2295.3905</v>
      </c>
      <c r="CZ210">
        <f t="shared" si="223"/>
        <v>1412.5479999999998</v>
      </c>
      <c r="DC210" t="s">
        <v>6</v>
      </c>
      <c r="DD210" t="s">
        <v>6</v>
      </c>
      <c r="DE210" t="s">
        <v>6</v>
      </c>
      <c r="DF210" t="s">
        <v>6</v>
      </c>
      <c r="DG210" t="s">
        <v>6</v>
      </c>
      <c r="DH210" t="s">
        <v>6</v>
      </c>
      <c r="DI210" t="s">
        <v>6</v>
      </c>
      <c r="DJ210" t="s">
        <v>6</v>
      </c>
      <c r="DK210" t="s">
        <v>6</v>
      </c>
      <c r="DL210" t="s">
        <v>6</v>
      </c>
      <c r="DM210" t="s">
        <v>6</v>
      </c>
      <c r="DN210">
        <v>0</v>
      </c>
      <c r="DO210">
        <v>0</v>
      </c>
      <c r="DP210">
        <v>1</v>
      </c>
      <c r="DQ210">
        <v>1</v>
      </c>
      <c r="DU210">
        <v>1013</v>
      </c>
      <c r="DV210" t="s">
        <v>127</v>
      </c>
      <c r="DW210" t="s">
        <v>127</v>
      </c>
      <c r="DX210">
        <v>1</v>
      </c>
      <c r="EE210">
        <v>16609280</v>
      </c>
      <c r="EF210">
        <v>4</v>
      </c>
      <c r="EG210" t="s">
        <v>692</v>
      </c>
      <c r="EH210">
        <v>0</v>
      </c>
      <c r="EI210" t="s">
        <v>6</v>
      </c>
      <c r="EJ210">
        <v>4</v>
      </c>
      <c r="EK210">
        <v>200001</v>
      </c>
      <c r="EL210" t="s">
        <v>693</v>
      </c>
      <c r="EM210" t="s">
        <v>694</v>
      </c>
      <c r="EO210" t="s">
        <v>6</v>
      </c>
      <c r="EQ210">
        <v>0</v>
      </c>
      <c r="ER210">
        <v>12.78</v>
      </c>
      <c r="ES210">
        <v>0</v>
      </c>
      <c r="ET210">
        <v>0</v>
      </c>
      <c r="EU210">
        <v>0</v>
      </c>
      <c r="EV210">
        <v>12.78</v>
      </c>
      <c r="EW210">
        <v>1.36</v>
      </c>
      <c r="EX210">
        <v>0</v>
      </c>
      <c r="EY210">
        <v>0</v>
      </c>
      <c r="FQ210">
        <v>0</v>
      </c>
      <c r="FR210">
        <f t="shared" si="224"/>
        <v>0</v>
      </c>
      <c r="FS210">
        <v>0</v>
      </c>
      <c r="FX210">
        <v>65</v>
      </c>
      <c r="FY210">
        <v>40</v>
      </c>
      <c r="GA210" t="s">
        <v>6</v>
      </c>
      <c r="GD210">
        <v>0</v>
      </c>
      <c r="GF210">
        <v>-1893602147</v>
      </c>
      <c r="GG210">
        <v>1</v>
      </c>
      <c r="GH210">
        <v>1</v>
      </c>
      <c r="GI210">
        <v>4</v>
      </c>
      <c r="GJ210">
        <v>0</v>
      </c>
      <c r="GK210">
        <f>ROUND(R210*(R12)/100,2)</f>
        <v>0</v>
      </c>
      <c r="GL210">
        <f t="shared" si="225"/>
        <v>0</v>
      </c>
      <c r="GM210">
        <f t="shared" si="226"/>
        <v>7239.31</v>
      </c>
      <c r="GN210">
        <f t="shared" si="227"/>
        <v>0</v>
      </c>
      <c r="GO210">
        <f t="shared" si="228"/>
        <v>0</v>
      </c>
      <c r="GP210">
        <f t="shared" si="229"/>
        <v>7239.31</v>
      </c>
      <c r="GR210">
        <v>0</v>
      </c>
      <c r="GS210">
        <v>3</v>
      </c>
      <c r="GT210">
        <v>0</v>
      </c>
      <c r="GU210" t="s">
        <v>6</v>
      </c>
      <c r="GV210">
        <f t="shared" si="230"/>
        <v>0</v>
      </c>
      <c r="GW210">
        <v>1</v>
      </c>
      <c r="GX210">
        <f t="shared" si="231"/>
        <v>0</v>
      </c>
      <c r="HA210">
        <v>0</v>
      </c>
      <c r="HB210">
        <v>0</v>
      </c>
      <c r="HC210">
        <f t="shared" si="232"/>
        <v>0</v>
      </c>
      <c r="IK210">
        <v>0</v>
      </c>
    </row>
    <row r="212" spans="1:245" x14ac:dyDescent="0.2">
      <c r="A212" s="2">
        <v>51</v>
      </c>
      <c r="B212" s="2">
        <f>B155</f>
        <v>1</v>
      </c>
      <c r="C212" s="2">
        <f>A155</f>
        <v>4</v>
      </c>
      <c r="D212" s="2">
        <f>ROW(A155)</f>
        <v>155</v>
      </c>
      <c r="E212" s="2"/>
      <c r="F212" s="2" t="str">
        <f>IF(F155&lt;&gt;"",F155,"")</f>
        <v>Новый раздел</v>
      </c>
      <c r="G212" s="2" t="str">
        <f>IF(G155&lt;&gt;"",G155,"")</f>
        <v>Система электроснабжения</v>
      </c>
      <c r="H212" s="2">
        <v>0</v>
      </c>
      <c r="I212" s="2"/>
      <c r="J212" s="2"/>
      <c r="K212" s="2"/>
      <c r="L212" s="2"/>
      <c r="M212" s="2"/>
      <c r="N212" s="2"/>
      <c r="O212" s="2">
        <f t="shared" ref="O212:T212" si="233">ROUND(AB212,2)</f>
        <v>196307.3</v>
      </c>
      <c r="P212" s="2">
        <f t="shared" si="233"/>
        <v>172628.84</v>
      </c>
      <c r="Q212" s="2">
        <f t="shared" si="233"/>
        <v>1047.8499999999999</v>
      </c>
      <c r="R212" s="2">
        <f t="shared" si="233"/>
        <v>128.72999999999999</v>
      </c>
      <c r="S212" s="2">
        <f t="shared" si="233"/>
        <v>22630.61</v>
      </c>
      <c r="T212" s="2">
        <f t="shared" si="233"/>
        <v>0</v>
      </c>
      <c r="U212" s="2">
        <f>AH212</f>
        <v>291.47594000000009</v>
      </c>
      <c r="V212" s="2">
        <f>AI212</f>
        <v>1.4265600000000001</v>
      </c>
      <c r="W212" s="2">
        <f>ROUND(AJ212,2)</f>
        <v>0</v>
      </c>
      <c r="X212" s="2">
        <f>ROUND(AK212,2)</f>
        <v>19648.23</v>
      </c>
      <c r="Y212" s="2">
        <f>ROUND(AL212,2)</f>
        <v>13302.64</v>
      </c>
      <c r="Z212" s="2"/>
      <c r="AA212" s="2"/>
      <c r="AB212" s="2">
        <f>ROUND(SUMIF(AA159:AA210,"=16630606",O159:O210),2)</f>
        <v>196307.3</v>
      </c>
      <c r="AC212" s="2">
        <f>ROUND(SUMIF(AA159:AA210,"=16630606",P159:P210),2)</f>
        <v>172628.84</v>
      </c>
      <c r="AD212" s="2">
        <f>ROUND(SUMIF(AA159:AA210,"=16630606",Q159:Q210),2)</f>
        <v>1047.8499999999999</v>
      </c>
      <c r="AE212" s="2">
        <f>ROUND(SUMIF(AA159:AA210,"=16630606",R159:R210),2)</f>
        <v>128.72999999999999</v>
      </c>
      <c r="AF212" s="2">
        <f>ROUND(SUMIF(AA159:AA210,"=16630606",S159:S210),2)</f>
        <v>22630.61</v>
      </c>
      <c r="AG212" s="2">
        <f>ROUND(SUMIF(AA159:AA210,"=16630606",T159:T210),2)</f>
        <v>0</v>
      </c>
      <c r="AH212" s="2">
        <f>SUMIF(AA159:AA210,"=16630606",U159:U210)</f>
        <v>291.47594000000009</v>
      </c>
      <c r="AI212" s="2">
        <f>SUMIF(AA159:AA210,"=16630606",V159:V210)</f>
        <v>1.4265600000000001</v>
      </c>
      <c r="AJ212" s="2">
        <f>ROUND(SUMIF(AA159:AA210,"=16630606",W159:W210),2)</f>
        <v>0</v>
      </c>
      <c r="AK212" s="2">
        <f>ROUND(SUMIF(AA159:AA210,"=16630606",X159:X210),2)</f>
        <v>19648.23</v>
      </c>
      <c r="AL212" s="2">
        <f>ROUND(SUMIF(AA159:AA210,"=16630606",Y159:Y210),2)</f>
        <v>13302.64</v>
      </c>
      <c r="AM212" s="2"/>
      <c r="AN212" s="2"/>
      <c r="AO212" s="2">
        <f t="shared" ref="AO212:BC212" si="234">ROUND(BX212,2)</f>
        <v>0</v>
      </c>
      <c r="AP212" s="2">
        <f t="shared" si="234"/>
        <v>0</v>
      </c>
      <c r="AQ212" s="2">
        <f t="shared" si="234"/>
        <v>0</v>
      </c>
      <c r="AR212" s="2">
        <f t="shared" si="234"/>
        <v>229258.17</v>
      </c>
      <c r="AS212" s="2">
        <f t="shared" si="234"/>
        <v>2416.4499999999998</v>
      </c>
      <c r="AT212" s="2">
        <f t="shared" si="234"/>
        <v>215108.26</v>
      </c>
      <c r="AU212" s="2">
        <f t="shared" si="234"/>
        <v>11733.46</v>
      </c>
      <c r="AV212" s="2">
        <f t="shared" si="234"/>
        <v>172628.84</v>
      </c>
      <c r="AW212" s="2">
        <f t="shared" si="234"/>
        <v>172628.84</v>
      </c>
      <c r="AX212" s="2">
        <f t="shared" si="234"/>
        <v>0</v>
      </c>
      <c r="AY212" s="2">
        <f t="shared" si="234"/>
        <v>172628.84</v>
      </c>
      <c r="AZ212" s="2">
        <f t="shared" si="234"/>
        <v>0</v>
      </c>
      <c r="BA212" s="2">
        <f t="shared" si="234"/>
        <v>0</v>
      </c>
      <c r="BB212" s="2">
        <f t="shared" si="234"/>
        <v>0</v>
      </c>
      <c r="BC212" s="2">
        <f t="shared" si="234"/>
        <v>0</v>
      </c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>
        <f>ROUND(SUMIF(AA159:AA210,"=16630606",FQ159:FQ210),2)</f>
        <v>0</v>
      </c>
      <c r="BY212" s="2">
        <f>ROUND(SUMIF(AA159:AA210,"=16630606",FR159:FR210),2)</f>
        <v>0</v>
      </c>
      <c r="BZ212" s="2">
        <f>ROUND(SUMIF(AA159:AA210,"=16630606",GL159:GL210),2)</f>
        <v>0</v>
      </c>
      <c r="CA212" s="2">
        <f>ROUND(SUMIF(AA159:AA210,"=16630606",GM159:GM210),2)</f>
        <v>229258.17</v>
      </c>
      <c r="CB212" s="2">
        <f>ROUND(SUMIF(AA159:AA210,"=16630606",GN159:GN210),2)</f>
        <v>2416.4499999999998</v>
      </c>
      <c r="CC212" s="2">
        <f>ROUND(SUMIF(AA159:AA210,"=16630606",GO159:GO210),2)</f>
        <v>215108.26</v>
      </c>
      <c r="CD212" s="2">
        <f>ROUND(SUMIF(AA159:AA210,"=16630606",GP159:GP210),2)</f>
        <v>11733.46</v>
      </c>
      <c r="CE212" s="2">
        <f>AC212-BX212</f>
        <v>172628.84</v>
      </c>
      <c r="CF212" s="2">
        <f>AC212-BY212</f>
        <v>172628.84</v>
      </c>
      <c r="CG212" s="2">
        <f>BX212-BZ212</f>
        <v>0</v>
      </c>
      <c r="CH212" s="2">
        <f>AC212-BX212-BY212+BZ212</f>
        <v>172628.84</v>
      </c>
      <c r="CI212" s="2">
        <f>BY212-BZ212</f>
        <v>0</v>
      </c>
      <c r="CJ212" s="2">
        <f>ROUND(SUMIF(AA159:AA210,"=16630606",GX159:GX210),2)</f>
        <v>0</v>
      </c>
      <c r="CK212" s="2">
        <f>ROUND(SUMIF(AA159:AA210,"=16630606",GY159:GY210),2)</f>
        <v>0</v>
      </c>
      <c r="CL212" s="2">
        <f>ROUND(SUMIF(AA159:AA210,"=16630606",GZ159:GZ210),2)</f>
        <v>0</v>
      </c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/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  <c r="FC212" s="3"/>
      <c r="FD212" s="3"/>
      <c r="FE212" s="3"/>
      <c r="FF212" s="3"/>
      <c r="FG212" s="3"/>
      <c r="FH212" s="3"/>
      <c r="FI212" s="3"/>
      <c r="FJ212" s="3"/>
      <c r="FK212" s="3"/>
      <c r="FL212" s="3"/>
      <c r="FM212" s="3"/>
      <c r="FN212" s="3"/>
      <c r="FO212" s="3"/>
      <c r="FP212" s="3"/>
      <c r="FQ212" s="3"/>
      <c r="FR212" s="3"/>
      <c r="FS212" s="3"/>
      <c r="FT212" s="3"/>
      <c r="FU212" s="3"/>
      <c r="FV212" s="3"/>
      <c r="FW212" s="3"/>
      <c r="FX212" s="3"/>
      <c r="FY212" s="3"/>
      <c r="FZ212" s="3"/>
      <c r="GA212" s="3"/>
      <c r="GB212" s="3"/>
      <c r="GC212" s="3"/>
      <c r="GD212" s="3"/>
      <c r="GE212" s="3"/>
      <c r="GF212" s="3"/>
      <c r="GG212" s="3"/>
      <c r="GH212" s="3"/>
      <c r="GI212" s="3"/>
      <c r="GJ212" s="3"/>
      <c r="GK212" s="3"/>
      <c r="GL212" s="3"/>
      <c r="GM212" s="3"/>
      <c r="GN212" s="3"/>
      <c r="GO212" s="3"/>
      <c r="GP212" s="3"/>
      <c r="GQ212" s="3"/>
      <c r="GR212" s="3"/>
      <c r="GS212" s="3"/>
      <c r="GT212" s="3"/>
      <c r="GU212" s="3"/>
      <c r="GV212" s="3"/>
      <c r="GW212" s="3"/>
      <c r="GX212" s="3">
        <v>0</v>
      </c>
    </row>
    <row r="214" spans="1:245" x14ac:dyDescent="0.2">
      <c r="A214" s="4">
        <v>50</v>
      </c>
      <c r="B214" s="4">
        <v>0</v>
      </c>
      <c r="C214" s="4">
        <v>0</v>
      </c>
      <c r="D214" s="4">
        <v>1</v>
      </c>
      <c r="E214" s="4">
        <v>201</v>
      </c>
      <c r="F214" s="4">
        <f>ROUND(Source!O212,O214)</f>
        <v>196307.3</v>
      </c>
      <c r="G214" s="4" t="s">
        <v>428</v>
      </c>
      <c r="H214" s="4" t="s">
        <v>429</v>
      </c>
      <c r="I214" s="4"/>
      <c r="J214" s="4"/>
      <c r="K214" s="4">
        <v>201</v>
      </c>
      <c r="L214" s="4">
        <v>1</v>
      </c>
      <c r="M214" s="4">
        <v>3</v>
      </c>
      <c r="N214" s="4" t="s">
        <v>6</v>
      </c>
      <c r="O214" s="4">
        <v>2</v>
      </c>
      <c r="P214" s="4"/>
      <c r="Q214" s="4"/>
      <c r="R214" s="4"/>
      <c r="S214" s="4"/>
      <c r="T214" s="4"/>
      <c r="U214" s="4"/>
      <c r="V214" s="4"/>
      <c r="W214" s="4"/>
    </row>
    <row r="215" spans="1:245" x14ac:dyDescent="0.2">
      <c r="A215" s="4">
        <v>50</v>
      </c>
      <c r="B215" s="4">
        <v>0</v>
      </c>
      <c r="C215" s="4">
        <v>0</v>
      </c>
      <c r="D215" s="4">
        <v>1</v>
      </c>
      <c r="E215" s="4">
        <v>202</v>
      </c>
      <c r="F215" s="4">
        <f>ROUND(Source!P212,O215)</f>
        <v>172628.84</v>
      </c>
      <c r="G215" s="4" t="s">
        <v>430</v>
      </c>
      <c r="H215" s="4" t="s">
        <v>431</v>
      </c>
      <c r="I215" s="4"/>
      <c r="J215" s="4"/>
      <c r="K215" s="4">
        <v>202</v>
      </c>
      <c r="L215" s="4">
        <v>2</v>
      </c>
      <c r="M215" s="4">
        <v>3</v>
      </c>
      <c r="N215" s="4" t="s">
        <v>6</v>
      </c>
      <c r="O215" s="4">
        <v>2</v>
      </c>
      <c r="P215" s="4"/>
      <c r="Q215" s="4"/>
      <c r="R215" s="4"/>
      <c r="S215" s="4"/>
      <c r="T215" s="4"/>
      <c r="U215" s="4"/>
      <c r="V215" s="4"/>
      <c r="W215" s="4"/>
    </row>
    <row r="216" spans="1:245" x14ac:dyDescent="0.2">
      <c r="A216" s="4">
        <v>50</v>
      </c>
      <c r="B216" s="4">
        <v>0</v>
      </c>
      <c r="C216" s="4">
        <v>0</v>
      </c>
      <c r="D216" s="4">
        <v>1</v>
      </c>
      <c r="E216" s="4">
        <v>222</v>
      </c>
      <c r="F216" s="4">
        <f>ROUND(Source!AO212,O216)</f>
        <v>0</v>
      </c>
      <c r="G216" s="4" t="s">
        <v>432</v>
      </c>
      <c r="H216" s="4" t="s">
        <v>433</v>
      </c>
      <c r="I216" s="4"/>
      <c r="J216" s="4"/>
      <c r="K216" s="4">
        <v>222</v>
      </c>
      <c r="L216" s="4">
        <v>3</v>
      </c>
      <c r="M216" s="4">
        <v>3</v>
      </c>
      <c r="N216" s="4" t="s">
        <v>6</v>
      </c>
      <c r="O216" s="4">
        <v>2</v>
      </c>
      <c r="P216" s="4"/>
      <c r="Q216" s="4"/>
      <c r="R216" s="4"/>
      <c r="S216" s="4"/>
      <c r="T216" s="4"/>
      <c r="U216" s="4"/>
      <c r="V216" s="4"/>
      <c r="W216" s="4"/>
    </row>
    <row r="217" spans="1:245" x14ac:dyDescent="0.2">
      <c r="A217" s="4">
        <v>50</v>
      </c>
      <c r="B217" s="4">
        <v>0</v>
      </c>
      <c r="C217" s="4">
        <v>0</v>
      </c>
      <c r="D217" s="4">
        <v>1</v>
      </c>
      <c r="E217" s="4">
        <v>225</v>
      </c>
      <c r="F217" s="4">
        <f>ROUND(Source!AV212,O217)</f>
        <v>172628.84</v>
      </c>
      <c r="G217" s="4" t="s">
        <v>434</v>
      </c>
      <c r="H217" s="4" t="s">
        <v>435</v>
      </c>
      <c r="I217" s="4"/>
      <c r="J217" s="4"/>
      <c r="K217" s="4">
        <v>225</v>
      </c>
      <c r="L217" s="4">
        <v>4</v>
      </c>
      <c r="M217" s="4">
        <v>3</v>
      </c>
      <c r="N217" s="4" t="s">
        <v>6</v>
      </c>
      <c r="O217" s="4">
        <v>2</v>
      </c>
      <c r="P217" s="4"/>
      <c r="Q217" s="4"/>
      <c r="R217" s="4"/>
      <c r="S217" s="4"/>
      <c r="T217" s="4"/>
      <c r="U217" s="4"/>
      <c r="V217" s="4"/>
      <c r="W217" s="4"/>
    </row>
    <row r="218" spans="1:245" x14ac:dyDescent="0.2">
      <c r="A218" s="4">
        <v>50</v>
      </c>
      <c r="B218" s="4">
        <v>0</v>
      </c>
      <c r="C218" s="4">
        <v>0</v>
      </c>
      <c r="D218" s="4">
        <v>1</v>
      </c>
      <c r="E218" s="4">
        <v>226</v>
      </c>
      <c r="F218" s="4">
        <f>ROUND(Source!AW212,O218)</f>
        <v>172628.84</v>
      </c>
      <c r="G218" s="4" t="s">
        <v>436</v>
      </c>
      <c r="H218" s="4" t="s">
        <v>437</v>
      </c>
      <c r="I218" s="4"/>
      <c r="J218" s="4"/>
      <c r="K218" s="4">
        <v>226</v>
      </c>
      <c r="L218" s="4">
        <v>5</v>
      </c>
      <c r="M218" s="4">
        <v>3</v>
      </c>
      <c r="N218" s="4" t="s">
        <v>6</v>
      </c>
      <c r="O218" s="4">
        <v>2</v>
      </c>
      <c r="P218" s="4"/>
      <c r="Q218" s="4"/>
      <c r="R218" s="4"/>
      <c r="S218" s="4"/>
      <c r="T218" s="4"/>
      <c r="U218" s="4"/>
      <c r="V218" s="4"/>
      <c r="W218" s="4"/>
    </row>
    <row r="219" spans="1:245" x14ac:dyDescent="0.2">
      <c r="A219" s="4">
        <v>50</v>
      </c>
      <c r="B219" s="4">
        <v>0</v>
      </c>
      <c r="C219" s="4">
        <v>0</v>
      </c>
      <c r="D219" s="4">
        <v>1</v>
      </c>
      <c r="E219" s="4">
        <v>227</v>
      </c>
      <c r="F219" s="4">
        <f>ROUND(Source!AX212,O219)</f>
        <v>0</v>
      </c>
      <c r="G219" s="4" t="s">
        <v>438</v>
      </c>
      <c r="H219" s="4" t="s">
        <v>439</v>
      </c>
      <c r="I219" s="4"/>
      <c r="J219" s="4"/>
      <c r="K219" s="4">
        <v>227</v>
      </c>
      <c r="L219" s="4">
        <v>6</v>
      </c>
      <c r="M219" s="4">
        <v>3</v>
      </c>
      <c r="N219" s="4" t="s">
        <v>6</v>
      </c>
      <c r="O219" s="4">
        <v>2</v>
      </c>
      <c r="P219" s="4"/>
      <c r="Q219" s="4"/>
      <c r="R219" s="4"/>
      <c r="S219" s="4"/>
      <c r="T219" s="4"/>
      <c r="U219" s="4"/>
      <c r="V219" s="4"/>
      <c r="W219" s="4"/>
    </row>
    <row r="220" spans="1:245" x14ac:dyDescent="0.2">
      <c r="A220" s="4">
        <v>50</v>
      </c>
      <c r="B220" s="4">
        <v>0</v>
      </c>
      <c r="C220" s="4">
        <v>0</v>
      </c>
      <c r="D220" s="4">
        <v>1</v>
      </c>
      <c r="E220" s="4">
        <v>228</v>
      </c>
      <c r="F220" s="4">
        <f>ROUND(Source!AY212,O220)</f>
        <v>172628.84</v>
      </c>
      <c r="G220" s="4" t="s">
        <v>440</v>
      </c>
      <c r="H220" s="4" t="s">
        <v>441</v>
      </c>
      <c r="I220" s="4"/>
      <c r="J220" s="4"/>
      <c r="K220" s="4">
        <v>228</v>
      </c>
      <c r="L220" s="4">
        <v>7</v>
      </c>
      <c r="M220" s="4">
        <v>3</v>
      </c>
      <c r="N220" s="4" t="s">
        <v>6</v>
      </c>
      <c r="O220" s="4">
        <v>2</v>
      </c>
      <c r="P220" s="4"/>
      <c r="Q220" s="4"/>
      <c r="R220" s="4"/>
      <c r="S220" s="4"/>
      <c r="T220" s="4"/>
      <c r="U220" s="4"/>
      <c r="V220" s="4"/>
      <c r="W220" s="4"/>
    </row>
    <row r="221" spans="1:245" x14ac:dyDescent="0.2">
      <c r="A221" s="4">
        <v>50</v>
      </c>
      <c r="B221" s="4">
        <v>0</v>
      </c>
      <c r="C221" s="4">
        <v>0</v>
      </c>
      <c r="D221" s="4">
        <v>1</v>
      </c>
      <c r="E221" s="4">
        <v>216</v>
      </c>
      <c r="F221" s="4">
        <f>ROUND(Source!AP212,O221)</f>
        <v>0</v>
      </c>
      <c r="G221" s="4" t="s">
        <v>442</v>
      </c>
      <c r="H221" s="4" t="s">
        <v>443</v>
      </c>
      <c r="I221" s="4"/>
      <c r="J221" s="4"/>
      <c r="K221" s="4">
        <v>216</v>
      </c>
      <c r="L221" s="4">
        <v>8</v>
      </c>
      <c r="M221" s="4">
        <v>3</v>
      </c>
      <c r="N221" s="4" t="s">
        <v>6</v>
      </c>
      <c r="O221" s="4">
        <v>2</v>
      </c>
      <c r="P221" s="4"/>
      <c r="Q221" s="4"/>
      <c r="R221" s="4"/>
      <c r="S221" s="4"/>
      <c r="T221" s="4"/>
      <c r="U221" s="4"/>
      <c r="V221" s="4"/>
      <c r="W221" s="4"/>
    </row>
    <row r="222" spans="1:245" x14ac:dyDescent="0.2">
      <c r="A222" s="4">
        <v>50</v>
      </c>
      <c r="B222" s="4">
        <v>0</v>
      </c>
      <c r="C222" s="4">
        <v>0</v>
      </c>
      <c r="D222" s="4">
        <v>1</v>
      </c>
      <c r="E222" s="4">
        <v>223</v>
      </c>
      <c r="F222" s="4">
        <f>ROUND(Source!AQ212,O222)</f>
        <v>0</v>
      </c>
      <c r="G222" s="4" t="s">
        <v>444</v>
      </c>
      <c r="H222" s="4" t="s">
        <v>445</v>
      </c>
      <c r="I222" s="4"/>
      <c r="J222" s="4"/>
      <c r="K222" s="4">
        <v>223</v>
      </c>
      <c r="L222" s="4">
        <v>9</v>
      </c>
      <c r="M222" s="4">
        <v>3</v>
      </c>
      <c r="N222" s="4" t="s">
        <v>6</v>
      </c>
      <c r="O222" s="4">
        <v>2</v>
      </c>
      <c r="P222" s="4"/>
      <c r="Q222" s="4"/>
      <c r="R222" s="4"/>
      <c r="S222" s="4"/>
      <c r="T222" s="4"/>
      <c r="U222" s="4"/>
      <c r="V222" s="4"/>
      <c r="W222" s="4"/>
    </row>
    <row r="223" spans="1:245" x14ac:dyDescent="0.2">
      <c r="A223" s="4">
        <v>50</v>
      </c>
      <c r="B223" s="4">
        <v>0</v>
      </c>
      <c r="C223" s="4">
        <v>0</v>
      </c>
      <c r="D223" s="4">
        <v>1</v>
      </c>
      <c r="E223" s="4">
        <v>229</v>
      </c>
      <c r="F223" s="4">
        <f>ROUND(Source!AZ212,O223)</f>
        <v>0</v>
      </c>
      <c r="G223" s="4" t="s">
        <v>446</v>
      </c>
      <c r="H223" s="4" t="s">
        <v>447</v>
      </c>
      <c r="I223" s="4"/>
      <c r="J223" s="4"/>
      <c r="K223" s="4">
        <v>229</v>
      </c>
      <c r="L223" s="4">
        <v>10</v>
      </c>
      <c r="M223" s="4">
        <v>3</v>
      </c>
      <c r="N223" s="4" t="s">
        <v>6</v>
      </c>
      <c r="O223" s="4">
        <v>2</v>
      </c>
      <c r="P223" s="4"/>
      <c r="Q223" s="4"/>
      <c r="R223" s="4"/>
      <c r="S223" s="4"/>
      <c r="T223" s="4"/>
      <c r="U223" s="4"/>
      <c r="V223" s="4"/>
      <c r="W223" s="4"/>
    </row>
    <row r="224" spans="1:245" x14ac:dyDescent="0.2">
      <c r="A224" s="4">
        <v>50</v>
      </c>
      <c r="B224" s="4">
        <v>0</v>
      </c>
      <c r="C224" s="4">
        <v>0</v>
      </c>
      <c r="D224" s="4">
        <v>1</v>
      </c>
      <c r="E224" s="4">
        <v>203</v>
      </c>
      <c r="F224" s="4">
        <f>ROUND(Source!Q212,O224)</f>
        <v>1047.8499999999999</v>
      </c>
      <c r="G224" s="4" t="s">
        <v>448</v>
      </c>
      <c r="H224" s="4" t="s">
        <v>449</v>
      </c>
      <c r="I224" s="4"/>
      <c r="J224" s="4"/>
      <c r="K224" s="4">
        <v>203</v>
      </c>
      <c r="L224" s="4">
        <v>11</v>
      </c>
      <c r="M224" s="4">
        <v>3</v>
      </c>
      <c r="N224" s="4" t="s">
        <v>6</v>
      </c>
      <c r="O224" s="4">
        <v>2</v>
      </c>
      <c r="P224" s="4"/>
      <c r="Q224" s="4"/>
      <c r="R224" s="4"/>
      <c r="S224" s="4"/>
      <c r="T224" s="4"/>
      <c r="U224" s="4"/>
      <c r="V224" s="4"/>
      <c r="W224" s="4"/>
    </row>
    <row r="225" spans="1:23" x14ac:dyDescent="0.2">
      <c r="A225" s="4">
        <v>50</v>
      </c>
      <c r="B225" s="4">
        <v>0</v>
      </c>
      <c r="C225" s="4">
        <v>0</v>
      </c>
      <c r="D225" s="4">
        <v>1</v>
      </c>
      <c r="E225" s="4">
        <v>231</v>
      </c>
      <c r="F225" s="4">
        <f>ROUND(Source!BB212,O225)</f>
        <v>0</v>
      </c>
      <c r="G225" s="4" t="s">
        <v>450</v>
      </c>
      <c r="H225" s="4" t="s">
        <v>451</v>
      </c>
      <c r="I225" s="4"/>
      <c r="J225" s="4"/>
      <c r="K225" s="4">
        <v>231</v>
      </c>
      <c r="L225" s="4">
        <v>12</v>
      </c>
      <c r="M225" s="4">
        <v>3</v>
      </c>
      <c r="N225" s="4" t="s">
        <v>6</v>
      </c>
      <c r="O225" s="4">
        <v>2</v>
      </c>
      <c r="P225" s="4"/>
      <c r="Q225" s="4"/>
      <c r="R225" s="4"/>
      <c r="S225" s="4"/>
      <c r="T225" s="4"/>
      <c r="U225" s="4"/>
      <c r="V225" s="4"/>
      <c r="W225" s="4"/>
    </row>
    <row r="226" spans="1:23" x14ac:dyDescent="0.2">
      <c r="A226" s="4">
        <v>50</v>
      </c>
      <c r="B226" s="4">
        <v>0</v>
      </c>
      <c r="C226" s="4">
        <v>0</v>
      </c>
      <c r="D226" s="4">
        <v>1</v>
      </c>
      <c r="E226" s="4">
        <v>204</v>
      </c>
      <c r="F226" s="4">
        <f>ROUND(Source!R212,O226)</f>
        <v>128.72999999999999</v>
      </c>
      <c r="G226" s="4" t="s">
        <v>452</v>
      </c>
      <c r="H226" s="4" t="s">
        <v>453</v>
      </c>
      <c r="I226" s="4"/>
      <c r="J226" s="4"/>
      <c r="K226" s="4">
        <v>204</v>
      </c>
      <c r="L226" s="4">
        <v>13</v>
      </c>
      <c r="M226" s="4">
        <v>3</v>
      </c>
      <c r="N226" s="4" t="s">
        <v>6</v>
      </c>
      <c r="O226" s="4">
        <v>2</v>
      </c>
      <c r="P226" s="4"/>
      <c r="Q226" s="4"/>
      <c r="R226" s="4"/>
      <c r="S226" s="4"/>
      <c r="T226" s="4"/>
      <c r="U226" s="4"/>
      <c r="V226" s="4"/>
      <c r="W226" s="4"/>
    </row>
    <row r="227" spans="1:23" x14ac:dyDescent="0.2">
      <c r="A227" s="4">
        <v>50</v>
      </c>
      <c r="B227" s="4">
        <v>0</v>
      </c>
      <c r="C227" s="4">
        <v>0</v>
      </c>
      <c r="D227" s="4">
        <v>1</v>
      </c>
      <c r="E227" s="4">
        <v>205</v>
      </c>
      <c r="F227" s="4">
        <f>ROUND(Source!S212,O227)</f>
        <v>22630.61</v>
      </c>
      <c r="G227" s="4" t="s">
        <v>454</v>
      </c>
      <c r="H227" s="4" t="s">
        <v>455</v>
      </c>
      <c r="I227" s="4"/>
      <c r="J227" s="4"/>
      <c r="K227" s="4">
        <v>205</v>
      </c>
      <c r="L227" s="4">
        <v>14</v>
      </c>
      <c r="M227" s="4">
        <v>3</v>
      </c>
      <c r="N227" s="4" t="s">
        <v>6</v>
      </c>
      <c r="O227" s="4">
        <v>2</v>
      </c>
      <c r="P227" s="4"/>
      <c r="Q227" s="4"/>
      <c r="R227" s="4"/>
      <c r="S227" s="4"/>
      <c r="T227" s="4"/>
      <c r="U227" s="4"/>
      <c r="V227" s="4"/>
      <c r="W227" s="4"/>
    </row>
    <row r="228" spans="1:23" x14ac:dyDescent="0.2">
      <c r="A228" s="4">
        <v>50</v>
      </c>
      <c r="B228" s="4">
        <v>0</v>
      </c>
      <c r="C228" s="4">
        <v>0</v>
      </c>
      <c r="D228" s="4">
        <v>1</v>
      </c>
      <c r="E228" s="4">
        <v>232</v>
      </c>
      <c r="F228" s="4">
        <f>ROUND(Source!BC212,O228)</f>
        <v>0</v>
      </c>
      <c r="G228" s="4" t="s">
        <v>456</v>
      </c>
      <c r="H228" s="4" t="s">
        <v>457</v>
      </c>
      <c r="I228" s="4"/>
      <c r="J228" s="4"/>
      <c r="K228" s="4">
        <v>232</v>
      </c>
      <c r="L228" s="4">
        <v>15</v>
      </c>
      <c r="M228" s="4">
        <v>3</v>
      </c>
      <c r="N228" s="4" t="s">
        <v>6</v>
      </c>
      <c r="O228" s="4">
        <v>2</v>
      </c>
      <c r="P228" s="4"/>
      <c r="Q228" s="4"/>
      <c r="R228" s="4"/>
      <c r="S228" s="4"/>
      <c r="T228" s="4"/>
      <c r="U228" s="4"/>
      <c r="V228" s="4"/>
      <c r="W228" s="4"/>
    </row>
    <row r="229" spans="1:23" x14ac:dyDescent="0.2">
      <c r="A229" s="4">
        <v>50</v>
      </c>
      <c r="B229" s="4">
        <v>0</v>
      </c>
      <c r="C229" s="4">
        <v>0</v>
      </c>
      <c r="D229" s="4">
        <v>1</v>
      </c>
      <c r="E229" s="4">
        <v>214</v>
      </c>
      <c r="F229" s="4">
        <f>ROUND(Source!AS212,O229)</f>
        <v>2416.4499999999998</v>
      </c>
      <c r="G229" s="4" t="s">
        <v>458</v>
      </c>
      <c r="H229" s="4" t="s">
        <v>459</v>
      </c>
      <c r="I229" s="4"/>
      <c r="J229" s="4"/>
      <c r="K229" s="4">
        <v>214</v>
      </c>
      <c r="L229" s="4">
        <v>16</v>
      </c>
      <c r="M229" s="4">
        <v>3</v>
      </c>
      <c r="N229" s="4" t="s">
        <v>6</v>
      </c>
      <c r="O229" s="4">
        <v>2</v>
      </c>
      <c r="P229" s="4"/>
      <c r="Q229" s="4"/>
      <c r="R229" s="4"/>
      <c r="S229" s="4"/>
      <c r="T229" s="4"/>
      <c r="U229" s="4"/>
      <c r="V229" s="4"/>
      <c r="W229" s="4"/>
    </row>
    <row r="230" spans="1:23" x14ac:dyDescent="0.2">
      <c r="A230" s="4">
        <v>50</v>
      </c>
      <c r="B230" s="4">
        <v>0</v>
      </c>
      <c r="C230" s="4">
        <v>0</v>
      </c>
      <c r="D230" s="4">
        <v>1</v>
      </c>
      <c r="E230" s="4">
        <v>215</v>
      </c>
      <c r="F230" s="4">
        <f>ROUND(Source!AT212,O230)</f>
        <v>215108.26</v>
      </c>
      <c r="G230" s="4" t="s">
        <v>460</v>
      </c>
      <c r="H230" s="4" t="s">
        <v>461</v>
      </c>
      <c r="I230" s="4"/>
      <c r="J230" s="4"/>
      <c r="K230" s="4">
        <v>215</v>
      </c>
      <c r="L230" s="4">
        <v>17</v>
      </c>
      <c r="M230" s="4">
        <v>3</v>
      </c>
      <c r="N230" s="4" t="s">
        <v>6</v>
      </c>
      <c r="O230" s="4">
        <v>2</v>
      </c>
      <c r="P230" s="4"/>
      <c r="Q230" s="4"/>
      <c r="R230" s="4"/>
      <c r="S230" s="4"/>
      <c r="T230" s="4"/>
      <c r="U230" s="4"/>
      <c r="V230" s="4"/>
      <c r="W230" s="4"/>
    </row>
    <row r="231" spans="1:23" x14ac:dyDescent="0.2">
      <c r="A231" s="4">
        <v>50</v>
      </c>
      <c r="B231" s="4">
        <v>0</v>
      </c>
      <c r="C231" s="4">
        <v>0</v>
      </c>
      <c r="D231" s="4">
        <v>1</v>
      </c>
      <c r="E231" s="4">
        <v>217</v>
      </c>
      <c r="F231" s="4">
        <f>ROUND(Source!AU212,O231)</f>
        <v>11733.46</v>
      </c>
      <c r="G231" s="4" t="s">
        <v>462</v>
      </c>
      <c r="H231" s="4" t="s">
        <v>463</v>
      </c>
      <c r="I231" s="4"/>
      <c r="J231" s="4"/>
      <c r="K231" s="4">
        <v>217</v>
      </c>
      <c r="L231" s="4">
        <v>18</v>
      </c>
      <c r="M231" s="4">
        <v>3</v>
      </c>
      <c r="N231" s="4" t="s">
        <v>6</v>
      </c>
      <c r="O231" s="4">
        <v>2</v>
      </c>
      <c r="P231" s="4"/>
      <c r="Q231" s="4"/>
      <c r="R231" s="4"/>
      <c r="S231" s="4"/>
      <c r="T231" s="4"/>
      <c r="U231" s="4"/>
      <c r="V231" s="4"/>
      <c r="W231" s="4"/>
    </row>
    <row r="232" spans="1:23" x14ac:dyDescent="0.2">
      <c r="A232" s="4">
        <v>50</v>
      </c>
      <c r="B232" s="4">
        <v>0</v>
      </c>
      <c r="C232" s="4">
        <v>0</v>
      </c>
      <c r="D232" s="4">
        <v>1</v>
      </c>
      <c r="E232" s="4">
        <v>230</v>
      </c>
      <c r="F232" s="4">
        <f>ROUND(Source!BA212,O232)</f>
        <v>0</v>
      </c>
      <c r="G232" s="4" t="s">
        <v>464</v>
      </c>
      <c r="H232" s="4" t="s">
        <v>465</v>
      </c>
      <c r="I232" s="4"/>
      <c r="J232" s="4"/>
      <c r="K232" s="4">
        <v>230</v>
      </c>
      <c r="L232" s="4">
        <v>19</v>
      </c>
      <c r="M232" s="4">
        <v>3</v>
      </c>
      <c r="N232" s="4" t="s">
        <v>6</v>
      </c>
      <c r="O232" s="4">
        <v>2</v>
      </c>
      <c r="P232" s="4"/>
      <c r="Q232" s="4"/>
      <c r="R232" s="4"/>
      <c r="S232" s="4"/>
      <c r="T232" s="4"/>
      <c r="U232" s="4"/>
      <c r="V232" s="4"/>
      <c r="W232" s="4"/>
    </row>
    <row r="233" spans="1:23" x14ac:dyDescent="0.2">
      <c r="A233" s="4">
        <v>50</v>
      </c>
      <c r="B233" s="4">
        <v>0</v>
      </c>
      <c r="C233" s="4">
        <v>0</v>
      </c>
      <c r="D233" s="4">
        <v>1</v>
      </c>
      <c r="E233" s="4">
        <v>206</v>
      </c>
      <c r="F233" s="4">
        <f>ROUND(Source!T212,O233)</f>
        <v>0</v>
      </c>
      <c r="G233" s="4" t="s">
        <v>466</v>
      </c>
      <c r="H233" s="4" t="s">
        <v>467</v>
      </c>
      <c r="I233" s="4"/>
      <c r="J233" s="4"/>
      <c r="K233" s="4">
        <v>206</v>
      </c>
      <c r="L233" s="4">
        <v>20</v>
      </c>
      <c r="M233" s="4">
        <v>3</v>
      </c>
      <c r="N233" s="4" t="s">
        <v>6</v>
      </c>
      <c r="O233" s="4">
        <v>2</v>
      </c>
      <c r="P233" s="4"/>
      <c r="Q233" s="4"/>
      <c r="R233" s="4"/>
      <c r="S233" s="4"/>
      <c r="T233" s="4"/>
      <c r="U233" s="4"/>
      <c r="V233" s="4"/>
      <c r="W233" s="4"/>
    </row>
    <row r="234" spans="1:23" x14ac:dyDescent="0.2">
      <c r="A234" s="4">
        <v>50</v>
      </c>
      <c r="B234" s="4">
        <v>0</v>
      </c>
      <c r="C234" s="4">
        <v>0</v>
      </c>
      <c r="D234" s="4">
        <v>1</v>
      </c>
      <c r="E234" s="4">
        <v>207</v>
      </c>
      <c r="F234" s="4">
        <f>Source!U212</f>
        <v>291.47594000000009</v>
      </c>
      <c r="G234" s="4" t="s">
        <v>468</v>
      </c>
      <c r="H234" s="4" t="s">
        <v>469</v>
      </c>
      <c r="I234" s="4"/>
      <c r="J234" s="4"/>
      <c r="K234" s="4">
        <v>207</v>
      </c>
      <c r="L234" s="4">
        <v>21</v>
      </c>
      <c r="M234" s="4">
        <v>3</v>
      </c>
      <c r="N234" s="4" t="s">
        <v>6</v>
      </c>
      <c r="O234" s="4">
        <v>-1</v>
      </c>
      <c r="P234" s="4"/>
      <c r="Q234" s="4"/>
      <c r="R234" s="4"/>
      <c r="S234" s="4"/>
      <c r="T234" s="4"/>
      <c r="U234" s="4"/>
      <c r="V234" s="4"/>
      <c r="W234" s="4"/>
    </row>
    <row r="235" spans="1:23" x14ac:dyDescent="0.2">
      <c r="A235" s="4">
        <v>50</v>
      </c>
      <c r="B235" s="4">
        <v>0</v>
      </c>
      <c r="C235" s="4">
        <v>0</v>
      </c>
      <c r="D235" s="4">
        <v>1</v>
      </c>
      <c r="E235" s="4">
        <v>208</v>
      </c>
      <c r="F235" s="4">
        <f>Source!V212</f>
        <v>1.4265600000000001</v>
      </c>
      <c r="G235" s="4" t="s">
        <v>470</v>
      </c>
      <c r="H235" s="4" t="s">
        <v>471</v>
      </c>
      <c r="I235" s="4"/>
      <c r="J235" s="4"/>
      <c r="K235" s="4">
        <v>208</v>
      </c>
      <c r="L235" s="4">
        <v>22</v>
      </c>
      <c r="M235" s="4">
        <v>3</v>
      </c>
      <c r="N235" s="4" t="s">
        <v>6</v>
      </c>
      <c r="O235" s="4">
        <v>-1</v>
      </c>
      <c r="P235" s="4"/>
      <c r="Q235" s="4"/>
      <c r="R235" s="4"/>
      <c r="S235" s="4"/>
      <c r="T235" s="4"/>
      <c r="U235" s="4"/>
      <c r="V235" s="4"/>
      <c r="W235" s="4"/>
    </row>
    <row r="236" spans="1:23" x14ac:dyDescent="0.2">
      <c r="A236" s="4">
        <v>50</v>
      </c>
      <c r="B236" s="4">
        <v>0</v>
      </c>
      <c r="C236" s="4">
        <v>0</v>
      </c>
      <c r="D236" s="4">
        <v>1</v>
      </c>
      <c r="E236" s="4">
        <v>209</v>
      </c>
      <c r="F236" s="4">
        <f>ROUND(Source!W212,O236)</f>
        <v>0</v>
      </c>
      <c r="G236" s="4" t="s">
        <v>472</v>
      </c>
      <c r="H236" s="4" t="s">
        <v>473</v>
      </c>
      <c r="I236" s="4"/>
      <c r="J236" s="4"/>
      <c r="K236" s="4">
        <v>209</v>
      </c>
      <c r="L236" s="4">
        <v>23</v>
      </c>
      <c r="M236" s="4">
        <v>3</v>
      </c>
      <c r="N236" s="4" t="s">
        <v>6</v>
      </c>
      <c r="O236" s="4">
        <v>2</v>
      </c>
      <c r="P236" s="4"/>
      <c r="Q236" s="4"/>
      <c r="R236" s="4"/>
      <c r="S236" s="4"/>
      <c r="T236" s="4"/>
      <c r="U236" s="4"/>
      <c r="V236" s="4"/>
      <c r="W236" s="4"/>
    </row>
    <row r="237" spans="1:23" x14ac:dyDescent="0.2">
      <c r="A237" s="4">
        <v>50</v>
      </c>
      <c r="B237" s="4">
        <v>0</v>
      </c>
      <c r="C237" s="4">
        <v>0</v>
      </c>
      <c r="D237" s="4">
        <v>1</v>
      </c>
      <c r="E237" s="4">
        <v>210</v>
      </c>
      <c r="F237" s="4">
        <f>ROUND(Source!X212,O237)</f>
        <v>19648.23</v>
      </c>
      <c r="G237" s="4" t="s">
        <v>474</v>
      </c>
      <c r="H237" s="4" t="s">
        <v>475</v>
      </c>
      <c r="I237" s="4"/>
      <c r="J237" s="4"/>
      <c r="K237" s="4">
        <v>210</v>
      </c>
      <c r="L237" s="4">
        <v>24</v>
      </c>
      <c r="M237" s="4">
        <v>3</v>
      </c>
      <c r="N237" s="4" t="s">
        <v>6</v>
      </c>
      <c r="O237" s="4">
        <v>2</v>
      </c>
      <c r="P237" s="4"/>
      <c r="Q237" s="4"/>
      <c r="R237" s="4"/>
      <c r="S237" s="4"/>
      <c r="T237" s="4"/>
      <c r="U237" s="4"/>
      <c r="V237" s="4"/>
      <c r="W237" s="4"/>
    </row>
    <row r="238" spans="1:23" x14ac:dyDescent="0.2">
      <c r="A238" s="4">
        <v>50</v>
      </c>
      <c r="B238" s="4">
        <v>0</v>
      </c>
      <c r="C238" s="4">
        <v>0</v>
      </c>
      <c r="D238" s="4">
        <v>1</v>
      </c>
      <c r="E238" s="4">
        <v>211</v>
      </c>
      <c r="F238" s="4">
        <f>ROUND(Source!Y212,O238)</f>
        <v>13302.64</v>
      </c>
      <c r="G238" s="4" t="s">
        <v>476</v>
      </c>
      <c r="H238" s="4" t="s">
        <v>477</v>
      </c>
      <c r="I238" s="4"/>
      <c r="J238" s="4"/>
      <c r="K238" s="4">
        <v>211</v>
      </c>
      <c r="L238" s="4">
        <v>25</v>
      </c>
      <c r="M238" s="4">
        <v>3</v>
      </c>
      <c r="N238" s="4" t="s">
        <v>6</v>
      </c>
      <c r="O238" s="4">
        <v>2</v>
      </c>
      <c r="P238" s="4"/>
      <c r="Q238" s="4"/>
      <c r="R238" s="4"/>
      <c r="S238" s="4"/>
      <c r="T238" s="4"/>
      <c r="U238" s="4"/>
      <c r="V238" s="4"/>
      <c r="W238" s="4"/>
    </row>
    <row r="239" spans="1:23" x14ac:dyDescent="0.2">
      <c r="A239" s="4">
        <v>50</v>
      </c>
      <c r="B239" s="4">
        <v>0</v>
      </c>
      <c r="C239" s="4">
        <v>0</v>
      </c>
      <c r="D239" s="4">
        <v>1</v>
      </c>
      <c r="E239" s="4">
        <v>0</v>
      </c>
      <c r="F239" s="4">
        <f>ROUND(Source!AR212,O239)</f>
        <v>229258.17</v>
      </c>
      <c r="G239" s="4" t="s">
        <v>478</v>
      </c>
      <c r="H239" s="4" t="s">
        <v>479</v>
      </c>
      <c r="I239" s="4"/>
      <c r="J239" s="4"/>
      <c r="K239" s="4">
        <v>224</v>
      </c>
      <c r="L239" s="4">
        <v>26</v>
      </c>
      <c r="M239" s="4">
        <v>3</v>
      </c>
      <c r="N239" s="4" t="s">
        <v>6</v>
      </c>
      <c r="O239" s="4">
        <v>2</v>
      </c>
      <c r="P239" s="4"/>
      <c r="Q239" s="4"/>
      <c r="R239" s="4"/>
      <c r="S239" s="4"/>
      <c r="T239" s="4"/>
      <c r="U239" s="4"/>
      <c r="V239" s="4"/>
      <c r="W239" s="4"/>
    </row>
    <row r="240" spans="1:23" x14ac:dyDescent="0.2">
      <c r="A240" s="4">
        <v>50</v>
      </c>
      <c r="B240" s="4">
        <v>1</v>
      </c>
      <c r="C240" s="4">
        <v>0</v>
      </c>
      <c r="D240" s="4">
        <v>2</v>
      </c>
      <c r="E240" s="4">
        <v>0</v>
      </c>
      <c r="F240" s="4">
        <f>ROUND(F239,O240)</f>
        <v>229258.17</v>
      </c>
      <c r="G240" s="4" t="s">
        <v>480</v>
      </c>
      <c r="H240" s="4" t="s">
        <v>478</v>
      </c>
      <c r="I240" s="4"/>
      <c r="J240" s="4"/>
      <c r="K240" s="4">
        <v>212</v>
      </c>
      <c r="L240" s="4">
        <v>27</v>
      </c>
      <c r="M240" s="4">
        <v>0</v>
      </c>
      <c r="N240" s="4" t="s">
        <v>6</v>
      </c>
      <c r="O240" s="4">
        <v>2</v>
      </c>
      <c r="P240" s="4"/>
      <c r="Q240" s="4"/>
      <c r="R240" s="4"/>
      <c r="S240" s="4"/>
      <c r="T240" s="4"/>
      <c r="U240" s="4"/>
      <c r="V240" s="4"/>
      <c r="W240" s="4"/>
    </row>
    <row r="241" spans="1:245" x14ac:dyDescent="0.2">
      <c r="A241" s="4">
        <v>50</v>
      </c>
      <c r="B241" s="4">
        <v>1</v>
      </c>
      <c r="C241" s="4">
        <v>0</v>
      </c>
      <c r="D241" s="4">
        <v>2</v>
      </c>
      <c r="E241" s="4">
        <v>0</v>
      </c>
      <c r="F241" s="4">
        <f>ROUND(F240*0.18,O241)</f>
        <v>41266.47</v>
      </c>
      <c r="G241" s="4" t="s">
        <v>481</v>
      </c>
      <c r="H241" s="4" t="s">
        <v>482</v>
      </c>
      <c r="I241" s="4"/>
      <c r="J241" s="4"/>
      <c r="K241" s="4">
        <v>212</v>
      </c>
      <c r="L241" s="4">
        <v>28</v>
      </c>
      <c r="M241" s="4">
        <v>0</v>
      </c>
      <c r="N241" s="4" t="s">
        <v>6</v>
      </c>
      <c r="O241" s="4">
        <v>2</v>
      </c>
      <c r="P241" s="4"/>
      <c r="Q241" s="4"/>
      <c r="R241" s="4"/>
      <c r="S241" s="4"/>
      <c r="T241" s="4"/>
      <c r="U241" s="4"/>
      <c r="V241" s="4"/>
      <c r="W241" s="4"/>
    </row>
    <row r="242" spans="1:245" x14ac:dyDescent="0.2">
      <c r="A242" s="4">
        <v>50</v>
      </c>
      <c r="B242" s="4">
        <v>1</v>
      </c>
      <c r="C242" s="4">
        <v>0</v>
      </c>
      <c r="D242" s="4">
        <v>2</v>
      </c>
      <c r="E242" s="4">
        <v>224</v>
      </c>
      <c r="F242" s="4">
        <f>ROUND(F240+F241,O242)</f>
        <v>270524.64</v>
      </c>
      <c r="G242" s="4" t="s">
        <v>483</v>
      </c>
      <c r="H242" s="4" t="s">
        <v>484</v>
      </c>
      <c r="I242" s="4"/>
      <c r="J242" s="4"/>
      <c r="K242" s="4">
        <v>212</v>
      </c>
      <c r="L242" s="4">
        <v>29</v>
      </c>
      <c r="M242" s="4">
        <v>0</v>
      </c>
      <c r="N242" s="4" t="s">
        <v>6</v>
      </c>
      <c r="O242" s="4">
        <v>2</v>
      </c>
      <c r="P242" s="4"/>
      <c r="Q242" s="4"/>
      <c r="R242" s="4"/>
      <c r="S242" s="4"/>
      <c r="T242" s="4"/>
      <c r="U242" s="4"/>
      <c r="V242" s="4"/>
      <c r="W242" s="4"/>
    </row>
    <row r="244" spans="1:245" x14ac:dyDescent="0.2">
      <c r="A244" s="1">
        <v>4</v>
      </c>
      <c r="B244" s="1">
        <v>1</v>
      </c>
      <c r="C244" s="1"/>
      <c r="D244" s="1">
        <f>ROW(A286)</f>
        <v>286</v>
      </c>
      <c r="E244" s="1"/>
      <c r="F244" s="1" t="s">
        <v>13</v>
      </c>
      <c r="G244" s="1" t="s">
        <v>708</v>
      </c>
      <c r="H244" s="1" t="s">
        <v>6</v>
      </c>
      <c r="I244" s="1">
        <v>0</v>
      </c>
      <c r="J244" s="1"/>
      <c r="K244" s="1">
        <v>-1</v>
      </c>
      <c r="L244" s="1"/>
      <c r="M244" s="1"/>
      <c r="N244" s="1"/>
      <c r="O244" s="1"/>
      <c r="P244" s="1"/>
      <c r="Q244" s="1"/>
      <c r="R244" s="1"/>
      <c r="S244" s="1"/>
      <c r="T244" s="1"/>
      <c r="U244" s="1" t="s">
        <v>6</v>
      </c>
      <c r="V244" s="1">
        <v>0</v>
      </c>
      <c r="W244" s="1"/>
      <c r="X244" s="1"/>
      <c r="Y244" s="1"/>
      <c r="Z244" s="1"/>
      <c r="AA244" s="1"/>
      <c r="AB244" s="1" t="s">
        <v>6</v>
      </c>
      <c r="AC244" s="1" t="s">
        <v>6</v>
      </c>
      <c r="AD244" s="1" t="s">
        <v>6</v>
      </c>
      <c r="AE244" s="1" t="s">
        <v>6</v>
      </c>
      <c r="AF244" s="1" t="s">
        <v>6</v>
      </c>
      <c r="AG244" s="1" t="s">
        <v>6</v>
      </c>
      <c r="AH244" s="1"/>
      <c r="AI244" s="1"/>
      <c r="AJ244" s="1"/>
      <c r="AK244" s="1"/>
      <c r="AL244" s="1"/>
      <c r="AM244" s="1"/>
      <c r="AN244" s="1"/>
      <c r="AO244" s="1"/>
      <c r="AP244" s="1" t="s">
        <v>6</v>
      </c>
      <c r="AQ244" s="1" t="s">
        <v>6</v>
      </c>
      <c r="AR244" s="1" t="s">
        <v>6</v>
      </c>
      <c r="AS244" s="1"/>
      <c r="AT244" s="1"/>
      <c r="AU244" s="1"/>
      <c r="AV244" s="1"/>
      <c r="AW244" s="1"/>
      <c r="AX244" s="1"/>
      <c r="AY244" s="1"/>
      <c r="AZ244" s="1" t="s">
        <v>6</v>
      </c>
      <c r="BA244" s="1"/>
      <c r="BB244" s="1" t="s">
        <v>6</v>
      </c>
      <c r="BC244" s="1" t="s">
        <v>6</v>
      </c>
      <c r="BD244" s="1" t="s">
        <v>6</v>
      </c>
      <c r="BE244" s="1" t="s">
        <v>6</v>
      </c>
      <c r="BF244" s="1" t="s">
        <v>6</v>
      </c>
      <c r="BG244" s="1" t="s">
        <v>6</v>
      </c>
      <c r="BH244" s="1" t="s">
        <v>6</v>
      </c>
      <c r="BI244" s="1" t="s">
        <v>6</v>
      </c>
      <c r="BJ244" s="1" t="s">
        <v>6</v>
      </c>
      <c r="BK244" s="1" t="s">
        <v>6</v>
      </c>
      <c r="BL244" s="1" t="s">
        <v>6</v>
      </c>
      <c r="BM244" s="1" t="s">
        <v>6</v>
      </c>
      <c r="BN244" s="1" t="s">
        <v>6</v>
      </c>
      <c r="BO244" s="1" t="s">
        <v>6</v>
      </c>
      <c r="BP244" s="1" t="s">
        <v>6</v>
      </c>
      <c r="BQ244" s="1"/>
      <c r="BR244" s="1"/>
      <c r="BS244" s="1"/>
      <c r="BT244" s="1"/>
      <c r="BU244" s="1"/>
      <c r="BV244" s="1"/>
      <c r="BW244" s="1"/>
      <c r="BX244" s="1">
        <v>0</v>
      </c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>
        <v>0</v>
      </c>
    </row>
    <row r="246" spans="1:245" x14ac:dyDescent="0.2">
      <c r="A246" s="2">
        <v>52</v>
      </c>
      <c r="B246" s="2">
        <f t="shared" ref="B246:G246" si="235">B286</f>
        <v>1</v>
      </c>
      <c r="C246" s="2">
        <f t="shared" si="235"/>
        <v>4</v>
      </c>
      <c r="D246" s="2">
        <f t="shared" si="235"/>
        <v>244</v>
      </c>
      <c r="E246" s="2">
        <f t="shared" si="235"/>
        <v>0</v>
      </c>
      <c r="F246" s="2" t="str">
        <f t="shared" si="235"/>
        <v>Новый раздел</v>
      </c>
      <c r="G246" s="2" t="str">
        <f t="shared" si="235"/>
        <v>Отопление и вентиляция</v>
      </c>
      <c r="H246" s="2"/>
      <c r="I246" s="2"/>
      <c r="J246" s="2"/>
      <c r="K246" s="2"/>
      <c r="L246" s="2"/>
      <c r="M246" s="2"/>
      <c r="N246" s="2"/>
      <c r="O246" s="2">
        <f t="shared" ref="O246:AT246" si="236">O286</f>
        <v>383150.38</v>
      </c>
      <c r="P246" s="2">
        <f t="shared" si="236"/>
        <v>354517.76000000001</v>
      </c>
      <c r="Q246" s="2">
        <f t="shared" si="236"/>
        <v>5017.79</v>
      </c>
      <c r="R246" s="2">
        <f t="shared" si="236"/>
        <v>444.81</v>
      </c>
      <c r="S246" s="2">
        <f t="shared" si="236"/>
        <v>23614.83</v>
      </c>
      <c r="T246" s="2">
        <f t="shared" si="236"/>
        <v>0</v>
      </c>
      <c r="U246" s="2">
        <f t="shared" si="236"/>
        <v>355.90541479999996</v>
      </c>
      <c r="V246" s="2">
        <f t="shared" si="236"/>
        <v>5.1383772499999996</v>
      </c>
      <c r="W246" s="2">
        <f t="shared" si="236"/>
        <v>0</v>
      </c>
      <c r="X246" s="2">
        <f t="shared" si="236"/>
        <v>26632.720000000001</v>
      </c>
      <c r="Y246" s="2">
        <f t="shared" si="236"/>
        <v>16547.669999999998</v>
      </c>
      <c r="Z246" s="2">
        <f t="shared" si="236"/>
        <v>0</v>
      </c>
      <c r="AA246" s="2">
        <f t="shared" si="236"/>
        <v>0</v>
      </c>
      <c r="AB246" s="2">
        <f t="shared" si="236"/>
        <v>383150.38</v>
      </c>
      <c r="AC246" s="2">
        <f t="shared" si="236"/>
        <v>354517.76000000001</v>
      </c>
      <c r="AD246" s="2">
        <f t="shared" si="236"/>
        <v>5017.79</v>
      </c>
      <c r="AE246" s="2">
        <f t="shared" si="236"/>
        <v>444.81</v>
      </c>
      <c r="AF246" s="2">
        <f t="shared" si="236"/>
        <v>23614.83</v>
      </c>
      <c r="AG246" s="2">
        <f t="shared" si="236"/>
        <v>0</v>
      </c>
      <c r="AH246" s="2">
        <f t="shared" si="236"/>
        <v>355.90541479999996</v>
      </c>
      <c r="AI246" s="2">
        <f t="shared" si="236"/>
        <v>5.1383772499999996</v>
      </c>
      <c r="AJ246" s="2">
        <f t="shared" si="236"/>
        <v>0</v>
      </c>
      <c r="AK246" s="2">
        <f t="shared" si="236"/>
        <v>26632.720000000001</v>
      </c>
      <c r="AL246" s="2">
        <f t="shared" si="236"/>
        <v>16547.669999999998</v>
      </c>
      <c r="AM246" s="2">
        <f t="shared" si="236"/>
        <v>0</v>
      </c>
      <c r="AN246" s="2">
        <f t="shared" si="236"/>
        <v>0</v>
      </c>
      <c r="AO246" s="2">
        <f t="shared" si="236"/>
        <v>0</v>
      </c>
      <c r="AP246" s="2">
        <f t="shared" si="236"/>
        <v>0</v>
      </c>
      <c r="AQ246" s="2">
        <f t="shared" si="236"/>
        <v>0</v>
      </c>
      <c r="AR246" s="2">
        <f t="shared" si="236"/>
        <v>426330.77</v>
      </c>
      <c r="AS246" s="2">
        <f t="shared" si="236"/>
        <v>417950.24</v>
      </c>
      <c r="AT246" s="2">
        <f t="shared" si="236"/>
        <v>8380.5300000000007</v>
      </c>
      <c r="AU246" s="2">
        <f t="shared" ref="AU246:BZ246" si="237">AU286</f>
        <v>0</v>
      </c>
      <c r="AV246" s="2">
        <f t="shared" si="237"/>
        <v>354517.76000000001</v>
      </c>
      <c r="AW246" s="2">
        <f t="shared" si="237"/>
        <v>354517.76000000001</v>
      </c>
      <c r="AX246" s="2">
        <f t="shared" si="237"/>
        <v>0</v>
      </c>
      <c r="AY246" s="2">
        <f t="shared" si="237"/>
        <v>354517.76000000001</v>
      </c>
      <c r="AZ246" s="2">
        <f t="shared" si="237"/>
        <v>0</v>
      </c>
      <c r="BA246" s="2">
        <f t="shared" si="237"/>
        <v>0</v>
      </c>
      <c r="BB246" s="2">
        <f t="shared" si="237"/>
        <v>0</v>
      </c>
      <c r="BC246" s="2">
        <f t="shared" si="237"/>
        <v>0</v>
      </c>
      <c r="BD246" s="2">
        <f t="shared" si="237"/>
        <v>0</v>
      </c>
      <c r="BE246" s="2">
        <f t="shared" si="237"/>
        <v>0</v>
      </c>
      <c r="BF246" s="2">
        <f t="shared" si="237"/>
        <v>0</v>
      </c>
      <c r="BG246" s="2">
        <f t="shared" si="237"/>
        <v>0</v>
      </c>
      <c r="BH246" s="2">
        <f t="shared" si="237"/>
        <v>0</v>
      </c>
      <c r="BI246" s="2">
        <f t="shared" si="237"/>
        <v>0</v>
      </c>
      <c r="BJ246" s="2">
        <f t="shared" si="237"/>
        <v>0</v>
      </c>
      <c r="BK246" s="2">
        <f t="shared" si="237"/>
        <v>0</v>
      </c>
      <c r="BL246" s="2">
        <f t="shared" si="237"/>
        <v>0</v>
      </c>
      <c r="BM246" s="2">
        <f t="shared" si="237"/>
        <v>0</v>
      </c>
      <c r="BN246" s="2">
        <f t="shared" si="237"/>
        <v>0</v>
      </c>
      <c r="BO246" s="2">
        <f t="shared" si="237"/>
        <v>0</v>
      </c>
      <c r="BP246" s="2">
        <f t="shared" si="237"/>
        <v>0</v>
      </c>
      <c r="BQ246" s="2">
        <f t="shared" si="237"/>
        <v>0</v>
      </c>
      <c r="BR246" s="2">
        <f t="shared" si="237"/>
        <v>0</v>
      </c>
      <c r="BS246" s="2">
        <f t="shared" si="237"/>
        <v>0</v>
      </c>
      <c r="BT246" s="2">
        <f t="shared" si="237"/>
        <v>0</v>
      </c>
      <c r="BU246" s="2">
        <f t="shared" si="237"/>
        <v>0</v>
      </c>
      <c r="BV246" s="2">
        <f t="shared" si="237"/>
        <v>0</v>
      </c>
      <c r="BW246" s="2">
        <f t="shared" si="237"/>
        <v>0</v>
      </c>
      <c r="BX246" s="2">
        <f t="shared" si="237"/>
        <v>0</v>
      </c>
      <c r="BY246" s="2">
        <f t="shared" si="237"/>
        <v>0</v>
      </c>
      <c r="BZ246" s="2">
        <f t="shared" si="237"/>
        <v>0</v>
      </c>
      <c r="CA246" s="2">
        <f t="shared" ref="CA246:DF246" si="238">CA286</f>
        <v>426330.77</v>
      </c>
      <c r="CB246" s="2">
        <f t="shared" si="238"/>
        <v>417950.24</v>
      </c>
      <c r="CC246" s="2">
        <f t="shared" si="238"/>
        <v>8380.5300000000007</v>
      </c>
      <c r="CD246" s="2">
        <f t="shared" si="238"/>
        <v>0</v>
      </c>
      <c r="CE246" s="2">
        <f t="shared" si="238"/>
        <v>354517.76000000001</v>
      </c>
      <c r="CF246" s="2">
        <f t="shared" si="238"/>
        <v>354517.76000000001</v>
      </c>
      <c r="CG246" s="2">
        <f t="shared" si="238"/>
        <v>0</v>
      </c>
      <c r="CH246" s="2">
        <f t="shared" si="238"/>
        <v>354517.76000000001</v>
      </c>
      <c r="CI246" s="2">
        <f t="shared" si="238"/>
        <v>0</v>
      </c>
      <c r="CJ246" s="2">
        <f t="shared" si="238"/>
        <v>0</v>
      </c>
      <c r="CK246" s="2">
        <f t="shared" si="238"/>
        <v>0</v>
      </c>
      <c r="CL246" s="2">
        <f t="shared" si="238"/>
        <v>0</v>
      </c>
      <c r="CM246" s="2">
        <f t="shared" si="238"/>
        <v>0</v>
      </c>
      <c r="CN246" s="2">
        <f t="shared" si="238"/>
        <v>0</v>
      </c>
      <c r="CO246" s="2">
        <f t="shared" si="238"/>
        <v>0</v>
      </c>
      <c r="CP246" s="2">
        <f t="shared" si="238"/>
        <v>0</v>
      </c>
      <c r="CQ246" s="2">
        <f t="shared" si="238"/>
        <v>0</v>
      </c>
      <c r="CR246" s="2">
        <f t="shared" si="238"/>
        <v>0</v>
      </c>
      <c r="CS246" s="2">
        <f t="shared" si="238"/>
        <v>0</v>
      </c>
      <c r="CT246" s="2">
        <f t="shared" si="238"/>
        <v>0</v>
      </c>
      <c r="CU246" s="2">
        <f t="shared" si="238"/>
        <v>0</v>
      </c>
      <c r="CV246" s="2">
        <f t="shared" si="238"/>
        <v>0</v>
      </c>
      <c r="CW246" s="2">
        <f t="shared" si="238"/>
        <v>0</v>
      </c>
      <c r="CX246" s="2">
        <f t="shared" si="238"/>
        <v>0</v>
      </c>
      <c r="CY246" s="2">
        <f t="shared" si="238"/>
        <v>0</v>
      </c>
      <c r="CZ246" s="2">
        <f t="shared" si="238"/>
        <v>0</v>
      </c>
      <c r="DA246" s="2">
        <f t="shared" si="238"/>
        <v>0</v>
      </c>
      <c r="DB246" s="2">
        <f t="shared" si="238"/>
        <v>0</v>
      </c>
      <c r="DC246" s="2">
        <f t="shared" si="238"/>
        <v>0</v>
      </c>
      <c r="DD246" s="2">
        <f t="shared" si="238"/>
        <v>0</v>
      </c>
      <c r="DE246" s="2">
        <f t="shared" si="238"/>
        <v>0</v>
      </c>
      <c r="DF246" s="2">
        <f t="shared" si="238"/>
        <v>0</v>
      </c>
      <c r="DG246" s="3">
        <f t="shared" ref="DG246:EL246" si="239">DG286</f>
        <v>0</v>
      </c>
      <c r="DH246" s="3">
        <f t="shared" si="239"/>
        <v>0</v>
      </c>
      <c r="DI246" s="3">
        <f t="shared" si="239"/>
        <v>0</v>
      </c>
      <c r="DJ246" s="3">
        <f t="shared" si="239"/>
        <v>0</v>
      </c>
      <c r="DK246" s="3">
        <f t="shared" si="239"/>
        <v>0</v>
      </c>
      <c r="DL246" s="3">
        <f t="shared" si="239"/>
        <v>0</v>
      </c>
      <c r="DM246" s="3">
        <f t="shared" si="239"/>
        <v>0</v>
      </c>
      <c r="DN246" s="3">
        <f t="shared" si="239"/>
        <v>0</v>
      </c>
      <c r="DO246" s="3">
        <f t="shared" si="239"/>
        <v>0</v>
      </c>
      <c r="DP246" s="3">
        <f t="shared" si="239"/>
        <v>0</v>
      </c>
      <c r="DQ246" s="3">
        <f t="shared" si="239"/>
        <v>0</v>
      </c>
      <c r="DR246" s="3">
        <f t="shared" si="239"/>
        <v>0</v>
      </c>
      <c r="DS246" s="3">
        <f t="shared" si="239"/>
        <v>0</v>
      </c>
      <c r="DT246" s="3">
        <f t="shared" si="239"/>
        <v>0</v>
      </c>
      <c r="DU246" s="3">
        <f t="shared" si="239"/>
        <v>0</v>
      </c>
      <c r="DV246" s="3">
        <f t="shared" si="239"/>
        <v>0</v>
      </c>
      <c r="DW246" s="3">
        <f t="shared" si="239"/>
        <v>0</v>
      </c>
      <c r="DX246" s="3">
        <f t="shared" si="239"/>
        <v>0</v>
      </c>
      <c r="DY246" s="3">
        <f t="shared" si="239"/>
        <v>0</v>
      </c>
      <c r="DZ246" s="3">
        <f t="shared" si="239"/>
        <v>0</v>
      </c>
      <c r="EA246" s="3">
        <f t="shared" si="239"/>
        <v>0</v>
      </c>
      <c r="EB246" s="3">
        <f t="shared" si="239"/>
        <v>0</v>
      </c>
      <c r="EC246" s="3">
        <f t="shared" si="239"/>
        <v>0</v>
      </c>
      <c r="ED246" s="3">
        <f t="shared" si="239"/>
        <v>0</v>
      </c>
      <c r="EE246" s="3">
        <f t="shared" si="239"/>
        <v>0</v>
      </c>
      <c r="EF246" s="3">
        <f t="shared" si="239"/>
        <v>0</v>
      </c>
      <c r="EG246" s="3">
        <f t="shared" si="239"/>
        <v>0</v>
      </c>
      <c r="EH246" s="3">
        <f t="shared" si="239"/>
        <v>0</v>
      </c>
      <c r="EI246" s="3">
        <f t="shared" si="239"/>
        <v>0</v>
      </c>
      <c r="EJ246" s="3">
        <f t="shared" si="239"/>
        <v>0</v>
      </c>
      <c r="EK246" s="3">
        <f t="shared" si="239"/>
        <v>0</v>
      </c>
      <c r="EL246" s="3">
        <f t="shared" si="239"/>
        <v>0</v>
      </c>
      <c r="EM246" s="3">
        <f t="shared" ref="EM246:FR246" si="240">EM286</f>
        <v>0</v>
      </c>
      <c r="EN246" s="3">
        <f t="shared" si="240"/>
        <v>0</v>
      </c>
      <c r="EO246" s="3">
        <f t="shared" si="240"/>
        <v>0</v>
      </c>
      <c r="EP246" s="3">
        <f t="shared" si="240"/>
        <v>0</v>
      </c>
      <c r="EQ246" s="3">
        <f t="shared" si="240"/>
        <v>0</v>
      </c>
      <c r="ER246" s="3">
        <f t="shared" si="240"/>
        <v>0</v>
      </c>
      <c r="ES246" s="3">
        <f t="shared" si="240"/>
        <v>0</v>
      </c>
      <c r="ET246" s="3">
        <f t="shared" si="240"/>
        <v>0</v>
      </c>
      <c r="EU246" s="3">
        <f t="shared" si="240"/>
        <v>0</v>
      </c>
      <c r="EV246" s="3">
        <f t="shared" si="240"/>
        <v>0</v>
      </c>
      <c r="EW246" s="3">
        <f t="shared" si="240"/>
        <v>0</v>
      </c>
      <c r="EX246" s="3">
        <f t="shared" si="240"/>
        <v>0</v>
      </c>
      <c r="EY246" s="3">
        <f t="shared" si="240"/>
        <v>0</v>
      </c>
      <c r="EZ246" s="3">
        <f t="shared" si="240"/>
        <v>0</v>
      </c>
      <c r="FA246" s="3">
        <f t="shared" si="240"/>
        <v>0</v>
      </c>
      <c r="FB246" s="3">
        <f t="shared" si="240"/>
        <v>0</v>
      </c>
      <c r="FC246" s="3">
        <f t="shared" si="240"/>
        <v>0</v>
      </c>
      <c r="FD246" s="3">
        <f t="shared" si="240"/>
        <v>0</v>
      </c>
      <c r="FE246" s="3">
        <f t="shared" si="240"/>
        <v>0</v>
      </c>
      <c r="FF246" s="3">
        <f t="shared" si="240"/>
        <v>0</v>
      </c>
      <c r="FG246" s="3">
        <f t="shared" si="240"/>
        <v>0</v>
      </c>
      <c r="FH246" s="3">
        <f t="shared" si="240"/>
        <v>0</v>
      </c>
      <c r="FI246" s="3">
        <f t="shared" si="240"/>
        <v>0</v>
      </c>
      <c r="FJ246" s="3">
        <f t="shared" si="240"/>
        <v>0</v>
      </c>
      <c r="FK246" s="3">
        <f t="shared" si="240"/>
        <v>0</v>
      </c>
      <c r="FL246" s="3">
        <f t="shared" si="240"/>
        <v>0</v>
      </c>
      <c r="FM246" s="3">
        <f t="shared" si="240"/>
        <v>0</v>
      </c>
      <c r="FN246" s="3">
        <f t="shared" si="240"/>
        <v>0</v>
      </c>
      <c r="FO246" s="3">
        <f t="shared" si="240"/>
        <v>0</v>
      </c>
      <c r="FP246" s="3">
        <f t="shared" si="240"/>
        <v>0</v>
      </c>
      <c r="FQ246" s="3">
        <f t="shared" si="240"/>
        <v>0</v>
      </c>
      <c r="FR246" s="3">
        <f t="shared" si="240"/>
        <v>0</v>
      </c>
      <c r="FS246" s="3">
        <f t="shared" ref="FS246:GX246" si="241">FS286</f>
        <v>0</v>
      </c>
      <c r="FT246" s="3">
        <f t="shared" si="241"/>
        <v>0</v>
      </c>
      <c r="FU246" s="3">
        <f t="shared" si="241"/>
        <v>0</v>
      </c>
      <c r="FV246" s="3">
        <f t="shared" si="241"/>
        <v>0</v>
      </c>
      <c r="FW246" s="3">
        <f t="shared" si="241"/>
        <v>0</v>
      </c>
      <c r="FX246" s="3">
        <f t="shared" si="241"/>
        <v>0</v>
      </c>
      <c r="FY246" s="3">
        <f t="shared" si="241"/>
        <v>0</v>
      </c>
      <c r="FZ246" s="3">
        <f t="shared" si="241"/>
        <v>0</v>
      </c>
      <c r="GA246" s="3">
        <f t="shared" si="241"/>
        <v>0</v>
      </c>
      <c r="GB246" s="3">
        <f t="shared" si="241"/>
        <v>0</v>
      </c>
      <c r="GC246" s="3">
        <f t="shared" si="241"/>
        <v>0</v>
      </c>
      <c r="GD246" s="3">
        <f t="shared" si="241"/>
        <v>0</v>
      </c>
      <c r="GE246" s="3">
        <f t="shared" si="241"/>
        <v>0</v>
      </c>
      <c r="GF246" s="3">
        <f t="shared" si="241"/>
        <v>0</v>
      </c>
      <c r="GG246" s="3">
        <f t="shared" si="241"/>
        <v>0</v>
      </c>
      <c r="GH246" s="3">
        <f t="shared" si="241"/>
        <v>0</v>
      </c>
      <c r="GI246" s="3">
        <f t="shared" si="241"/>
        <v>0</v>
      </c>
      <c r="GJ246" s="3">
        <f t="shared" si="241"/>
        <v>0</v>
      </c>
      <c r="GK246" s="3">
        <f t="shared" si="241"/>
        <v>0</v>
      </c>
      <c r="GL246" s="3">
        <f t="shared" si="241"/>
        <v>0</v>
      </c>
      <c r="GM246" s="3">
        <f t="shared" si="241"/>
        <v>0</v>
      </c>
      <c r="GN246" s="3">
        <f t="shared" si="241"/>
        <v>0</v>
      </c>
      <c r="GO246" s="3">
        <f t="shared" si="241"/>
        <v>0</v>
      </c>
      <c r="GP246" s="3">
        <f t="shared" si="241"/>
        <v>0</v>
      </c>
      <c r="GQ246" s="3">
        <f t="shared" si="241"/>
        <v>0</v>
      </c>
      <c r="GR246" s="3">
        <f t="shared" si="241"/>
        <v>0</v>
      </c>
      <c r="GS246" s="3">
        <f t="shared" si="241"/>
        <v>0</v>
      </c>
      <c r="GT246" s="3">
        <f t="shared" si="241"/>
        <v>0</v>
      </c>
      <c r="GU246" s="3">
        <f t="shared" si="241"/>
        <v>0</v>
      </c>
      <c r="GV246" s="3">
        <f t="shared" si="241"/>
        <v>0</v>
      </c>
      <c r="GW246" s="3">
        <f t="shared" si="241"/>
        <v>0</v>
      </c>
      <c r="GX246" s="3">
        <f t="shared" si="241"/>
        <v>0</v>
      </c>
    </row>
    <row r="248" spans="1:245" x14ac:dyDescent="0.2">
      <c r="A248">
        <v>17</v>
      </c>
      <c r="B248">
        <v>1</v>
      </c>
      <c r="C248">
        <f>ROW(SmtRes!A513)</f>
        <v>513</v>
      </c>
      <c r="D248">
        <f>ROW(EtalonRes!A498)</f>
        <v>498</v>
      </c>
      <c r="E248" t="s">
        <v>709</v>
      </c>
      <c r="F248" t="s">
        <v>710</v>
      </c>
      <c r="G248" t="s">
        <v>711</v>
      </c>
      <c r="H248" t="s">
        <v>57</v>
      </c>
      <c r="I248">
        <f>ROUND(89.5/100,9)</f>
        <v>0.89500000000000002</v>
      </c>
      <c r="J248">
        <v>0</v>
      </c>
      <c r="O248">
        <f t="shared" ref="O248:O284" si="242">ROUND(CP248,2)</f>
        <v>1883.2</v>
      </c>
      <c r="P248">
        <f t="shared" ref="P248:P284" si="243">ROUND(CQ248*I248,2)</f>
        <v>0</v>
      </c>
      <c r="Q248">
        <f t="shared" ref="Q248:Q284" si="244">ROUND(CR248*I248,2)</f>
        <v>45.24</v>
      </c>
      <c r="R248">
        <f t="shared" ref="R248:R284" si="245">ROUND(CS248*I248,2)</f>
        <v>8.61</v>
      </c>
      <c r="S248">
        <f t="shared" ref="S248:S284" si="246">ROUND(CT248*I248,2)</f>
        <v>1837.96</v>
      </c>
      <c r="T248">
        <f t="shared" ref="T248:T284" si="247">ROUND(CU248*I248,2)</f>
        <v>0</v>
      </c>
      <c r="U248">
        <f t="shared" ref="U248:U284" si="248">CV248*I248</f>
        <v>31.020699999999998</v>
      </c>
      <c r="V248">
        <f t="shared" ref="V248:V284" si="249">CW248*I248</f>
        <v>8.950000000000001E-2</v>
      </c>
      <c r="W248">
        <f t="shared" ref="W248:W284" si="250">ROUND(CX248*I248,2)</f>
        <v>0</v>
      </c>
      <c r="X248">
        <f t="shared" ref="X248:X284" si="251">ROUND(CY248,2)</f>
        <v>1366.46</v>
      </c>
      <c r="Y248">
        <f t="shared" ref="Y248:Y284" si="252">ROUND(CZ248,2)</f>
        <v>923.29</v>
      </c>
      <c r="AA248">
        <v>16630606</v>
      </c>
      <c r="AB248">
        <f t="shared" ref="AB248:AB284" si="253">ROUND((AC248+AD248+AF248),2)</f>
        <v>295.11</v>
      </c>
      <c r="AC248">
        <f>ROUND(((ES248*0)),2)</f>
        <v>0</v>
      </c>
      <c r="AD248">
        <f>ROUND((((ET248)-(EU248))+AE248),2)</f>
        <v>7.09</v>
      </c>
      <c r="AE248">
        <f t="shared" ref="AE248:AF251" si="254">ROUND((EU248),2)</f>
        <v>1.35</v>
      </c>
      <c r="AF248">
        <f t="shared" si="254"/>
        <v>288.02</v>
      </c>
      <c r="AG248">
        <f t="shared" ref="AG248:AG284" si="255">ROUND((AP248),2)</f>
        <v>0</v>
      </c>
      <c r="AH248">
        <f t="shared" ref="AH248:AI251" si="256">(EW248)</f>
        <v>34.659999999999997</v>
      </c>
      <c r="AI248">
        <f t="shared" si="256"/>
        <v>0.1</v>
      </c>
      <c r="AJ248">
        <f t="shared" ref="AJ248:AJ284" si="257">(AS248)</f>
        <v>0</v>
      </c>
      <c r="AK248">
        <v>328.71</v>
      </c>
      <c r="AL248">
        <v>33.6</v>
      </c>
      <c r="AM248">
        <v>7.09</v>
      </c>
      <c r="AN248">
        <v>1.35</v>
      </c>
      <c r="AO248">
        <v>288.02</v>
      </c>
      <c r="AP248">
        <v>0</v>
      </c>
      <c r="AQ248">
        <v>34.659999999999997</v>
      </c>
      <c r="AR248">
        <v>0.1</v>
      </c>
      <c r="AS248">
        <v>0</v>
      </c>
      <c r="AT248">
        <v>74</v>
      </c>
      <c r="AU248">
        <v>50</v>
      </c>
      <c r="AV248">
        <v>1</v>
      </c>
      <c r="AW248">
        <v>1</v>
      </c>
      <c r="AZ248">
        <v>7.13</v>
      </c>
      <c r="BA248">
        <v>7.13</v>
      </c>
      <c r="BB248">
        <v>7.13</v>
      </c>
      <c r="BC248">
        <v>7.13</v>
      </c>
      <c r="BD248" t="s">
        <v>6</v>
      </c>
      <c r="BE248" t="s">
        <v>6</v>
      </c>
      <c r="BF248" t="s">
        <v>6</v>
      </c>
      <c r="BG248" t="s">
        <v>6</v>
      </c>
      <c r="BH248">
        <v>0</v>
      </c>
      <c r="BI248">
        <v>1</v>
      </c>
      <c r="BJ248" t="s">
        <v>712</v>
      </c>
      <c r="BM248">
        <v>65001</v>
      </c>
      <c r="BN248">
        <v>0</v>
      </c>
      <c r="BO248" t="s">
        <v>6</v>
      </c>
      <c r="BP248">
        <v>0</v>
      </c>
      <c r="BQ248">
        <v>6</v>
      </c>
      <c r="BR248">
        <v>0</v>
      </c>
      <c r="BS248">
        <v>7.13</v>
      </c>
      <c r="BT248">
        <v>1</v>
      </c>
      <c r="BU248">
        <v>1</v>
      </c>
      <c r="BV248">
        <v>1</v>
      </c>
      <c r="BW248">
        <v>1</v>
      </c>
      <c r="BX248">
        <v>1</v>
      </c>
      <c r="BY248" t="s">
        <v>6</v>
      </c>
      <c r="BZ248">
        <v>74</v>
      </c>
      <c r="CA248">
        <v>50</v>
      </c>
      <c r="CE248">
        <v>0</v>
      </c>
      <c r="CF248">
        <v>0</v>
      </c>
      <c r="CG248">
        <v>0</v>
      </c>
      <c r="CM248">
        <v>0</v>
      </c>
      <c r="CN248" t="s">
        <v>6</v>
      </c>
      <c r="CO248">
        <v>0</v>
      </c>
      <c r="CP248">
        <f t="shared" ref="CP248:CP284" si="258">(P248+Q248+S248)</f>
        <v>1883.2</v>
      </c>
      <c r="CQ248">
        <f t="shared" ref="CQ248:CQ284" si="259">AC248*BC248</f>
        <v>0</v>
      </c>
      <c r="CR248">
        <f t="shared" ref="CR248:CR284" si="260">AD248*BB248</f>
        <v>50.551699999999997</v>
      </c>
      <c r="CS248">
        <f t="shared" ref="CS248:CS284" si="261">AE248*BS248</f>
        <v>9.6255000000000006</v>
      </c>
      <c r="CT248">
        <f t="shared" ref="CT248:CT284" si="262">AF248*BA248</f>
        <v>2053.5825999999997</v>
      </c>
      <c r="CU248">
        <f t="shared" ref="CU248:CU284" si="263">AG248</f>
        <v>0</v>
      </c>
      <c r="CV248">
        <f t="shared" ref="CV248:CV284" si="264">AH248</f>
        <v>34.659999999999997</v>
      </c>
      <c r="CW248">
        <f t="shared" ref="CW248:CW284" si="265">AI248</f>
        <v>0.1</v>
      </c>
      <c r="CX248">
        <f t="shared" ref="CX248:CX284" si="266">AJ248</f>
        <v>0</v>
      </c>
      <c r="CY248">
        <f t="shared" ref="CY248:CY284" si="267">(((S248+R248)*AT248)/100)</f>
        <v>1366.4618</v>
      </c>
      <c r="CZ248">
        <f t="shared" ref="CZ248:CZ284" si="268">(((S248+R248)*AU248)/100)</f>
        <v>923.28499999999997</v>
      </c>
      <c r="DC248" t="s">
        <v>6</v>
      </c>
      <c r="DD248" t="s">
        <v>30</v>
      </c>
      <c r="DE248" t="s">
        <v>6</v>
      </c>
      <c r="DF248" t="s">
        <v>6</v>
      </c>
      <c r="DG248" t="s">
        <v>6</v>
      </c>
      <c r="DH248" t="s">
        <v>6</v>
      </c>
      <c r="DI248" t="s">
        <v>6</v>
      </c>
      <c r="DJ248" t="s">
        <v>6</v>
      </c>
      <c r="DK248" t="s">
        <v>6</v>
      </c>
      <c r="DL248" t="s">
        <v>6</v>
      </c>
      <c r="DM248" t="s">
        <v>6</v>
      </c>
      <c r="DN248">
        <v>0</v>
      </c>
      <c r="DO248">
        <v>0</v>
      </c>
      <c r="DP248">
        <v>1</v>
      </c>
      <c r="DQ248">
        <v>1</v>
      </c>
      <c r="DU248">
        <v>1003</v>
      </c>
      <c r="DV248" t="s">
        <v>57</v>
      </c>
      <c r="DW248" t="s">
        <v>57</v>
      </c>
      <c r="DX248">
        <v>100</v>
      </c>
      <c r="EE248">
        <v>16609190</v>
      </c>
      <c r="EF248">
        <v>6</v>
      </c>
      <c r="EG248" t="s">
        <v>39</v>
      </c>
      <c r="EH248">
        <v>0</v>
      </c>
      <c r="EI248" t="s">
        <v>6</v>
      </c>
      <c r="EJ248">
        <v>1</v>
      </c>
      <c r="EK248">
        <v>65001</v>
      </c>
      <c r="EL248" t="s">
        <v>713</v>
      </c>
      <c r="EM248" t="s">
        <v>714</v>
      </c>
      <c r="EO248" t="s">
        <v>6</v>
      </c>
      <c r="EQ248">
        <v>131072</v>
      </c>
      <c r="ER248">
        <v>328.71</v>
      </c>
      <c r="ES248">
        <v>33.6</v>
      </c>
      <c r="ET248">
        <v>7.09</v>
      </c>
      <c r="EU248">
        <v>1.35</v>
      </c>
      <c r="EV248">
        <v>288.02</v>
      </c>
      <c r="EW248">
        <v>34.659999999999997</v>
      </c>
      <c r="EX248">
        <v>0.1</v>
      </c>
      <c r="EY248">
        <v>0</v>
      </c>
      <c r="FQ248">
        <v>0</v>
      </c>
      <c r="FR248">
        <f t="shared" ref="FR248:FR284" si="269">ROUND(IF(AND(BH248=3,BI248=3),P248,0),2)</f>
        <v>0</v>
      </c>
      <c r="FS248">
        <v>0</v>
      </c>
      <c r="FX248">
        <v>74</v>
      </c>
      <c r="FY248">
        <v>50</v>
      </c>
      <c r="GA248" t="s">
        <v>6</v>
      </c>
      <c r="GD248">
        <v>0</v>
      </c>
      <c r="GF248">
        <v>-93922138</v>
      </c>
      <c r="GG248">
        <v>1</v>
      </c>
      <c r="GH248">
        <v>1</v>
      </c>
      <c r="GI248">
        <v>4</v>
      </c>
      <c r="GJ248">
        <v>0</v>
      </c>
      <c r="GK248">
        <f>ROUND(R248*(R12)/100,2)</f>
        <v>0</v>
      </c>
      <c r="GL248">
        <f t="shared" ref="GL248:GL284" si="270">ROUND(IF(AND(BH248=3,BI248=3,FS248&lt;&gt;0),P248,0),2)</f>
        <v>0</v>
      </c>
      <c r="GM248">
        <f t="shared" ref="GM248:GM284" si="271">ROUND(O248+X248+Y248+GK248,2)+GX248</f>
        <v>4172.95</v>
      </c>
      <c r="GN248">
        <f t="shared" ref="GN248:GN284" si="272">IF(OR(BI248=0,BI248=1),ROUND(O248+X248+Y248+GK248,2),0)</f>
        <v>4172.95</v>
      </c>
      <c r="GO248">
        <f t="shared" ref="GO248:GO284" si="273">IF(BI248=2,ROUND(O248+X248+Y248+GK248,2),0)</f>
        <v>0</v>
      </c>
      <c r="GP248">
        <f t="shared" ref="GP248:GP284" si="274">IF(BI248=4,ROUND(O248+X248+Y248+GK248,2)+GX248,0)</f>
        <v>0</v>
      </c>
      <c r="GR248">
        <v>0</v>
      </c>
      <c r="GS248">
        <v>3</v>
      </c>
      <c r="GT248">
        <v>0</v>
      </c>
      <c r="GU248" t="s">
        <v>6</v>
      </c>
      <c r="GV248">
        <f t="shared" ref="GV248:GV284" si="275">ROUND((GT248),2)</f>
        <v>0</v>
      </c>
      <c r="GW248">
        <v>1</v>
      </c>
      <c r="GX248">
        <f t="shared" ref="GX248:GX284" si="276">ROUND(HC248*I248,2)</f>
        <v>0</v>
      </c>
      <c r="HA248">
        <v>0</v>
      </c>
      <c r="HB248">
        <v>0</v>
      </c>
      <c r="HC248">
        <f t="shared" ref="HC248:HC284" si="277">GV248*GW248</f>
        <v>0</v>
      </c>
      <c r="IK248">
        <v>0</v>
      </c>
    </row>
    <row r="249" spans="1:245" x14ac:dyDescent="0.2">
      <c r="A249">
        <v>17</v>
      </c>
      <c r="B249">
        <v>1</v>
      </c>
      <c r="C249">
        <f>ROW(SmtRes!A524)</f>
        <v>524</v>
      </c>
      <c r="D249">
        <f>ROW(EtalonRes!A508)</f>
        <v>508</v>
      </c>
      <c r="E249" t="s">
        <v>715</v>
      </c>
      <c r="F249" t="s">
        <v>601</v>
      </c>
      <c r="G249" t="s">
        <v>716</v>
      </c>
      <c r="H249" t="s">
        <v>57</v>
      </c>
      <c r="I249">
        <f>ROUND(21.2/100,9)</f>
        <v>0.21199999999999999</v>
      </c>
      <c r="J249">
        <v>0</v>
      </c>
      <c r="O249">
        <f t="shared" si="242"/>
        <v>379.28</v>
      </c>
      <c r="P249">
        <f t="shared" si="243"/>
        <v>132.62</v>
      </c>
      <c r="Q249">
        <f t="shared" si="244"/>
        <v>29.55</v>
      </c>
      <c r="R249">
        <f t="shared" si="245"/>
        <v>4.1900000000000004</v>
      </c>
      <c r="S249">
        <f t="shared" si="246"/>
        <v>217.11</v>
      </c>
      <c r="T249">
        <f t="shared" si="247"/>
        <v>0</v>
      </c>
      <c r="U249">
        <f t="shared" si="248"/>
        <v>3.2393599999999996</v>
      </c>
      <c r="V249">
        <f t="shared" si="249"/>
        <v>4.6640000000000001E-2</v>
      </c>
      <c r="W249">
        <f t="shared" si="250"/>
        <v>0</v>
      </c>
      <c r="X249">
        <f t="shared" si="251"/>
        <v>210.24</v>
      </c>
      <c r="Y249">
        <f t="shared" si="252"/>
        <v>143.85</v>
      </c>
      <c r="AA249">
        <v>16630606</v>
      </c>
      <c r="AB249">
        <f t="shared" si="253"/>
        <v>250.92</v>
      </c>
      <c r="AC249">
        <f t="shared" ref="AC249:AC284" si="278">ROUND((ES249),2)</f>
        <v>87.74</v>
      </c>
      <c r="AD249">
        <f>ROUND((((ET249)-(EU249))+AE249),2)</f>
        <v>19.55</v>
      </c>
      <c r="AE249">
        <f t="shared" si="254"/>
        <v>2.77</v>
      </c>
      <c r="AF249">
        <f t="shared" si="254"/>
        <v>143.63</v>
      </c>
      <c r="AG249">
        <f t="shared" si="255"/>
        <v>0</v>
      </c>
      <c r="AH249">
        <f t="shared" si="256"/>
        <v>15.28</v>
      </c>
      <c r="AI249">
        <f t="shared" si="256"/>
        <v>0.22</v>
      </c>
      <c r="AJ249">
        <f t="shared" si="257"/>
        <v>0</v>
      </c>
      <c r="AK249">
        <v>250.92</v>
      </c>
      <c r="AL249">
        <v>87.74</v>
      </c>
      <c r="AM249">
        <v>19.55</v>
      </c>
      <c r="AN249">
        <v>2.77</v>
      </c>
      <c r="AO249">
        <v>143.63</v>
      </c>
      <c r="AP249">
        <v>0</v>
      </c>
      <c r="AQ249">
        <v>15.28</v>
      </c>
      <c r="AR249">
        <v>0.22</v>
      </c>
      <c r="AS249">
        <v>0</v>
      </c>
      <c r="AT249">
        <v>95</v>
      </c>
      <c r="AU249">
        <v>65</v>
      </c>
      <c r="AV249">
        <v>1</v>
      </c>
      <c r="AW249">
        <v>1</v>
      </c>
      <c r="AZ249">
        <v>7.13</v>
      </c>
      <c r="BA249">
        <v>7.13</v>
      </c>
      <c r="BB249">
        <v>7.13</v>
      </c>
      <c r="BC249">
        <v>7.13</v>
      </c>
      <c r="BD249" t="s">
        <v>6</v>
      </c>
      <c r="BE249" t="s">
        <v>6</v>
      </c>
      <c r="BF249" t="s">
        <v>6</v>
      </c>
      <c r="BG249" t="s">
        <v>6</v>
      </c>
      <c r="BH249">
        <v>0</v>
      </c>
      <c r="BI249">
        <v>2</v>
      </c>
      <c r="BJ249" t="s">
        <v>603</v>
      </c>
      <c r="BM249">
        <v>108001</v>
      </c>
      <c r="BN249">
        <v>0</v>
      </c>
      <c r="BO249" t="s">
        <v>6</v>
      </c>
      <c r="BP249">
        <v>0</v>
      </c>
      <c r="BQ249">
        <v>3</v>
      </c>
      <c r="BR249">
        <v>0</v>
      </c>
      <c r="BS249">
        <v>7.13</v>
      </c>
      <c r="BT249">
        <v>1</v>
      </c>
      <c r="BU249">
        <v>1</v>
      </c>
      <c r="BV249">
        <v>1</v>
      </c>
      <c r="BW249">
        <v>1</v>
      </c>
      <c r="BX249">
        <v>1</v>
      </c>
      <c r="BY249" t="s">
        <v>6</v>
      </c>
      <c r="BZ249">
        <v>95</v>
      </c>
      <c r="CA249">
        <v>65</v>
      </c>
      <c r="CE249">
        <v>0</v>
      </c>
      <c r="CF249">
        <v>0</v>
      </c>
      <c r="CG249">
        <v>0</v>
      </c>
      <c r="CM249">
        <v>0</v>
      </c>
      <c r="CN249" t="s">
        <v>6</v>
      </c>
      <c r="CO249">
        <v>0</v>
      </c>
      <c r="CP249">
        <f t="shared" si="258"/>
        <v>379.28000000000003</v>
      </c>
      <c r="CQ249">
        <f t="shared" si="259"/>
        <v>625.58619999999996</v>
      </c>
      <c r="CR249">
        <f t="shared" si="260"/>
        <v>139.39150000000001</v>
      </c>
      <c r="CS249">
        <f t="shared" si="261"/>
        <v>19.7501</v>
      </c>
      <c r="CT249">
        <f t="shared" si="262"/>
        <v>1024.0818999999999</v>
      </c>
      <c r="CU249">
        <f t="shared" si="263"/>
        <v>0</v>
      </c>
      <c r="CV249">
        <f t="shared" si="264"/>
        <v>15.28</v>
      </c>
      <c r="CW249">
        <f t="shared" si="265"/>
        <v>0.22</v>
      </c>
      <c r="CX249">
        <f t="shared" si="266"/>
        <v>0</v>
      </c>
      <c r="CY249">
        <f t="shared" si="267"/>
        <v>210.23500000000001</v>
      </c>
      <c r="CZ249">
        <f t="shared" si="268"/>
        <v>143.845</v>
      </c>
      <c r="DC249" t="s">
        <v>6</v>
      </c>
      <c r="DD249" t="s">
        <v>6</v>
      </c>
      <c r="DE249" t="s">
        <v>6</v>
      </c>
      <c r="DF249" t="s">
        <v>6</v>
      </c>
      <c r="DG249" t="s">
        <v>6</v>
      </c>
      <c r="DH249" t="s">
        <v>6</v>
      </c>
      <c r="DI249" t="s">
        <v>6</v>
      </c>
      <c r="DJ249" t="s">
        <v>6</v>
      </c>
      <c r="DK249" t="s">
        <v>6</v>
      </c>
      <c r="DL249" t="s">
        <v>6</v>
      </c>
      <c r="DM249" t="s">
        <v>6</v>
      </c>
      <c r="DN249">
        <v>0</v>
      </c>
      <c r="DO249">
        <v>0</v>
      </c>
      <c r="DP249">
        <v>1</v>
      </c>
      <c r="DQ249">
        <v>1</v>
      </c>
      <c r="DU249">
        <v>1003</v>
      </c>
      <c r="DV249" t="s">
        <v>57</v>
      </c>
      <c r="DW249" t="s">
        <v>57</v>
      </c>
      <c r="DX249">
        <v>100</v>
      </c>
      <c r="EE249">
        <v>16609228</v>
      </c>
      <c r="EF249">
        <v>3</v>
      </c>
      <c r="EG249" t="s">
        <v>491</v>
      </c>
      <c r="EH249">
        <v>0</v>
      </c>
      <c r="EI249" t="s">
        <v>6</v>
      </c>
      <c r="EJ249">
        <v>2</v>
      </c>
      <c r="EK249">
        <v>108001</v>
      </c>
      <c r="EL249" t="s">
        <v>492</v>
      </c>
      <c r="EM249" t="s">
        <v>493</v>
      </c>
      <c r="EO249" t="s">
        <v>6</v>
      </c>
      <c r="EQ249">
        <v>0</v>
      </c>
      <c r="ER249">
        <v>250.92</v>
      </c>
      <c r="ES249">
        <v>87.74</v>
      </c>
      <c r="ET249">
        <v>19.55</v>
      </c>
      <c r="EU249">
        <v>2.77</v>
      </c>
      <c r="EV249">
        <v>143.63</v>
      </c>
      <c r="EW249">
        <v>15.28</v>
      </c>
      <c r="EX249">
        <v>0.22</v>
      </c>
      <c r="EY249">
        <v>0</v>
      </c>
      <c r="FQ249">
        <v>0</v>
      </c>
      <c r="FR249">
        <f t="shared" si="269"/>
        <v>0</v>
      </c>
      <c r="FS249">
        <v>0</v>
      </c>
      <c r="FX249">
        <v>95</v>
      </c>
      <c r="FY249">
        <v>65</v>
      </c>
      <c r="GA249" t="s">
        <v>6</v>
      </c>
      <c r="GD249">
        <v>0</v>
      </c>
      <c r="GF249">
        <v>-1226010635</v>
      </c>
      <c r="GG249">
        <v>1</v>
      </c>
      <c r="GH249">
        <v>1</v>
      </c>
      <c r="GI249">
        <v>4</v>
      </c>
      <c r="GJ249">
        <v>0</v>
      </c>
      <c r="GK249">
        <f>ROUND(R249*(R12)/100,2)</f>
        <v>0</v>
      </c>
      <c r="GL249">
        <f t="shared" si="270"/>
        <v>0</v>
      </c>
      <c r="GM249">
        <f t="shared" si="271"/>
        <v>733.37</v>
      </c>
      <c r="GN249">
        <f t="shared" si="272"/>
        <v>0</v>
      </c>
      <c r="GO249">
        <f t="shared" si="273"/>
        <v>733.37</v>
      </c>
      <c r="GP249">
        <f t="shared" si="274"/>
        <v>0</v>
      </c>
      <c r="GR249">
        <v>0</v>
      </c>
      <c r="GS249">
        <v>3</v>
      </c>
      <c r="GT249">
        <v>0</v>
      </c>
      <c r="GU249" t="s">
        <v>6</v>
      </c>
      <c r="GV249">
        <f t="shared" si="275"/>
        <v>0</v>
      </c>
      <c r="GW249">
        <v>1</v>
      </c>
      <c r="GX249">
        <f t="shared" si="276"/>
        <v>0</v>
      </c>
      <c r="HA249">
        <v>0</v>
      </c>
      <c r="HB249">
        <v>0</v>
      </c>
      <c r="HC249">
        <f t="shared" si="277"/>
        <v>0</v>
      </c>
      <c r="IK249">
        <v>0</v>
      </c>
    </row>
    <row r="250" spans="1:245" x14ac:dyDescent="0.2">
      <c r="A250">
        <v>18</v>
      </c>
      <c r="B250">
        <v>1</v>
      </c>
      <c r="C250">
        <v>523</v>
      </c>
      <c r="E250" t="s">
        <v>717</v>
      </c>
      <c r="F250" t="s">
        <v>718</v>
      </c>
      <c r="G250" t="s">
        <v>719</v>
      </c>
      <c r="H250" t="s">
        <v>392</v>
      </c>
      <c r="I250">
        <f>I249*J250</f>
        <v>2.12</v>
      </c>
      <c r="J250">
        <v>10</v>
      </c>
      <c r="O250">
        <f t="shared" si="242"/>
        <v>2264.92</v>
      </c>
      <c r="P250">
        <f t="shared" si="243"/>
        <v>2264.92</v>
      </c>
      <c r="Q250">
        <f t="shared" si="244"/>
        <v>0</v>
      </c>
      <c r="R250">
        <f t="shared" si="245"/>
        <v>0</v>
      </c>
      <c r="S250">
        <f t="shared" si="246"/>
        <v>0</v>
      </c>
      <c r="T250">
        <f t="shared" si="247"/>
        <v>0</v>
      </c>
      <c r="U250">
        <f t="shared" si="248"/>
        <v>0</v>
      </c>
      <c r="V250">
        <f t="shared" si="249"/>
        <v>0</v>
      </c>
      <c r="W250">
        <f t="shared" si="250"/>
        <v>0</v>
      </c>
      <c r="X250">
        <f t="shared" si="251"/>
        <v>0</v>
      </c>
      <c r="Y250">
        <f t="shared" si="252"/>
        <v>0</v>
      </c>
      <c r="AA250">
        <v>16630606</v>
      </c>
      <c r="AB250">
        <f t="shared" si="253"/>
        <v>149.84</v>
      </c>
      <c r="AC250">
        <f t="shared" si="278"/>
        <v>149.84</v>
      </c>
      <c r="AD250">
        <f>ROUND((((ET250)-(EU250))+AE250),2)</f>
        <v>0</v>
      </c>
      <c r="AE250">
        <f t="shared" si="254"/>
        <v>0</v>
      </c>
      <c r="AF250">
        <f t="shared" si="254"/>
        <v>0</v>
      </c>
      <c r="AG250">
        <f t="shared" si="255"/>
        <v>0</v>
      </c>
      <c r="AH250">
        <f t="shared" si="256"/>
        <v>0</v>
      </c>
      <c r="AI250">
        <f t="shared" si="256"/>
        <v>0</v>
      </c>
      <c r="AJ250">
        <f t="shared" si="257"/>
        <v>0</v>
      </c>
      <c r="AK250">
        <v>149.84</v>
      </c>
      <c r="AL250">
        <v>149.84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95</v>
      </c>
      <c r="AU250">
        <v>65</v>
      </c>
      <c r="AV250">
        <v>1</v>
      </c>
      <c r="AW250">
        <v>1</v>
      </c>
      <c r="AZ250">
        <v>7.13</v>
      </c>
      <c r="BA250">
        <v>1</v>
      </c>
      <c r="BB250">
        <v>1</v>
      </c>
      <c r="BC250">
        <v>7.13</v>
      </c>
      <c r="BD250" t="s">
        <v>6</v>
      </c>
      <c r="BE250" t="s">
        <v>6</v>
      </c>
      <c r="BF250" t="s">
        <v>6</v>
      </c>
      <c r="BG250" t="s">
        <v>6</v>
      </c>
      <c r="BH250">
        <v>3</v>
      </c>
      <c r="BI250">
        <v>2</v>
      </c>
      <c r="BJ250" t="s">
        <v>720</v>
      </c>
      <c r="BM250">
        <v>108001</v>
      </c>
      <c r="BN250">
        <v>0</v>
      </c>
      <c r="BO250" t="s">
        <v>6</v>
      </c>
      <c r="BP250">
        <v>0</v>
      </c>
      <c r="BQ250">
        <v>3</v>
      </c>
      <c r="BR250">
        <v>0</v>
      </c>
      <c r="BS250">
        <v>1</v>
      </c>
      <c r="BT250">
        <v>1</v>
      </c>
      <c r="BU250">
        <v>1</v>
      </c>
      <c r="BV250">
        <v>1</v>
      </c>
      <c r="BW250">
        <v>1</v>
      </c>
      <c r="BX250">
        <v>1</v>
      </c>
      <c r="BY250" t="s">
        <v>6</v>
      </c>
      <c r="BZ250">
        <v>95</v>
      </c>
      <c r="CA250">
        <v>65</v>
      </c>
      <c r="CE250">
        <v>0</v>
      </c>
      <c r="CF250">
        <v>0</v>
      </c>
      <c r="CG250">
        <v>0</v>
      </c>
      <c r="CM250">
        <v>0</v>
      </c>
      <c r="CN250" t="s">
        <v>6</v>
      </c>
      <c r="CO250">
        <v>0</v>
      </c>
      <c r="CP250">
        <f t="shared" si="258"/>
        <v>2264.92</v>
      </c>
      <c r="CQ250">
        <f t="shared" si="259"/>
        <v>1068.3592000000001</v>
      </c>
      <c r="CR250">
        <f t="shared" si="260"/>
        <v>0</v>
      </c>
      <c r="CS250">
        <f t="shared" si="261"/>
        <v>0</v>
      </c>
      <c r="CT250">
        <f t="shared" si="262"/>
        <v>0</v>
      </c>
      <c r="CU250">
        <f t="shared" si="263"/>
        <v>0</v>
      </c>
      <c r="CV250">
        <f t="shared" si="264"/>
        <v>0</v>
      </c>
      <c r="CW250">
        <f t="shared" si="265"/>
        <v>0</v>
      </c>
      <c r="CX250">
        <f t="shared" si="266"/>
        <v>0</v>
      </c>
      <c r="CY250">
        <f t="shared" si="267"/>
        <v>0</v>
      </c>
      <c r="CZ250">
        <f t="shared" si="268"/>
        <v>0</v>
      </c>
      <c r="DC250" t="s">
        <v>6</v>
      </c>
      <c r="DD250" t="s">
        <v>6</v>
      </c>
      <c r="DE250" t="s">
        <v>6</v>
      </c>
      <c r="DF250" t="s">
        <v>6</v>
      </c>
      <c r="DG250" t="s">
        <v>6</v>
      </c>
      <c r="DH250" t="s">
        <v>6</v>
      </c>
      <c r="DI250" t="s">
        <v>6</v>
      </c>
      <c r="DJ250" t="s">
        <v>6</v>
      </c>
      <c r="DK250" t="s">
        <v>6</v>
      </c>
      <c r="DL250" t="s">
        <v>6</v>
      </c>
      <c r="DM250" t="s">
        <v>6</v>
      </c>
      <c r="DN250">
        <v>0</v>
      </c>
      <c r="DO250">
        <v>0</v>
      </c>
      <c r="DP250">
        <v>1</v>
      </c>
      <c r="DQ250">
        <v>1</v>
      </c>
      <c r="DU250">
        <v>1003</v>
      </c>
      <c r="DV250" t="s">
        <v>392</v>
      </c>
      <c r="DW250" t="s">
        <v>392</v>
      </c>
      <c r="DX250">
        <v>10</v>
      </c>
      <c r="EE250">
        <v>16609228</v>
      </c>
      <c r="EF250">
        <v>3</v>
      </c>
      <c r="EG250" t="s">
        <v>491</v>
      </c>
      <c r="EH250">
        <v>0</v>
      </c>
      <c r="EI250" t="s">
        <v>6</v>
      </c>
      <c r="EJ250">
        <v>2</v>
      </c>
      <c r="EK250">
        <v>108001</v>
      </c>
      <c r="EL250" t="s">
        <v>492</v>
      </c>
      <c r="EM250" t="s">
        <v>493</v>
      </c>
      <c r="EO250" t="s">
        <v>6</v>
      </c>
      <c r="EQ250">
        <v>0</v>
      </c>
      <c r="ER250">
        <v>149.84</v>
      </c>
      <c r="ES250">
        <v>149.84</v>
      </c>
      <c r="ET250">
        <v>0</v>
      </c>
      <c r="EU250">
        <v>0</v>
      </c>
      <c r="EV250">
        <v>0</v>
      </c>
      <c r="EW250">
        <v>0</v>
      </c>
      <c r="EX250">
        <v>0</v>
      </c>
      <c r="FQ250">
        <v>0</v>
      </c>
      <c r="FR250">
        <f t="shared" si="269"/>
        <v>0</v>
      </c>
      <c r="FS250">
        <v>0</v>
      </c>
      <c r="FX250">
        <v>95</v>
      </c>
      <c r="FY250">
        <v>65</v>
      </c>
      <c r="GA250" t="s">
        <v>6</v>
      </c>
      <c r="GD250">
        <v>0</v>
      </c>
      <c r="GF250">
        <v>-1778239840</v>
      </c>
      <c r="GG250">
        <v>1</v>
      </c>
      <c r="GH250">
        <v>1</v>
      </c>
      <c r="GI250">
        <v>4</v>
      </c>
      <c r="GJ250">
        <v>0</v>
      </c>
      <c r="GK250">
        <f>ROUND(R250*(R12)/100,2)</f>
        <v>0</v>
      </c>
      <c r="GL250">
        <f t="shared" si="270"/>
        <v>0</v>
      </c>
      <c r="GM250">
        <f t="shared" si="271"/>
        <v>2264.92</v>
      </c>
      <c r="GN250">
        <f t="shared" si="272"/>
        <v>0</v>
      </c>
      <c r="GO250">
        <f t="shared" si="273"/>
        <v>2264.92</v>
      </c>
      <c r="GP250">
        <f t="shared" si="274"/>
        <v>0</v>
      </c>
      <c r="GR250">
        <v>0</v>
      </c>
      <c r="GS250">
        <v>3</v>
      </c>
      <c r="GT250">
        <v>0</v>
      </c>
      <c r="GU250" t="s">
        <v>6</v>
      </c>
      <c r="GV250">
        <f t="shared" si="275"/>
        <v>0</v>
      </c>
      <c r="GW250">
        <v>1</v>
      </c>
      <c r="GX250">
        <f t="shared" si="276"/>
        <v>0</v>
      </c>
      <c r="HA250">
        <v>0</v>
      </c>
      <c r="HB250">
        <v>0</v>
      </c>
      <c r="HC250">
        <f t="shared" si="277"/>
        <v>0</v>
      </c>
      <c r="IK250">
        <v>0</v>
      </c>
    </row>
    <row r="251" spans="1:245" x14ac:dyDescent="0.2">
      <c r="A251">
        <v>17</v>
      </c>
      <c r="B251">
        <v>1</v>
      </c>
      <c r="C251">
        <f>ROW(SmtRes!A527)</f>
        <v>527</v>
      </c>
      <c r="D251">
        <f>ROW(EtalonRes!A511)</f>
        <v>511</v>
      </c>
      <c r="E251" t="s">
        <v>721</v>
      </c>
      <c r="F251" t="s">
        <v>722</v>
      </c>
      <c r="G251" t="s">
        <v>723</v>
      </c>
      <c r="H251" t="s">
        <v>724</v>
      </c>
      <c r="I251">
        <f>ROUND(37.108/100,9)</f>
        <v>0.37108000000000002</v>
      </c>
      <c r="J251">
        <v>0</v>
      </c>
      <c r="O251">
        <f t="shared" si="242"/>
        <v>397.59</v>
      </c>
      <c r="P251">
        <f t="shared" si="243"/>
        <v>0</v>
      </c>
      <c r="Q251">
        <f t="shared" si="244"/>
        <v>16.54</v>
      </c>
      <c r="R251">
        <f t="shared" si="245"/>
        <v>7.14</v>
      </c>
      <c r="S251">
        <f t="shared" si="246"/>
        <v>381.05</v>
      </c>
      <c r="T251">
        <f t="shared" si="247"/>
        <v>0</v>
      </c>
      <c r="U251">
        <f t="shared" si="248"/>
        <v>6.7907640000000002</v>
      </c>
      <c r="V251">
        <f t="shared" si="249"/>
        <v>7.4216000000000004E-2</v>
      </c>
      <c r="W251">
        <f t="shared" si="250"/>
        <v>0</v>
      </c>
      <c r="X251">
        <f t="shared" si="251"/>
        <v>287.26</v>
      </c>
      <c r="Y251">
        <f t="shared" si="252"/>
        <v>194.1</v>
      </c>
      <c r="AA251">
        <v>16630606</v>
      </c>
      <c r="AB251">
        <f t="shared" si="253"/>
        <v>150.27000000000001</v>
      </c>
      <c r="AC251">
        <f t="shared" si="278"/>
        <v>0</v>
      </c>
      <c r="AD251">
        <f>ROUND((((ET251)-(EU251))+AE251),2)</f>
        <v>6.25</v>
      </c>
      <c r="AE251">
        <f t="shared" si="254"/>
        <v>2.7</v>
      </c>
      <c r="AF251">
        <f t="shared" si="254"/>
        <v>144.02000000000001</v>
      </c>
      <c r="AG251">
        <f t="shared" si="255"/>
        <v>0</v>
      </c>
      <c r="AH251">
        <f t="shared" si="256"/>
        <v>18.3</v>
      </c>
      <c r="AI251">
        <f t="shared" si="256"/>
        <v>0.2</v>
      </c>
      <c r="AJ251">
        <f t="shared" si="257"/>
        <v>0</v>
      </c>
      <c r="AK251">
        <v>150.27000000000001</v>
      </c>
      <c r="AL251">
        <v>0</v>
      </c>
      <c r="AM251">
        <v>6.25</v>
      </c>
      <c r="AN251">
        <v>2.7</v>
      </c>
      <c r="AO251">
        <v>144.02000000000001</v>
      </c>
      <c r="AP251">
        <v>0</v>
      </c>
      <c r="AQ251">
        <v>18.3</v>
      </c>
      <c r="AR251">
        <v>0.2</v>
      </c>
      <c r="AS251">
        <v>0</v>
      </c>
      <c r="AT251">
        <v>74</v>
      </c>
      <c r="AU251">
        <v>50</v>
      </c>
      <c r="AV251">
        <v>1</v>
      </c>
      <c r="AW251">
        <v>1</v>
      </c>
      <c r="AZ251">
        <v>7.13</v>
      </c>
      <c r="BA251">
        <v>7.13</v>
      </c>
      <c r="BB251">
        <v>7.13</v>
      </c>
      <c r="BC251">
        <v>7.13</v>
      </c>
      <c r="BD251" t="s">
        <v>6</v>
      </c>
      <c r="BE251" t="s">
        <v>6</v>
      </c>
      <c r="BF251" t="s">
        <v>6</v>
      </c>
      <c r="BG251" t="s">
        <v>6</v>
      </c>
      <c r="BH251">
        <v>0</v>
      </c>
      <c r="BI251">
        <v>1</v>
      </c>
      <c r="BJ251" t="s">
        <v>725</v>
      </c>
      <c r="BM251">
        <v>65003</v>
      </c>
      <c r="BN251">
        <v>0</v>
      </c>
      <c r="BO251" t="s">
        <v>6</v>
      </c>
      <c r="BP251">
        <v>0</v>
      </c>
      <c r="BQ251">
        <v>6</v>
      </c>
      <c r="BR251">
        <v>0</v>
      </c>
      <c r="BS251">
        <v>7.13</v>
      </c>
      <c r="BT251">
        <v>1</v>
      </c>
      <c r="BU251">
        <v>1</v>
      </c>
      <c r="BV251">
        <v>1</v>
      </c>
      <c r="BW251">
        <v>1</v>
      </c>
      <c r="BX251">
        <v>1</v>
      </c>
      <c r="BY251" t="s">
        <v>6</v>
      </c>
      <c r="BZ251">
        <v>74</v>
      </c>
      <c r="CA251">
        <v>50</v>
      </c>
      <c r="CE251">
        <v>0</v>
      </c>
      <c r="CF251">
        <v>0</v>
      </c>
      <c r="CG251">
        <v>0</v>
      </c>
      <c r="CM251">
        <v>0</v>
      </c>
      <c r="CN251" t="s">
        <v>6</v>
      </c>
      <c r="CO251">
        <v>0</v>
      </c>
      <c r="CP251">
        <f t="shared" si="258"/>
        <v>397.59000000000003</v>
      </c>
      <c r="CQ251">
        <f t="shared" si="259"/>
        <v>0</v>
      </c>
      <c r="CR251">
        <f t="shared" si="260"/>
        <v>44.5625</v>
      </c>
      <c r="CS251">
        <f t="shared" si="261"/>
        <v>19.251000000000001</v>
      </c>
      <c r="CT251">
        <f t="shared" si="262"/>
        <v>1026.8626000000002</v>
      </c>
      <c r="CU251">
        <f t="shared" si="263"/>
        <v>0</v>
      </c>
      <c r="CV251">
        <f t="shared" si="264"/>
        <v>18.3</v>
      </c>
      <c r="CW251">
        <f t="shared" si="265"/>
        <v>0.2</v>
      </c>
      <c r="CX251">
        <f t="shared" si="266"/>
        <v>0</v>
      </c>
      <c r="CY251">
        <f t="shared" si="267"/>
        <v>287.26060000000001</v>
      </c>
      <c r="CZ251">
        <f t="shared" si="268"/>
        <v>194.095</v>
      </c>
      <c r="DC251" t="s">
        <v>6</v>
      </c>
      <c r="DD251" t="s">
        <v>6</v>
      </c>
      <c r="DE251" t="s">
        <v>6</v>
      </c>
      <c r="DF251" t="s">
        <v>6</v>
      </c>
      <c r="DG251" t="s">
        <v>6</v>
      </c>
      <c r="DH251" t="s">
        <v>6</v>
      </c>
      <c r="DI251" t="s">
        <v>6</v>
      </c>
      <c r="DJ251" t="s">
        <v>6</v>
      </c>
      <c r="DK251" t="s">
        <v>6</v>
      </c>
      <c r="DL251" t="s">
        <v>6</v>
      </c>
      <c r="DM251" t="s">
        <v>6</v>
      </c>
      <c r="DN251">
        <v>0</v>
      </c>
      <c r="DO251">
        <v>0</v>
      </c>
      <c r="DP251">
        <v>1</v>
      </c>
      <c r="DQ251">
        <v>1</v>
      </c>
      <c r="DU251">
        <v>1013</v>
      </c>
      <c r="DV251" t="s">
        <v>724</v>
      </c>
      <c r="DW251" t="s">
        <v>724</v>
      </c>
      <c r="DX251">
        <v>1</v>
      </c>
      <c r="EE251">
        <v>16609192</v>
      </c>
      <c r="EF251">
        <v>6</v>
      </c>
      <c r="EG251" t="s">
        <v>39</v>
      </c>
      <c r="EH251">
        <v>0</v>
      </c>
      <c r="EI251" t="s">
        <v>6</v>
      </c>
      <c r="EJ251">
        <v>1</v>
      </c>
      <c r="EK251">
        <v>65003</v>
      </c>
      <c r="EL251" t="s">
        <v>713</v>
      </c>
      <c r="EM251" t="s">
        <v>714</v>
      </c>
      <c r="EO251" t="s">
        <v>6</v>
      </c>
      <c r="EQ251">
        <v>131072</v>
      </c>
      <c r="ER251">
        <v>150.27000000000001</v>
      </c>
      <c r="ES251">
        <v>0</v>
      </c>
      <c r="ET251">
        <v>6.25</v>
      </c>
      <c r="EU251">
        <v>2.7</v>
      </c>
      <c r="EV251">
        <v>144.02000000000001</v>
      </c>
      <c r="EW251">
        <v>18.3</v>
      </c>
      <c r="EX251">
        <v>0.2</v>
      </c>
      <c r="EY251">
        <v>0</v>
      </c>
      <c r="FQ251">
        <v>0</v>
      </c>
      <c r="FR251">
        <f t="shared" si="269"/>
        <v>0</v>
      </c>
      <c r="FS251">
        <v>0</v>
      </c>
      <c r="FX251">
        <v>74</v>
      </c>
      <c r="FY251">
        <v>50</v>
      </c>
      <c r="GA251" t="s">
        <v>6</v>
      </c>
      <c r="GD251">
        <v>0</v>
      </c>
      <c r="GF251">
        <v>1348882238</v>
      </c>
      <c r="GG251">
        <v>1</v>
      </c>
      <c r="GH251">
        <v>1</v>
      </c>
      <c r="GI251">
        <v>4</v>
      </c>
      <c r="GJ251">
        <v>0</v>
      </c>
      <c r="GK251">
        <f>ROUND(R251*(R12)/100,2)</f>
        <v>0</v>
      </c>
      <c r="GL251">
        <f t="shared" si="270"/>
        <v>0</v>
      </c>
      <c r="GM251">
        <f t="shared" si="271"/>
        <v>878.95</v>
      </c>
      <c r="GN251">
        <f t="shared" si="272"/>
        <v>878.95</v>
      </c>
      <c r="GO251">
        <f t="shared" si="273"/>
        <v>0</v>
      </c>
      <c r="GP251">
        <f t="shared" si="274"/>
        <v>0</v>
      </c>
      <c r="GR251">
        <v>0</v>
      </c>
      <c r="GS251">
        <v>3</v>
      </c>
      <c r="GT251">
        <v>0</v>
      </c>
      <c r="GU251" t="s">
        <v>6</v>
      </c>
      <c r="GV251">
        <f t="shared" si="275"/>
        <v>0</v>
      </c>
      <c r="GW251">
        <v>1</v>
      </c>
      <c r="GX251">
        <f t="shared" si="276"/>
        <v>0</v>
      </c>
      <c r="HA251">
        <v>0</v>
      </c>
      <c r="HB251">
        <v>0</v>
      </c>
      <c r="HC251">
        <f t="shared" si="277"/>
        <v>0</v>
      </c>
      <c r="IK251">
        <v>0</v>
      </c>
    </row>
    <row r="252" spans="1:245" x14ac:dyDescent="0.2">
      <c r="A252">
        <v>17</v>
      </c>
      <c r="B252">
        <v>1</v>
      </c>
      <c r="C252">
        <f>ROW(SmtRes!A544)</f>
        <v>544</v>
      </c>
      <c r="D252">
        <f>ROW(EtalonRes!A528)</f>
        <v>528</v>
      </c>
      <c r="E252" t="s">
        <v>726</v>
      </c>
      <c r="F252" t="s">
        <v>727</v>
      </c>
      <c r="G252" t="s">
        <v>728</v>
      </c>
      <c r="H252" t="s">
        <v>57</v>
      </c>
      <c r="I252">
        <f>ROUND(66.9/100,9)</f>
        <v>0.66900000000000004</v>
      </c>
      <c r="J252">
        <v>0</v>
      </c>
      <c r="O252">
        <f t="shared" si="242"/>
        <v>2106.1799999999998</v>
      </c>
      <c r="P252">
        <f t="shared" si="243"/>
        <v>133.03</v>
      </c>
      <c r="Q252">
        <f t="shared" si="244"/>
        <v>233.3</v>
      </c>
      <c r="R252">
        <f t="shared" si="245"/>
        <v>36.299999999999997</v>
      </c>
      <c r="S252">
        <f t="shared" si="246"/>
        <v>1739.85</v>
      </c>
      <c r="T252">
        <f t="shared" si="247"/>
        <v>0</v>
      </c>
      <c r="U252">
        <f t="shared" si="248"/>
        <v>25.365469499999996</v>
      </c>
      <c r="V252">
        <f t="shared" si="249"/>
        <v>0.41812500000000002</v>
      </c>
      <c r="W252">
        <f t="shared" si="250"/>
        <v>0</v>
      </c>
      <c r="X252">
        <f t="shared" si="251"/>
        <v>2042.57</v>
      </c>
      <c r="Y252">
        <f t="shared" si="252"/>
        <v>1261.07</v>
      </c>
      <c r="AA252">
        <v>16630606</v>
      </c>
      <c r="AB252">
        <f t="shared" si="253"/>
        <v>441.55</v>
      </c>
      <c r="AC252">
        <f t="shared" si="278"/>
        <v>27.89</v>
      </c>
      <c r="AD252">
        <f>ROUND(((((ET252*1.25))-((EU252*1.25)))+AE252),2)</f>
        <v>48.91</v>
      </c>
      <c r="AE252">
        <f>ROUND(((EU252*1.25)),2)</f>
        <v>7.61</v>
      </c>
      <c r="AF252">
        <f>ROUND(((EV252*1.15)),2)</f>
        <v>364.75</v>
      </c>
      <c r="AG252">
        <f t="shared" si="255"/>
        <v>0</v>
      </c>
      <c r="AH252">
        <f>((EW252*1.15))</f>
        <v>37.915499999999994</v>
      </c>
      <c r="AI252">
        <f>((EX252*1.25))</f>
        <v>0.625</v>
      </c>
      <c r="AJ252">
        <f t="shared" si="257"/>
        <v>0</v>
      </c>
      <c r="AK252">
        <v>384.19</v>
      </c>
      <c r="AL252">
        <v>27.89</v>
      </c>
      <c r="AM252">
        <v>39.130000000000003</v>
      </c>
      <c r="AN252">
        <v>6.09</v>
      </c>
      <c r="AO252">
        <v>317.17</v>
      </c>
      <c r="AP252">
        <v>0</v>
      </c>
      <c r="AQ252">
        <v>32.97</v>
      </c>
      <c r="AR252">
        <v>0.5</v>
      </c>
      <c r="AS252">
        <v>0</v>
      </c>
      <c r="AT252">
        <v>115</v>
      </c>
      <c r="AU252">
        <v>71</v>
      </c>
      <c r="AV252">
        <v>1</v>
      </c>
      <c r="AW252">
        <v>1</v>
      </c>
      <c r="AZ252">
        <v>7.13</v>
      </c>
      <c r="BA252">
        <v>7.13</v>
      </c>
      <c r="BB252">
        <v>7.13</v>
      </c>
      <c r="BC252">
        <v>7.13</v>
      </c>
      <c r="BD252" t="s">
        <v>6</v>
      </c>
      <c r="BE252" t="s">
        <v>6</v>
      </c>
      <c r="BF252" t="s">
        <v>6</v>
      </c>
      <c r="BG252" t="s">
        <v>6</v>
      </c>
      <c r="BH252">
        <v>0</v>
      </c>
      <c r="BI252">
        <v>1</v>
      </c>
      <c r="BJ252" t="s">
        <v>729</v>
      </c>
      <c r="BM252">
        <v>16001</v>
      </c>
      <c r="BN252">
        <v>0</v>
      </c>
      <c r="BO252" t="s">
        <v>6</v>
      </c>
      <c r="BP252">
        <v>0</v>
      </c>
      <c r="BQ252">
        <v>2</v>
      </c>
      <c r="BR252">
        <v>0</v>
      </c>
      <c r="BS252">
        <v>7.13</v>
      </c>
      <c r="BT252">
        <v>1</v>
      </c>
      <c r="BU252">
        <v>1</v>
      </c>
      <c r="BV252">
        <v>1</v>
      </c>
      <c r="BW252">
        <v>1</v>
      </c>
      <c r="BX252">
        <v>1</v>
      </c>
      <c r="BY252" t="s">
        <v>6</v>
      </c>
      <c r="BZ252">
        <v>128</v>
      </c>
      <c r="CA252">
        <v>83</v>
      </c>
      <c r="CE252">
        <v>0</v>
      </c>
      <c r="CF252">
        <v>0</v>
      </c>
      <c r="CG252">
        <v>0</v>
      </c>
      <c r="CM252">
        <v>0</v>
      </c>
      <c r="CN252" t="s">
        <v>1758</v>
      </c>
      <c r="CO252">
        <v>0</v>
      </c>
      <c r="CP252">
        <f t="shared" si="258"/>
        <v>2106.1799999999998</v>
      </c>
      <c r="CQ252">
        <f t="shared" si="259"/>
        <v>198.85570000000001</v>
      </c>
      <c r="CR252">
        <f t="shared" si="260"/>
        <v>348.72829999999999</v>
      </c>
      <c r="CS252">
        <f t="shared" si="261"/>
        <v>54.259300000000003</v>
      </c>
      <c r="CT252">
        <f t="shared" si="262"/>
        <v>2600.6675</v>
      </c>
      <c r="CU252">
        <f t="shared" si="263"/>
        <v>0</v>
      </c>
      <c r="CV252">
        <f t="shared" si="264"/>
        <v>37.915499999999994</v>
      </c>
      <c r="CW252">
        <f t="shared" si="265"/>
        <v>0.625</v>
      </c>
      <c r="CX252">
        <f t="shared" si="266"/>
        <v>0</v>
      </c>
      <c r="CY252">
        <f t="shared" si="267"/>
        <v>2042.5724999999998</v>
      </c>
      <c r="CZ252">
        <f t="shared" si="268"/>
        <v>1261.0664999999999</v>
      </c>
      <c r="DC252" t="s">
        <v>6</v>
      </c>
      <c r="DD252" t="s">
        <v>6</v>
      </c>
      <c r="DE252" t="s">
        <v>81</v>
      </c>
      <c r="DF252" t="s">
        <v>81</v>
      </c>
      <c r="DG252" t="s">
        <v>82</v>
      </c>
      <c r="DH252" t="s">
        <v>6</v>
      </c>
      <c r="DI252" t="s">
        <v>82</v>
      </c>
      <c r="DJ252" t="s">
        <v>81</v>
      </c>
      <c r="DK252" t="s">
        <v>6</v>
      </c>
      <c r="DL252" t="s">
        <v>6</v>
      </c>
      <c r="DM252" t="s">
        <v>6</v>
      </c>
      <c r="DN252">
        <v>0</v>
      </c>
      <c r="DO252">
        <v>0</v>
      </c>
      <c r="DP252">
        <v>1</v>
      </c>
      <c r="DQ252">
        <v>1</v>
      </c>
      <c r="DU252">
        <v>1003</v>
      </c>
      <c r="DV252" t="s">
        <v>57</v>
      </c>
      <c r="DW252" t="s">
        <v>57</v>
      </c>
      <c r="DX252">
        <v>100</v>
      </c>
      <c r="EE252">
        <v>16609131</v>
      </c>
      <c r="EF252">
        <v>2</v>
      </c>
      <c r="EG252" t="s">
        <v>14</v>
      </c>
      <c r="EH252">
        <v>0</v>
      </c>
      <c r="EI252" t="s">
        <v>6</v>
      </c>
      <c r="EJ252">
        <v>1</v>
      </c>
      <c r="EK252">
        <v>16001</v>
      </c>
      <c r="EL252" t="s">
        <v>730</v>
      </c>
      <c r="EM252" t="s">
        <v>731</v>
      </c>
      <c r="EO252" t="s">
        <v>83</v>
      </c>
      <c r="EQ252">
        <v>131072</v>
      </c>
      <c r="ER252">
        <v>384.19</v>
      </c>
      <c r="ES252">
        <v>27.89</v>
      </c>
      <c r="ET252">
        <v>39.130000000000003</v>
      </c>
      <c r="EU252">
        <v>6.09</v>
      </c>
      <c r="EV252">
        <v>317.17</v>
      </c>
      <c r="EW252">
        <v>32.97</v>
      </c>
      <c r="EX252">
        <v>0.5</v>
      </c>
      <c r="EY252">
        <v>0</v>
      </c>
      <c r="FQ252">
        <v>0</v>
      </c>
      <c r="FR252">
        <f t="shared" si="269"/>
        <v>0</v>
      </c>
      <c r="FS252">
        <v>0</v>
      </c>
      <c r="FT252" t="s">
        <v>22</v>
      </c>
      <c r="FU252" t="s">
        <v>23</v>
      </c>
      <c r="FX252">
        <v>115.2</v>
      </c>
      <c r="FY252">
        <v>70.55</v>
      </c>
      <c r="GA252" t="s">
        <v>6</v>
      </c>
      <c r="GD252">
        <v>0</v>
      </c>
      <c r="GF252">
        <v>-551542446</v>
      </c>
      <c r="GG252">
        <v>1</v>
      </c>
      <c r="GH252">
        <v>1</v>
      </c>
      <c r="GI252">
        <v>4</v>
      </c>
      <c r="GJ252">
        <v>0</v>
      </c>
      <c r="GK252">
        <f>ROUND(R252*(R12)/100,2)</f>
        <v>0</v>
      </c>
      <c r="GL252">
        <f t="shared" si="270"/>
        <v>0</v>
      </c>
      <c r="GM252">
        <f t="shared" si="271"/>
        <v>5409.82</v>
      </c>
      <c r="GN252">
        <f t="shared" si="272"/>
        <v>5409.82</v>
      </c>
      <c r="GO252">
        <f t="shared" si="273"/>
        <v>0</v>
      </c>
      <c r="GP252">
        <f t="shared" si="274"/>
        <v>0</v>
      </c>
      <c r="GR252">
        <v>0</v>
      </c>
      <c r="GS252">
        <v>3</v>
      </c>
      <c r="GT252">
        <v>0</v>
      </c>
      <c r="GU252" t="s">
        <v>6</v>
      </c>
      <c r="GV252">
        <f t="shared" si="275"/>
        <v>0</v>
      </c>
      <c r="GW252">
        <v>1</v>
      </c>
      <c r="GX252">
        <f t="shared" si="276"/>
        <v>0</v>
      </c>
      <c r="HA252">
        <v>0</v>
      </c>
      <c r="HB252">
        <v>0</v>
      </c>
      <c r="HC252">
        <f t="shared" si="277"/>
        <v>0</v>
      </c>
      <c r="IK252">
        <v>0</v>
      </c>
    </row>
    <row r="253" spans="1:245" x14ac:dyDescent="0.2">
      <c r="A253">
        <v>18</v>
      </c>
      <c r="B253">
        <v>1</v>
      </c>
      <c r="C253">
        <v>542</v>
      </c>
      <c r="E253" t="s">
        <v>732</v>
      </c>
      <c r="F253" t="s">
        <v>733</v>
      </c>
      <c r="G253" t="s">
        <v>734</v>
      </c>
      <c r="H253" t="s">
        <v>616</v>
      </c>
      <c r="I253">
        <f>I252*J253</f>
        <v>3.4</v>
      </c>
      <c r="J253">
        <v>5.0822122571001493</v>
      </c>
      <c r="O253">
        <f t="shared" si="242"/>
        <v>799.99</v>
      </c>
      <c r="P253">
        <f t="shared" si="243"/>
        <v>799.99</v>
      </c>
      <c r="Q253">
        <f t="shared" si="244"/>
        <v>0</v>
      </c>
      <c r="R253">
        <f t="shared" si="245"/>
        <v>0</v>
      </c>
      <c r="S253">
        <f t="shared" si="246"/>
        <v>0</v>
      </c>
      <c r="T253">
        <f t="shared" si="247"/>
        <v>0</v>
      </c>
      <c r="U253">
        <f t="shared" si="248"/>
        <v>0</v>
      </c>
      <c r="V253">
        <f t="shared" si="249"/>
        <v>0</v>
      </c>
      <c r="W253">
        <f t="shared" si="250"/>
        <v>0</v>
      </c>
      <c r="X253">
        <f t="shared" si="251"/>
        <v>0</v>
      </c>
      <c r="Y253">
        <f t="shared" si="252"/>
        <v>0</v>
      </c>
      <c r="AA253">
        <v>16630606</v>
      </c>
      <c r="AB253">
        <f t="shared" si="253"/>
        <v>33</v>
      </c>
      <c r="AC253">
        <f t="shared" si="278"/>
        <v>33</v>
      </c>
      <c r="AD253">
        <f>ROUND((((ET253)-(EU253))+AE253),2)</f>
        <v>0</v>
      </c>
      <c r="AE253">
        <f t="shared" ref="AE253:AF255" si="279">ROUND((EU253),2)</f>
        <v>0</v>
      </c>
      <c r="AF253">
        <f t="shared" si="279"/>
        <v>0</v>
      </c>
      <c r="AG253">
        <f t="shared" si="255"/>
        <v>0</v>
      </c>
      <c r="AH253">
        <f t="shared" ref="AH253:AI255" si="280">(EW253)</f>
        <v>0</v>
      </c>
      <c r="AI253">
        <f t="shared" si="280"/>
        <v>0</v>
      </c>
      <c r="AJ253">
        <f t="shared" si="257"/>
        <v>0</v>
      </c>
      <c r="AK253">
        <v>33</v>
      </c>
      <c r="AL253">
        <v>33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115</v>
      </c>
      <c r="AU253">
        <v>71</v>
      </c>
      <c r="AV253">
        <v>1</v>
      </c>
      <c r="AW253">
        <v>1</v>
      </c>
      <c r="AZ253">
        <v>7.13</v>
      </c>
      <c r="BA253">
        <v>1</v>
      </c>
      <c r="BB253">
        <v>1</v>
      </c>
      <c r="BC253">
        <v>7.13</v>
      </c>
      <c r="BD253" t="s">
        <v>6</v>
      </c>
      <c r="BE253" t="s">
        <v>6</v>
      </c>
      <c r="BF253" t="s">
        <v>6</v>
      </c>
      <c r="BG253" t="s">
        <v>6</v>
      </c>
      <c r="BH253">
        <v>3</v>
      </c>
      <c r="BI253">
        <v>1</v>
      </c>
      <c r="BJ253" t="s">
        <v>735</v>
      </c>
      <c r="BM253">
        <v>16001</v>
      </c>
      <c r="BN253">
        <v>0</v>
      </c>
      <c r="BO253" t="s">
        <v>6</v>
      </c>
      <c r="BP253">
        <v>0</v>
      </c>
      <c r="BQ253">
        <v>2</v>
      </c>
      <c r="BR253">
        <v>0</v>
      </c>
      <c r="BS253">
        <v>1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6</v>
      </c>
      <c r="BZ253">
        <v>128</v>
      </c>
      <c r="CA253">
        <v>83</v>
      </c>
      <c r="CE253">
        <v>0</v>
      </c>
      <c r="CF253">
        <v>0</v>
      </c>
      <c r="CG253">
        <v>0</v>
      </c>
      <c r="CM253">
        <v>0</v>
      </c>
      <c r="CN253" t="s">
        <v>6</v>
      </c>
      <c r="CO253">
        <v>0</v>
      </c>
      <c r="CP253">
        <f t="shared" si="258"/>
        <v>799.99</v>
      </c>
      <c r="CQ253">
        <f t="shared" si="259"/>
        <v>235.29</v>
      </c>
      <c r="CR253">
        <f t="shared" si="260"/>
        <v>0</v>
      </c>
      <c r="CS253">
        <f t="shared" si="261"/>
        <v>0</v>
      </c>
      <c r="CT253">
        <f t="shared" si="262"/>
        <v>0</v>
      </c>
      <c r="CU253">
        <f t="shared" si="263"/>
        <v>0</v>
      </c>
      <c r="CV253">
        <f t="shared" si="264"/>
        <v>0</v>
      </c>
      <c r="CW253">
        <f t="shared" si="265"/>
        <v>0</v>
      </c>
      <c r="CX253">
        <f t="shared" si="266"/>
        <v>0</v>
      </c>
      <c r="CY253">
        <f t="shared" si="267"/>
        <v>0</v>
      </c>
      <c r="CZ253">
        <f t="shared" si="268"/>
        <v>0</v>
      </c>
      <c r="DC253" t="s">
        <v>6</v>
      </c>
      <c r="DD253" t="s">
        <v>6</v>
      </c>
      <c r="DE253" t="s">
        <v>6</v>
      </c>
      <c r="DF253" t="s">
        <v>6</v>
      </c>
      <c r="DG253" t="s">
        <v>6</v>
      </c>
      <c r="DH253" t="s">
        <v>6</v>
      </c>
      <c r="DI253" t="s">
        <v>6</v>
      </c>
      <c r="DJ253" t="s">
        <v>6</v>
      </c>
      <c r="DK253" t="s">
        <v>6</v>
      </c>
      <c r="DL253" t="s">
        <v>6</v>
      </c>
      <c r="DM253" t="s">
        <v>6</v>
      </c>
      <c r="DN253">
        <v>0</v>
      </c>
      <c r="DO253">
        <v>0</v>
      </c>
      <c r="DP253">
        <v>1</v>
      </c>
      <c r="DQ253">
        <v>1</v>
      </c>
      <c r="DU253">
        <v>1010</v>
      </c>
      <c r="DV253" t="s">
        <v>616</v>
      </c>
      <c r="DW253" t="s">
        <v>616</v>
      </c>
      <c r="DX253">
        <v>10</v>
      </c>
      <c r="EE253">
        <v>16609131</v>
      </c>
      <c r="EF253">
        <v>2</v>
      </c>
      <c r="EG253" t="s">
        <v>14</v>
      </c>
      <c r="EH253">
        <v>0</v>
      </c>
      <c r="EI253" t="s">
        <v>6</v>
      </c>
      <c r="EJ253">
        <v>1</v>
      </c>
      <c r="EK253">
        <v>16001</v>
      </c>
      <c r="EL253" t="s">
        <v>730</v>
      </c>
      <c r="EM253" t="s">
        <v>731</v>
      </c>
      <c r="EO253" t="s">
        <v>6</v>
      </c>
      <c r="EQ253">
        <v>0</v>
      </c>
      <c r="ER253">
        <v>33</v>
      </c>
      <c r="ES253">
        <v>33</v>
      </c>
      <c r="ET253">
        <v>0</v>
      </c>
      <c r="EU253">
        <v>0</v>
      </c>
      <c r="EV253">
        <v>0</v>
      </c>
      <c r="EW253">
        <v>0</v>
      </c>
      <c r="EX253">
        <v>0</v>
      </c>
      <c r="FQ253">
        <v>0</v>
      </c>
      <c r="FR253">
        <f t="shared" si="269"/>
        <v>0</v>
      </c>
      <c r="FS253">
        <v>0</v>
      </c>
      <c r="FT253" t="s">
        <v>22</v>
      </c>
      <c r="FU253" t="s">
        <v>23</v>
      </c>
      <c r="FX253">
        <v>115.2</v>
      </c>
      <c r="FY253">
        <v>70.55</v>
      </c>
      <c r="GA253" t="s">
        <v>6</v>
      </c>
      <c r="GD253">
        <v>0</v>
      </c>
      <c r="GF253">
        <v>-1611190815</v>
      </c>
      <c r="GG253">
        <v>1</v>
      </c>
      <c r="GH253">
        <v>1</v>
      </c>
      <c r="GI253">
        <v>4</v>
      </c>
      <c r="GJ253">
        <v>0</v>
      </c>
      <c r="GK253">
        <f>ROUND(R253*(R12)/100,2)</f>
        <v>0</v>
      </c>
      <c r="GL253">
        <f t="shared" si="270"/>
        <v>0</v>
      </c>
      <c r="GM253">
        <f t="shared" si="271"/>
        <v>799.99</v>
      </c>
      <c r="GN253">
        <f t="shared" si="272"/>
        <v>799.99</v>
      </c>
      <c r="GO253">
        <f t="shared" si="273"/>
        <v>0</v>
      </c>
      <c r="GP253">
        <f t="shared" si="274"/>
        <v>0</v>
      </c>
      <c r="GR253">
        <v>0</v>
      </c>
      <c r="GS253">
        <v>3</v>
      </c>
      <c r="GT253">
        <v>0</v>
      </c>
      <c r="GU253" t="s">
        <v>6</v>
      </c>
      <c r="GV253">
        <f t="shared" si="275"/>
        <v>0</v>
      </c>
      <c r="GW253">
        <v>1</v>
      </c>
      <c r="GX253">
        <f t="shared" si="276"/>
        <v>0</v>
      </c>
      <c r="HA253">
        <v>0</v>
      </c>
      <c r="HB253">
        <v>0</v>
      </c>
      <c r="HC253">
        <f t="shared" si="277"/>
        <v>0</v>
      </c>
      <c r="IK253">
        <v>0</v>
      </c>
    </row>
    <row r="254" spans="1:245" x14ac:dyDescent="0.2">
      <c r="A254">
        <v>18</v>
      </c>
      <c r="B254">
        <v>1</v>
      </c>
      <c r="C254">
        <v>543</v>
      </c>
      <c r="E254" t="s">
        <v>736</v>
      </c>
      <c r="F254" t="s">
        <v>737</v>
      </c>
      <c r="G254" t="s">
        <v>738</v>
      </c>
      <c r="H254" t="s">
        <v>150</v>
      </c>
      <c r="I254">
        <f>I252*J254</f>
        <v>66.900000000000006</v>
      </c>
      <c r="J254">
        <v>100</v>
      </c>
      <c r="O254">
        <f t="shared" si="242"/>
        <v>12974.32</v>
      </c>
      <c r="P254">
        <f t="shared" si="243"/>
        <v>12974.32</v>
      </c>
      <c r="Q254">
        <f t="shared" si="244"/>
        <v>0</v>
      </c>
      <c r="R254">
        <f t="shared" si="245"/>
        <v>0</v>
      </c>
      <c r="S254">
        <f t="shared" si="246"/>
        <v>0</v>
      </c>
      <c r="T254">
        <f t="shared" si="247"/>
        <v>0</v>
      </c>
      <c r="U254">
        <f t="shared" si="248"/>
        <v>0</v>
      </c>
      <c r="V254">
        <f t="shared" si="249"/>
        <v>0</v>
      </c>
      <c r="W254">
        <f t="shared" si="250"/>
        <v>0</v>
      </c>
      <c r="X254">
        <f t="shared" si="251"/>
        <v>0</v>
      </c>
      <c r="Y254">
        <f t="shared" si="252"/>
        <v>0</v>
      </c>
      <c r="AA254">
        <v>16630606</v>
      </c>
      <c r="AB254">
        <f t="shared" si="253"/>
        <v>27.2</v>
      </c>
      <c r="AC254">
        <f t="shared" si="278"/>
        <v>27.2</v>
      </c>
      <c r="AD254">
        <f>ROUND((((ET254)-(EU254))+AE254),2)</f>
        <v>0</v>
      </c>
      <c r="AE254">
        <f t="shared" si="279"/>
        <v>0</v>
      </c>
      <c r="AF254">
        <f t="shared" si="279"/>
        <v>0</v>
      </c>
      <c r="AG254">
        <f t="shared" si="255"/>
        <v>0</v>
      </c>
      <c r="AH254">
        <f t="shared" si="280"/>
        <v>0</v>
      </c>
      <c r="AI254">
        <f t="shared" si="280"/>
        <v>0</v>
      </c>
      <c r="AJ254">
        <f t="shared" si="257"/>
        <v>0</v>
      </c>
      <c r="AK254">
        <v>27.2</v>
      </c>
      <c r="AL254">
        <v>27.2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115</v>
      </c>
      <c r="AU254">
        <v>71</v>
      </c>
      <c r="AV254">
        <v>1</v>
      </c>
      <c r="AW254">
        <v>1</v>
      </c>
      <c r="AZ254">
        <v>7.13</v>
      </c>
      <c r="BA254">
        <v>1</v>
      </c>
      <c r="BB254">
        <v>1</v>
      </c>
      <c r="BC254">
        <v>7.13</v>
      </c>
      <c r="BD254" t="s">
        <v>6</v>
      </c>
      <c r="BE254" t="s">
        <v>6</v>
      </c>
      <c r="BF254" t="s">
        <v>6</v>
      </c>
      <c r="BG254" t="s">
        <v>6</v>
      </c>
      <c r="BH254">
        <v>3</v>
      </c>
      <c r="BI254">
        <v>1</v>
      </c>
      <c r="BJ254" t="s">
        <v>739</v>
      </c>
      <c r="BM254">
        <v>16001</v>
      </c>
      <c r="BN254">
        <v>0</v>
      </c>
      <c r="BO254" t="s">
        <v>6</v>
      </c>
      <c r="BP254">
        <v>0</v>
      </c>
      <c r="BQ254">
        <v>2</v>
      </c>
      <c r="BR254">
        <v>0</v>
      </c>
      <c r="BS254">
        <v>1</v>
      </c>
      <c r="BT254">
        <v>1</v>
      </c>
      <c r="BU254">
        <v>1</v>
      </c>
      <c r="BV254">
        <v>1</v>
      </c>
      <c r="BW254">
        <v>1</v>
      </c>
      <c r="BX254">
        <v>1</v>
      </c>
      <c r="BY254" t="s">
        <v>6</v>
      </c>
      <c r="BZ254">
        <v>128</v>
      </c>
      <c r="CA254">
        <v>83</v>
      </c>
      <c r="CE254">
        <v>0</v>
      </c>
      <c r="CF254">
        <v>0</v>
      </c>
      <c r="CG254">
        <v>0</v>
      </c>
      <c r="CM254">
        <v>0</v>
      </c>
      <c r="CN254" t="s">
        <v>6</v>
      </c>
      <c r="CO254">
        <v>0</v>
      </c>
      <c r="CP254">
        <f t="shared" si="258"/>
        <v>12974.32</v>
      </c>
      <c r="CQ254">
        <f t="shared" si="259"/>
        <v>193.93599999999998</v>
      </c>
      <c r="CR254">
        <f t="shared" si="260"/>
        <v>0</v>
      </c>
      <c r="CS254">
        <f t="shared" si="261"/>
        <v>0</v>
      </c>
      <c r="CT254">
        <f t="shared" si="262"/>
        <v>0</v>
      </c>
      <c r="CU254">
        <f t="shared" si="263"/>
        <v>0</v>
      </c>
      <c r="CV254">
        <f t="shared" si="264"/>
        <v>0</v>
      </c>
      <c r="CW254">
        <f t="shared" si="265"/>
        <v>0</v>
      </c>
      <c r="CX254">
        <f t="shared" si="266"/>
        <v>0</v>
      </c>
      <c r="CY254">
        <f t="shared" si="267"/>
        <v>0</v>
      </c>
      <c r="CZ254">
        <f t="shared" si="268"/>
        <v>0</v>
      </c>
      <c r="DC254" t="s">
        <v>6</v>
      </c>
      <c r="DD254" t="s">
        <v>6</v>
      </c>
      <c r="DE254" t="s">
        <v>6</v>
      </c>
      <c r="DF254" t="s">
        <v>6</v>
      </c>
      <c r="DG254" t="s">
        <v>6</v>
      </c>
      <c r="DH254" t="s">
        <v>6</v>
      </c>
      <c r="DI254" t="s">
        <v>6</v>
      </c>
      <c r="DJ254" t="s">
        <v>6</v>
      </c>
      <c r="DK254" t="s">
        <v>6</v>
      </c>
      <c r="DL254" t="s">
        <v>6</v>
      </c>
      <c r="DM254" t="s">
        <v>6</v>
      </c>
      <c r="DN254">
        <v>0</v>
      </c>
      <c r="DO254">
        <v>0</v>
      </c>
      <c r="DP254">
        <v>1</v>
      </c>
      <c r="DQ254">
        <v>1</v>
      </c>
      <c r="DU254">
        <v>1003</v>
      </c>
      <c r="DV254" t="s">
        <v>150</v>
      </c>
      <c r="DW254" t="s">
        <v>150</v>
      </c>
      <c r="DX254">
        <v>1</v>
      </c>
      <c r="EE254">
        <v>16609131</v>
      </c>
      <c r="EF254">
        <v>2</v>
      </c>
      <c r="EG254" t="s">
        <v>14</v>
      </c>
      <c r="EH254">
        <v>0</v>
      </c>
      <c r="EI254" t="s">
        <v>6</v>
      </c>
      <c r="EJ254">
        <v>1</v>
      </c>
      <c r="EK254">
        <v>16001</v>
      </c>
      <c r="EL254" t="s">
        <v>730</v>
      </c>
      <c r="EM254" t="s">
        <v>731</v>
      </c>
      <c r="EO254" t="s">
        <v>6</v>
      </c>
      <c r="EQ254">
        <v>0</v>
      </c>
      <c r="ER254">
        <v>27.2</v>
      </c>
      <c r="ES254">
        <v>27.2</v>
      </c>
      <c r="ET254">
        <v>0</v>
      </c>
      <c r="EU254">
        <v>0</v>
      </c>
      <c r="EV254">
        <v>0</v>
      </c>
      <c r="EW254">
        <v>0</v>
      </c>
      <c r="EX254">
        <v>0</v>
      </c>
      <c r="FQ254">
        <v>0</v>
      </c>
      <c r="FR254">
        <f t="shared" si="269"/>
        <v>0</v>
      </c>
      <c r="FS254">
        <v>0</v>
      </c>
      <c r="FT254" t="s">
        <v>22</v>
      </c>
      <c r="FU254" t="s">
        <v>23</v>
      </c>
      <c r="FX254">
        <v>115.2</v>
      </c>
      <c r="FY254">
        <v>70.55</v>
      </c>
      <c r="GA254" t="s">
        <v>6</v>
      </c>
      <c r="GD254">
        <v>0</v>
      </c>
      <c r="GF254">
        <v>-668817604</v>
      </c>
      <c r="GG254">
        <v>1</v>
      </c>
      <c r="GH254">
        <v>1</v>
      </c>
      <c r="GI254">
        <v>4</v>
      </c>
      <c r="GJ254">
        <v>0</v>
      </c>
      <c r="GK254">
        <f>ROUND(R254*(R12)/100,2)</f>
        <v>0</v>
      </c>
      <c r="GL254">
        <f t="shared" si="270"/>
        <v>0</v>
      </c>
      <c r="GM254">
        <f t="shared" si="271"/>
        <v>12974.32</v>
      </c>
      <c r="GN254">
        <f t="shared" si="272"/>
        <v>12974.32</v>
      </c>
      <c r="GO254">
        <f t="shared" si="273"/>
        <v>0</v>
      </c>
      <c r="GP254">
        <f t="shared" si="274"/>
        <v>0</v>
      </c>
      <c r="GR254">
        <v>0</v>
      </c>
      <c r="GS254">
        <v>3</v>
      </c>
      <c r="GT254">
        <v>0</v>
      </c>
      <c r="GU254" t="s">
        <v>6</v>
      </c>
      <c r="GV254">
        <f t="shared" si="275"/>
        <v>0</v>
      </c>
      <c r="GW254">
        <v>1</v>
      </c>
      <c r="GX254">
        <f t="shared" si="276"/>
        <v>0</v>
      </c>
      <c r="HA254">
        <v>0</v>
      </c>
      <c r="HB254">
        <v>0</v>
      </c>
      <c r="HC254">
        <f t="shared" si="277"/>
        <v>0</v>
      </c>
      <c r="IK254">
        <v>0</v>
      </c>
    </row>
    <row r="255" spans="1:245" x14ac:dyDescent="0.2">
      <c r="A255">
        <v>18</v>
      </c>
      <c r="B255">
        <v>1</v>
      </c>
      <c r="C255">
        <v>544</v>
      </c>
      <c r="E255" t="s">
        <v>740</v>
      </c>
      <c r="F255" t="s">
        <v>741</v>
      </c>
      <c r="G255" t="s">
        <v>742</v>
      </c>
      <c r="H255" t="s">
        <v>150</v>
      </c>
      <c r="I255">
        <f>I252*J255</f>
        <v>66.900000000000006</v>
      </c>
      <c r="J255">
        <v>100</v>
      </c>
      <c r="O255">
        <f t="shared" si="242"/>
        <v>0</v>
      </c>
      <c r="P255">
        <f t="shared" si="243"/>
        <v>0</v>
      </c>
      <c r="Q255">
        <f t="shared" si="244"/>
        <v>0</v>
      </c>
      <c r="R255">
        <f t="shared" si="245"/>
        <v>0</v>
      </c>
      <c r="S255">
        <f t="shared" si="246"/>
        <v>0</v>
      </c>
      <c r="T255">
        <f t="shared" si="247"/>
        <v>0</v>
      </c>
      <c r="U255">
        <f t="shared" si="248"/>
        <v>0</v>
      </c>
      <c r="V255">
        <f t="shared" si="249"/>
        <v>0</v>
      </c>
      <c r="W255">
        <f t="shared" si="250"/>
        <v>0</v>
      </c>
      <c r="X255">
        <f t="shared" si="251"/>
        <v>0</v>
      </c>
      <c r="Y255">
        <f t="shared" si="252"/>
        <v>0</v>
      </c>
      <c r="AA255">
        <v>16630606</v>
      </c>
      <c r="AB255">
        <f t="shared" si="253"/>
        <v>0</v>
      </c>
      <c r="AC255">
        <f t="shared" si="278"/>
        <v>0</v>
      </c>
      <c r="AD255">
        <f>ROUND((((ET255)-(EU255))+AE255),2)</f>
        <v>0</v>
      </c>
      <c r="AE255">
        <f t="shared" si="279"/>
        <v>0</v>
      </c>
      <c r="AF255">
        <f t="shared" si="279"/>
        <v>0</v>
      </c>
      <c r="AG255">
        <f t="shared" si="255"/>
        <v>0</v>
      </c>
      <c r="AH255">
        <f t="shared" si="280"/>
        <v>0</v>
      </c>
      <c r="AI255">
        <f t="shared" si="280"/>
        <v>0</v>
      </c>
      <c r="AJ255">
        <f t="shared" si="257"/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115</v>
      </c>
      <c r="AU255">
        <v>71</v>
      </c>
      <c r="AV255">
        <v>1</v>
      </c>
      <c r="AW255">
        <v>1</v>
      </c>
      <c r="AZ255">
        <v>7.13</v>
      </c>
      <c r="BA255">
        <v>1</v>
      </c>
      <c r="BB255">
        <v>1</v>
      </c>
      <c r="BC255">
        <v>7.13</v>
      </c>
      <c r="BD255" t="s">
        <v>6</v>
      </c>
      <c r="BE255" t="s">
        <v>6</v>
      </c>
      <c r="BF255" t="s">
        <v>6</v>
      </c>
      <c r="BG255" t="s">
        <v>6</v>
      </c>
      <c r="BH255">
        <v>3</v>
      </c>
      <c r="BI255">
        <v>1</v>
      </c>
      <c r="BJ255" t="s">
        <v>6</v>
      </c>
      <c r="BM255">
        <v>16001</v>
      </c>
      <c r="BN255">
        <v>0</v>
      </c>
      <c r="BO255" t="s">
        <v>6</v>
      </c>
      <c r="BP255">
        <v>0</v>
      </c>
      <c r="BQ255">
        <v>2</v>
      </c>
      <c r="BR255">
        <v>0</v>
      </c>
      <c r="BS255">
        <v>1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6</v>
      </c>
      <c r="BZ255">
        <v>128</v>
      </c>
      <c r="CA255">
        <v>83</v>
      </c>
      <c r="CE255">
        <v>0</v>
      </c>
      <c r="CF255">
        <v>0</v>
      </c>
      <c r="CG255">
        <v>0</v>
      </c>
      <c r="CM255">
        <v>0</v>
      </c>
      <c r="CN255" t="s">
        <v>6</v>
      </c>
      <c r="CO255">
        <v>0</v>
      </c>
      <c r="CP255">
        <f t="shared" si="258"/>
        <v>0</v>
      </c>
      <c r="CQ255">
        <f t="shared" si="259"/>
        <v>0</v>
      </c>
      <c r="CR255">
        <f t="shared" si="260"/>
        <v>0</v>
      </c>
      <c r="CS255">
        <f t="shared" si="261"/>
        <v>0</v>
      </c>
      <c r="CT255">
        <f t="shared" si="262"/>
        <v>0</v>
      </c>
      <c r="CU255">
        <f t="shared" si="263"/>
        <v>0</v>
      </c>
      <c r="CV255">
        <f t="shared" si="264"/>
        <v>0</v>
      </c>
      <c r="CW255">
        <f t="shared" si="265"/>
        <v>0</v>
      </c>
      <c r="CX255">
        <f t="shared" si="266"/>
        <v>0</v>
      </c>
      <c r="CY255">
        <f t="shared" si="267"/>
        <v>0</v>
      </c>
      <c r="CZ255">
        <f t="shared" si="268"/>
        <v>0</v>
      </c>
      <c r="DC255" t="s">
        <v>6</v>
      </c>
      <c r="DD255" t="s">
        <v>6</v>
      </c>
      <c r="DE255" t="s">
        <v>6</v>
      </c>
      <c r="DF255" t="s">
        <v>6</v>
      </c>
      <c r="DG255" t="s">
        <v>6</v>
      </c>
      <c r="DH255" t="s">
        <v>6</v>
      </c>
      <c r="DI255" t="s">
        <v>6</v>
      </c>
      <c r="DJ255" t="s">
        <v>6</v>
      </c>
      <c r="DK255" t="s">
        <v>6</v>
      </c>
      <c r="DL255" t="s">
        <v>6</v>
      </c>
      <c r="DM255" t="s">
        <v>6</v>
      </c>
      <c r="DN255">
        <v>0</v>
      </c>
      <c r="DO255">
        <v>0</v>
      </c>
      <c r="DP255">
        <v>1</v>
      </c>
      <c r="DQ255">
        <v>1</v>
      </c>
      <c r="DU255">
        <v>1003</v>
      </c>
      <c r="DV255" t="s">
        <v>150</v>
      </c>
      <c r="DW255" t="s">
        <v>150</v>
      </c>
      <c r="DX255">
        <v>1</v>
      </c>
      <c r="EE255">
        <v>16609131</v>
      </c>
      <c r="EF255">
        <v>2</v>
      </c>
      <c r="EG255" t="s">
        <v>14</v>
      </c>
      <c r="EH255">
        <v>0</v>
      </c>
      <c r="EI255" t="s">
        <v>6</v>
      </c>
      <c r="EJ255">
        <v>1</v>
      </c>
      <c r="EK255">
        <v>16001</v>
      </c>
      <c r="EL255" t="s">
        <v>730</v>
      </c>
      <c r="EM255" t="s">
        <v>731</v>
      </c>
      <c r="EO255" t="s">
        <v>6</v>
      </c>
      <c r="EQ255">
        <v>0</v>
      </c>
      <c r="ER255">
        <v>0</v>
      </c>
      <c r="ES255">
        <v>0</v>
      </c>
      <c r="ET255">
        <v>0</v>
      </c>
      <c r="EU255">
        <v>0</v>
      </c>
      <c r="EV255">
        <v>0</v>
      </c>
      <c r="EW255">
        <v>0</v>
      </c>
      <c r="EX255">
        <v>0</v>
      </c>
      <c r="FQ255">
        <v>0</v>
      </c>
      <c r="FR255">
        <f t="shared" si="269"/>
        <v>0</v>
      </c>
      <c r="FS255">
        <v>0</v>
      </c>
      <c r="FT255" t="s">
        <v>22</v>
      </c>
      <c r="FU255" t="s">
        <v>23</v>
      </c>
      <c r="FX255">
        <v>115.2</v>
      </c>
      <c r="FY255">
        <v>70.55</v>
      </c>
      <c r="GA255" t="s">
        <v>743</v>
      </c>
      <c r="GD255">
        <v>0</v>
      </c>
      <c r="GF255">
        <v>594190089</v>
      </c>
      <c r="GG255">
        <v>1</v>
      </c>
      <c r="GH255">
        <v>1</v>
      </c>
      <c r="GI255">
        <v>4</v>
      </c>
      <c r="GJ255">
        <v>0</v>
      </c>
      <c r="GK255">
        <f>ROUND(R255*(R12)/100,2)</f>
        <v>0</v>
      </c>
      <c r="GL255">
        <f t="shared" si="270"/>
        <v>0</v>
      </c>
      <c r="GM255">
        <f t="shared" si="271"/>
        <v>0</v>
      </c>
      <c r="GN255">
        <f t="shared" si="272"/>
        <v>0</v>
      </c>
      <c r="GO255">
        <f t="shared" si="273"/>
        <v>0</v>
      </c>
      <c r="GP255">
        <f t="shared" si="274"/>
        <v>0</v>
      </c>
      <c r="GR255">
        <v>0</v>
      </c>
      <c r="GS255">
        <v>4</v>
      </c>
      <c r="GT255">
        <v>0</v>
      </c>
      <c r="GU255" t="s">
        <v>6</v>
      </c>
      <c r="GV255">
        <f t="shared" si="275"/>
        <v>0</v>
      </c>
      <c r="GW255">
        <v>1</v>
      </c>
      <c r="GX255">
        <f t="shared" si="276"/>
        <v>0</v>
      </c>
      <c r="HA255">
        <v>0</v>
      </c>
      <c r="HB255">
        <v>0</v>
      </c>
      <c r="HC255">
        <f t="shared" si="277"/>
        <v>0</v>
      </c>
      <c r="IK255">
        <v>0</v>
      </c>
    </row>
    <row r="256" spans="1:245" x14ac:dyDescent="0.2">
      <c r="A256">
        <v>17</v>
      </c>
      <c r="B256">
        <v>1</v>
      </c>
      <c r="C256">
        <f>ROW(SmtRes!A561)</f>
        <v>561</v>
      </c>
      <c r="D256">
        <f>ROW(EtalonRes!A545)</f>
        <v>545</v>
      </c>
      <c r="E256" t="s">
        <v>744</v>
      </c>
      <c r="F256" t="s">
        <v>745</v>
      </c>
      <c r="G256" t="s">
        <v>746</v>
      </c>
      <c r="H256" t="s">
        <v>57</v>
      </c>
      <c r="I256">
        <f>ROUND(33.5/100,9)</f>
        <v>0.33500000000000002</v>
      </c>
      <c r="J256">
        <v>0</v>
      </c>
      <c r="O256">
        <f t="shared" si="242"/>
        <v>1053.18</v>
      </c>
      <c r="P256">
        <f t="shared" si="243"/>
        <v>65.14</v>
      </c>
      <c r="Q256">
        <f t="shared" si="244"/>
        <v>116.82</v>
      </c>
      <c r="R256">
        <f t="shared" si="245"/>
        <v>18.18</v>
      </c>
      <c r="S256">
        <f t="shared" si="246"/>
        <v>871.22</v>
      </c>
      <c r="T256">
        <f t="shared" si="247"/>
        <v>0</v>
      </c>
      <c r="U256">
        <f t="shared" si="248"/>
        <v>12.701692499999998</v>
      </c>
      <c r="V256">
        <f t="shared" si="249"/>
        <v>0.20937500000000001</v>
      </c>
      <c r="W256">
        <f t="shared" si="250"/>
        <v>0</v>
      </c>
      <c r="X256">
        <f t="shared" si="251"/>
        <v>1022.81</v>
      </c>
      <c r="Y256">
        <f t="shared" si="252"/>
        <v>631.47</v>
      </c>
      <c r="AA256">
        <v>16630606</v>
      </c>
      <c r="AB256">
        <f t="shared" si="253"/>
        <v>440.93</v>
      </c>
      <c r="AC256">
        <f t="shared" si="278"/>
        <v>27.27</v>
      </c>
      <c r="AD256">
        <f>ROUND(((((ET256*1.25))-((EU256*1.25)))+AE256),2)</f>
        <v>48.91</v>
      </c>
      <c r="AE256">
        <f>ROUND(((EU256*1.25)),2)</f>
        <v>7.61</v>
      </c>
      <c r="AF256">
        <f>ROUND(((EV256*1.15)),2)</f>
        <v>364.75</v>
      </c>
      <c r="AG256">
        <f t="shared" si="255"/>
        <v>0</v>
      </c>
      <c r="AH256">
        <f>((EW256*1.15))</f>
        <v>37.915499999999994</v>
      </c>
      <c r="AI256">
        <f>((EX256*1.25))</f>
        <v>0.625</v>
      </c>
      <c r="AJ256">
        <f t="shared" si="257"/>
        <v>0</v>
      </c>
      <c r="AK256">
        <v>383.57</v>
      </c>
      <c r="AL256">
        <v>27.27</v>
      </c>
      <c r="AM256">
        <v>39.130000000000003</v>
      </c>
      <c r="AN256">
        <v>6.09</v>
      </c>
      <c r="AO256">
        <v>317.17</v>
      </c>
      <c r="AP256">
        <v>0</v>
      </c>
      <c r="AQ256">
        <v>32.97</v>
      </c>
      <c r="AR256">
        <v>0.5</v>
      </c>
      <c r="AS256">
        <v>0</v>
      </c>
      <c r="AT256">
        <v>115</v>
      </c>
      <c r="AU256">
        <v>71</v>
      </c>
      <c r="AV256">
        <v>1</v>
      </c>
      <c r="AW256">
        <v>1</v>
      </c>
      <c r="AZ256">
        <v>7.13</v>
      </c>
      <c r="BA256">
        <v>7.13</v>
      </c>
      <c r="BB256">
        <v>7.13</v>
      </c>
      <c r="BC256">
        <v>7.13</v>
      </c>
      <c r="BD256" t="s">
        <v>6</v>
      </c>
      <c r="BE256" t="s">
        <v>6</v>
      </c>
      <c r="BF256" t="s">
        <v>6</v>
      </c>
      <c r="BG256" t="s">
        <v>6</v>
      </c>
      <c r="BH256">
        <v>0</v>
      </c>
      <c r="BI256">
        <v>1</v>
      </c>
      <c r="BJ256" t="s">
        <v>747</v>
      </c>
      <c r="BM256">
        <v>16001</v>
      </c>
      <c r="BN256">
        <v>0</v>
      </c>
      <c r="BO256" t="s">
        <v>6</v>
      </c>
      <c r="BP256">
        <v>0</v>
      </c>
      <c r="BQ256">
        <v>2</v>
      </c>
      <c r="BR256">
        <v>0</v>
      </c>
      <c r="BS256">
        <v>7.13</v>
      </c>
      <c r="BT256">
        <v>1</v>
      </c>
      <c r="BU256">
        <v>1</v>
      </c>
      <c r="BV256">
        <v>1</v>
      </c>
      <c r="BW256">
        <v>1</v>
      </c>
      <c r="BX256">
        <v>1</v>
      </c>
      <c r="BY256" t="s">
        <v>6</v>
      </c>
      <c r="BZ256">
        <v>128</v>
      </c>
      <c r="CA256">
        <v>83</v>
      </c>
      <c r="CE256">
        <v>0</v>
      </c>
      <c r="CF256">
        <v>0</v>
      </c>
      <c r="CG256">
        <v>0</v>
      </c>
      <c r="CM256">
        <v>0</v>
      </c>
      <c r="CN256" t="s">
        <v>1758</v>
      </c>
      <c r="CO256">
        <v>0</v>
      </c>
      <c r="CP256">
        <f t="shared" si="258"/>
        <v>1053.18</v>
      </c>
      <c r="CQ256">
        <f t="shared" si="259"/>
        <v>194.43510000000001</v>
      </c>
      <c r="CR256">
        <f t="shared" si="260"/>
        <v>348.72829999999999</v>
      </c>
      <c r="CS256">
        <f t="shared" si="261"/>
        <v>54.259300000000003</v>
      </c>
      <c r="CT256">
        <f t="shared" si="262"/>
        <v>2600.6675</v>
      </c>
      <c r="CU256">
        <f t="shared" si="263"/>
        <v>0</v>
      </c>
      <c r="CV256">
        <f t="shared" si="264"/>
        <v>37.915499999999994</v>
      </c>
      <c r="CW256">
        <f t="shared" si="265"/>
        <v>0.625</v>
      </c>
      <c r="CX256">
        <f t="shared" si="266"/>
        <v>0</v>
      </c>
      <c r="CY256">
        <f t="shared" si="267"/>
        <v>1022.81</v>
      </c>
      <c r="CZ256">
        <f t="shared" si="268"/>
        <v>631.47400000000005</v>
      </c>
      <c r="DC256" t="s">
        <v>6</v>
      </c>
      <c r="DD256" t="s">
        <v>6</v>
      </c>
      <c r="DE256" t="s">
        <v>81</v>
      </c>
      <c r="DF256" t="s">
        <v>81</v>
      </c>
      <c r="DG256" t="s">
        <v>82</v>
      </c>
      <c r="DH256" t="s">
        <v>6</v>
      </c>
      <c r="DI256" t="s">
        <v>82</v>
      </c>
      <c r="DJ256" t="s">
        <v>81</v>
      </c>
      <c r="DK256" t="s">
        <v>6</v>
      </c>
      <c r="DL256" t="s">
        <v>6</v>
      </c>
      <c r="DM256" t="s">
        <v>6</v>
      </c>
      <c r="DN256">
        <v>0</v>
      </c>
      <c r="DO256">
        <v>0</v>
      </c>
      <c r="DP256">
        <v>1</v>
      </c>
      <c r="DQ256">
        <v>1</v>
      </c>
      <c r="DU256">
        <v>1003</v>
      </c>
      <c r="DV256" t="s">
        <v>57</v>
      </c>
      <c r="DW256" t="s">
        <v>57</v>
      </c>
      <c r="DX256">
        <v>100</v>
      </c>
      <c r="EE256">
        <v>16609131</v>
      </c>
      <c r="EF256">
        <v>2</v>
      </c>
      <c r="EG256" t="s">
        <v>14</v>
      </c>
      <c r="EH256">
        <v>0</v>
      </c>
      <c r="EI256" t="s">
        <v>6</v>
      </c>
      <c r="EJ256">
        <v>1</v>
      </c>
      <c r="EK256">
        <v>16001</v>
      </c>
      <c r="EL256" t="s">
        <v>730</v>
      </c>
      <c r="EM256" t="s">
        <v>731</v>
      </c>
      <c r="EO256" t="s">
        <v>83</v>
      </c>
      <c r="EQ256">
        <v>131072</v>
      </c>
      <c r="ER256">
        <v>383.57</v>
      </c>
      <c r="ES256">
        <v>27.27</v>
      </c>
      <c r="ET256">
        <v>39.130000000000003</v>
      </c>
      <c r="EU256">
        <v>6.09</v>
      </c>
      <c r="EV256">
        <v>317.17</v>
      </c>
      <c r="EW256">
        <v>32.97</v>
      </c>
      <c r="EX256">
        <v>0.5</v>
      </c>
      <c r="EY256">
        <v>0</v>
      </c>
      <c r="FQ256">
        <v>0</v>
      </c>
      <c r="FR256">
        <f t="shared" si="269"/>
        <v>0</v>
      </c>
      <c r="FS256">
        <v>0</v>
      </c>
      <c r="FT256" t="s">
        <v>22</v>
      </c>
      <c r="FU256" t="s">
        <v>23</v>
      </c>
      <c r="FX256">
        <v>115.2</v>
      </c>
      <c r="FY256">
        <v>70.55</v>
      </c>
      <c r="GA256" t="s">
        <v>6</v>
      </c>
      <c r="GD256">
        <v>0</v>
      </c>
      <c r="GF256">
        <v>1382640866</v>
      </c>
      <c r="GG256">
        <v>1</v>
      </c>
      <c r="GH256">
        <v>1</v>
      </c>
      <c r="GI256">
        <v>4</v>
      </c>
      <c r="GJ256">
        <v>0</v>
      </c>
      <c r="GK256">
        <f>ROUND(R256*(R12)/100,2)</f>
        <v>0</v>
      </c>
      <c r="GL256">
        <f t="shared" si="270"/>
        <v>0</v>
      </c>
      <c r="GM256">
        <f t="shared" si="271"/>
        <v>2707.46</v>
      </c>
      <c r="GN256">
        <f t="shared" si="272"/>
        <v>2707.46</v>
      </c>
      <c r="GO256">
        <f t="shared" si="273"/>
        <v>0</v>
      </c>
      <c r="GP256">
        <f t="shared" si="274"/>
        <v>0</v>
      </c>
      <c r="GR256">
        <v>0</v>
      </c>
      <c r="GS256">
        <v>3</v>
      </c>
      <c r="GT256">
        <v>0</v>
      </c>
      <c r="GU256" t="s">
        <v>6</v>
      </c>
      <c r="GV256">
        <f t="shared" si="275"/>
        <v>0</v>
      </c>
      <c r="GW256">
        <v>1</v>
      </c>
      <c r="GX256">
        <f t="shared" si="276"/>
        <v>0</v>
      </c>
      <c r="HA256">
        <v>0</v>
      </c>
      <c r="HB256">
        <v>0</v>
      </c>
      <c r="HC256">
        <f t="shared" si="277"/>
        <v>0</v>
      </c>
      <c r="IK256">
        <v>0</v>
      </c>
    </row>
    <row r="257" spans="1:245" x14ac:dyDescent="0.2">
      <c r="A257">
        <v>18</v>
      </c>
      <c r="B257">
        <v>1</v>
      </c>
      <c r="C257">
        <v>560</v>
      </c>
      <c r="E257" t="s">
        <v>748</v>
      </c>
      <c r="F257" t="s">
        <v>749</v>
      </c>
      <c r="G257" t="s">
        <v>750</v>
      </c>
      <c r="H257" t="s">
        <v>150</v>
      </c>
      <c r="I257">
        <f>I256*J257</f>
        <v>33.5</v>
      </c>
      <c r="J257">
        <v>100</v>
      </c>
      <c r="O257">
        <f t="shared" si="242"/>
        <v>6038.25</v>
      </c>
      <c r="P257">
        <f t="shared" si="243"/>
        <v>6038.25</v>
      </c>
      <c r="Q257">
        <f t="shared" si="244"/>
        <v>0</v>
      </c>
      <c r="R257">
        <f t="shared" si="245"/>
        <v>0</v>
      </c>
      <c r="S257">
        <f t="shared" si="246"/>
        <v>0</v>
      </c>
      <c r="T257">
        <f t="shared" si="247"/>
        <v>0</v>
      </c>
      <c r="U257">
        <f t="shared" si="248"/>
        <v>0</v>
      </c>
      <c r="V257">
        <f t="shared" si="249"/>
        <v>0</v>
      </c>
      <c r="W257">
        <f t="shared" si="250"/>
        <v>0</v>
      </c>
      <c r="X257">
        <f t="shared" si="251"/>
        <v>0</v>
      </c>
      <c r="Y257">
        <f t="shared" si="252"/>
        <v>0</v>
      </c>
      <c r="AA257">
        <v>16630606</v>
      </c>
      <c r="AB257">
        <f t="shared" si="253"/>
        <v>25.28</v>
      </c>
      <c r="AC257">
        <f t="shared" si="278"/>
        <v>25.28</v>
      </c>
      <c r="AD257">
        <f>ROUND((((ET257)-(EU257))+AE257),2)</f>
        <v>0</v>
      </c>
      <c r="AE257">
        <f t="shared" ref="AE257:AF261" si="281">ROUND((EU257),2)</f>
        <v>0</v>
      </c>
      <c r="AF257">
        <f t="shared" si="281"/>
        <v>0</v>
      </c>
      <c r="AG257">
        <f t="shared" si="255"/>
        <v>0</v>
      </c>
      <c r="AH257">
        <f t="shared" ref="AH257:AI261" si="282">(EW257)</f>
        <v>0</v>
      </c>
      <c r="AI257">
        <f t="shared" si="282"/>
        <v>0</v>
      </c>
      <c r="AJ257">
        <f t="shared" si="257"/>
        <v>0</v>
      </c>
      <c r="AK257">
        <v>25.28</v>
      </c>
      <c r="AL257">
        <v>25.28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115</v>
      </c>
      <c r="AU257">
        <v>71</v>
      </c>
      <c r="AV257">
        <v>1</v>
      </c>
      <c r="AW257">
        <v>1</v>
      </c>
      <c r="AZ257">
        <v>7.13</v>
      </c>
      <c r="BA257">
        <v>1</v>
      </c>
      <c r="BB257">
        <v>1</v>
      </c>
      <c r="BC257">
        <v>7.13</v>
      </c>
      <c r="BD257" t="s">
        <v>6</v>
      </c>
      <c r="BE257" t="s">
        <v>6</v>
      </c>
      <c r="BF257" t="s">
        <v>6</v>
      </c>
      <c r="BG257" t="s">
        <v>6</v>
      </c>
      <c r="BH257">
        <v>3</v>
      </c>
      <c r="BI257">
        <v>1</v>
      </c>
      <c r="BJ257" t="s">
        <v>751</v>
      </c>
      <c r="BM257">
        <v>16001</v>
      </c>
      <c r="BN257">
        <v>0</v>
      </c>
      <c r="BO257" t="s">
        <v>6</v>
      </c>
      <c r="BP257">
        <v>0</v>
      </c>
      <c r="BQ257">
        <v>2</v>
      </c>
      <c r="BR257">
        <v>0</v>
      </c>
      <c r="BS257">
        <v>1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6</v>
      </c>
      <c r="BZ257">
        <v>128</v>
      </c>
      <c r="CA257">
        <v>83</v>
      </c>
      <c r="CE257">
        <v>0</v>
      </c>
      <c r="CF257">
        <v>0</v>
      </c>
      <c r="CG257">
        <v>0</v>
      </c>
      <c r="CM257">
        <v>0</v>
      </c>
      <c r="CN257" t="s">
        <v>6</v>
      </c>
      <c r="CO257">
        <v>0</v>
      </c>
      <c r="CP257">
        <f t="shared" si="258"/>
        <v>6038.25</v>
      </c>
      <c r="CQ257">
        <f t="shared" si="259"/>
        <v>180.24639999999999</v>
      </c>
      <c r="CR257">
        <f t="shared" si="260"/>
        <v>0</v>
      </c>
      <c r="CS257">
        <f t="shared" si="261"/>
        <v>0</v>
      </c>
      <c r="CT257">
        <f t="shared" si="262"/>
        <v>0</v>
      </c>
      <c r="CU257">
        <f t="shared" si="263"/>
        <v>0</v>
      </c>
      <c r="CV257">
        <f t="shared" si="264"/>
        <v>0</v>
      </c>
      <c r="CW257">
        <f t="shared" si="265"/>
        <v>0</v>
      </c>
      <c r="CX257">
        <f t="shared" si="266"/>
        <v>0</v>
      </c>
      <c r="CY257">
        <f t="shared" si="267"/>
        <v>0</v>
      </c>
      <c r="CZ257">
        <f t="shared" si="268"/>
        <v>0</v>
      </c>
      <c r="DC257" t="s">
        <v>6</v>
      </c>
      <c r="DD257" t="s">
        <v>6</v>
      </c>
      <c r="DE257" t="s">
        <v>6</v>
      </c>
      <c r="DF257" t="s">
        <v>6</v>
      </c>
      <c r="DG257" t="s">
        <v>6</v>
      </c>
      <c r="DH257" t="s">
        <v>6</v>
      </c>
      <c r="DI257" t="s">
        <v>6</v>
      </c>
      <c r="DJ257" t="s">
        <v>6</v>
      </c>
      <c r="DK257" t="s">
        <v>6</v>
      </c>
      <c r="DL257" t="s">
        <v>6</v>
      </c>
      <c r="DM257" t="s">
        <v>6</v>
      </c>
      <c r="DN257">
        <v>0</v>
      </c>
      <c r="DO257">
        <v>0</v>
      </c>
      <c r="DP257">
        <v>1</v>
      </c>
      <c r="DQ257">
        <v>1</v>
      </c>
      <c r="DU257">
        <v>1003</v>
      </c>
      <c r="DV257" t="s">
        <v>150</v>
      </c>
      <c r="DW257" t="s">
        <v>150</v>
      </c>
      <c r="DX257">
        <v>1</v>
      </c>
      <c r="EE257">
        <v>16609131</v>
      </c>
      <c r="EF257">
        <v>2</v>
      </c>
      <c r="EG257" t="s">
        <v>14</v>
      </c>
      <c r="EH257">
        <v>0</v>
      </c>
      <c r="EI257" t="s">
        <v>6</v>
      </c>
      <c r="EJ257">
        <v>1</v>
      </c>
      <c r="EK257">
        <v>16001</v>
      </c>
      <c r="EL257" t="s">
        <v>730</v>
      </c>
      <c r="EM257" t="s">
        <v>731</v>
      </c>
      <c r="EO257" t="s">
        <v>6</v>
      </c>
      <c r="EQ257">
        <v>0</v>
      </c>
      <c r="ER257">
        <v>25.28</v>
      </c>
      <c r="ES257">
        <v>25.28</v>
      </c>
      <c r="ET257">
        <v>0</v>
      </c>
      <c r="EU257">
        <v>0</v>
      </c>
      <c r="EV257">
        <v>0</v>
      </c>
      <c r="EW257">
        <v>0</v>
      </c>
      <c r="EX257">
        <v>0</v>
      </c>
      <c r="FQ257">
        <v>0</v>
      </c>
      <c r="FR257">
        <f t="shared" si="269"/>
        <v>0</v>
      </c>
      <c r="FS257">
        <v>0</v>
      </c>
      <c r="FT257" t="s">
        <v>22</v>
      </c>
      <c r="FU257" t="s">
        <v>23</v>
      </c>
      <c r="FX257">
        <v>115.2</v>
      </c>
      <c r="FY257">
        <v>70.55</v>
      </c>
      <c r="GA257" t="s">
        <v>6</v>
      </c>
      <c r="GD257">
        <v>0</v>
      </c>
      <c r="GF257">
        <v>88197163</v>
      </c>
      <c r="GG257">
        <v>1</v>
      </c>
      <c r="GH257">
        <v>1</v>
      </c>
      <c r="GI257">
        <v>4</v>
      </c>
      <c r="GJ257">
        <v>0</v>
      </c>
      <c r="GK257">
        <f>ROUND(R257*(R12)/100,2)</f>
        <v>0</v>
      </c>
      <c r="GL257">
        <f t="shared" si="270"/>
        <v>0</v>
      </c>
      <c r="GM257">
        <f t="shared" si="271"/>
        <v>6038.25</v>
      </c>
      <c r="GN257">
        <f t="shared" si="272"/>
        <v>6038.25</v>
      </c>
      <c r="GO257">
        <f t="shared" si="273"/>
        <v>0</v>
      </c>
      <c r="GP257">
        <f t="shared" si="274"/>
        <v>0</v>
      </c>
      <c r="GR257">
        <v>0</v>
      </c>
      <c r="GS257">
        <v>3</v>
      </c>
      <c r="GT257">
        <v>0</v>
      </c>
      <c r="GU257" t="s">
        <v>6</v>
      </c>
      <c r="GV257">
        <f t="shared" si="275"/>
        <v>0</v>
      </c>
      <c r="GW257">
        <v>1</v>
      </c>
      <c r="GX257">
        <f t="shared" si="276"/>
        <v>0</v>
      </c>
      <c r="HA257">
        <v>0</v>
      </c>
      <c r="HB257">
        <v>0</v>
      </c>
      <c r="HC257">
        <f t="shared" si="277"/>
        <v>0</v>
      </c>
      <c r="IK257">
        <v>0</v>
      </c>
    </row>
    <row r="258" spans="1:245" x14ac:dyDescent="0.2">
      <c r="A258">
        <v>18</v>
      </c>
      <c r="B258">
        <v>1</v>
      </c>
      <c r="C258">
        <v>559</v>
      </c>
      <c r="E258" t="s">
        <v>752</v>
      </c>
      <c r="F258" t="s">
        <v>753</v>
      </c>
      <c r="G258" t="s">
        <v>754</v>
      </c>
      <c r="H258" t="s">
        <v>616</v>
      </c>
      <c r="I258">
        <f>I256*J258</f>
        <v>1.7</v>
      </c>
      <c r="J258">
        <v>5.0746268656716413</v>
      </c>
      <c r="O258">
        <f t="shared" si="242"/>
        <v>385.45</v>
      </c>
      <c r="P258">
        <f t="shared" si="243"/>
        <v>385.45</v>
      </c>
      <c r="Q258">
        <f t="shared" si="244"/>
        <v>0</v>
      </c>
      <c r="R258">
        <f t="shared" si="245"/>
        <v>0</v>
      </c>
      <c r="S258">
        <f t="shared" si="246"/>
        <v>0</v>
      </c>
      <c r="T258">
        <f t="shared" si="247"/>
        <v>0</v>
      </c>
      <c r="U258">
        <f t="shared" si="248"/>
        <v>0</v>
      </c>
      <c r="V258">
        <f t="shared" si="249"/>
        <v>0</v>
      </c>
      <c r="W258">
        <f t="shared" si="250"/>
        <v>0</v>
      </c>
      <c r="X258">
        <f t="shared" si="251"/>
        <v>0</v>
      </c>
      <c r="Y258">
        <f t="shared" si="252"/>
        <v>0</v>
      </c>
      <c r="AA258">
        <v>16630606</v>
      </c>
      <c r="AB258">
        <f t="shared" si="253"/>
        <v>31.8</v>
      </c>
      <c r="AC258">
        <f t="shared" si="278"/>
        <v>31.8</v>
      </c>
      <c r="AD258">
        <f>ROUND((((ET258)-(EU258))+AE258),2)</f>
        <v>0</v>
      </c>
      <c r="AE258">
        <f t="shared" si="281"/>
        <v>0</v>
      </c>
      <c r="AF258">
        <f t="shared" si="281"/>
        <v>0</v>
      </c>
      <c r="AG258">
        <f t="shared" si="255"/>
        <v>0</v>
      </c>
      <c r="AH258">
        <f t="shared" si="282"/>
        <v>0</v>
      </c>
      <c r="AI258">
        <f t="shared" si="282"/>
        <v>0</v>
      </c>
      <c r="AJ258">
        <f t="shared" si="257"/>
        <v>0</v>
      </c>
      <c r="AK258">
        <v>31.8</v>
      </c>
      <c r="AL258">
        <v>31.8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115</v>
      </c>
      <c r="AU258">
        <v>71</v>
      </c>
      <c r="AV258">
        <v>1</v>
      </c>
      <c r="AW258">
        <v>1</v>
      </c>
      <c r="AZ258">
        <v>7.13</v>
      </c>
      <c r="BA258">
        <v>1</v>
      </c>
      <c r="BB258">
        <v>1</v>
      </c>
      <c r="BC258">
        <v>7.13</v>
      </c>
      <c r="BD258" t="s">
        <v>6</v>
      </c>
      <c r="BE258" t="s">
        <v>6</v>
      </c>
      <c r="BF258" t="s">
        <v>6</v>
      </c>
      <c r="BG258" t="s">
        <v>6</v>
      </c>
      <c r="BH258">
        <v>3</v>
      </c>
      <c r="BI258">
        <v>1</v>
      </c>
      <c r="BJ258" t="s">
        <v>755</v>
      </c>
      <c r="BM258">
        <v>16001</v>
      </c>
      <c r="BN258">
        <v>0</v>
      </c>
      <c r="BO258" t="s">
        <v>6</v>
      </c>
      <c r="BP258">
        <v>0</v>
      </c>
      <c r="BQ258">
        <v>2</v>
      </c>
      <c r="BR258">
        <v>0</v>
      </c>
      <c r="BS258">
        <v>1</v>
      </c>
      <c r="BT258">
        <v>1</v>
      </c>
      <c r="BU258">
        <v>1</v>
      </c>
      <c r="BV258">
        <v>1</v>
      </c>
      <c r="BW258">
        <v>1</v>
      </c>
      <c r="BX258">
        <v>1</v>
      </c>
      <c r="BY258" t="s">
        <v>6</v>
      </c>
      <c r="BZ258">
        <v>128</v>
      </c>
      <c r="CA258">
        <v>83</v>
      </c>
      <c r="CE258">
        <v>0</v>
      </c>
      <c r="CF258">
        <v>0</v>
      </c>
      <c r="CG258">
        <v>0</v>
      </c>
      <c r="CM258">
        <v>0</v>
      </c>
      <c r="CN258" t="s">
        <v>6</v>
      </c>
      <c r="CO258">
        <v>0</v>
      </c>
      <c r="CP258">
        <f t="shared" si="258"/>
        <v>385.45</v>
      </c>
      <c r="CQ258">
        <f t="shared" si="259"/>
        <v>226.73400000000001</v>
      </c>
      <c r="CR258">
        <f t="shared" si="260"/>
        <v>0</v>
      </c>
      <c r="CS258">
        <f t="shared" si="261"/>
        <v>0</v>
      </c>
      <c r="CT258">
        <f t="shared" si="262"/>
        <v>0</v>
      </c>
      <c r="CU258">
        <f t="shared" si="263"/>
        <v>0</v>
      </c>
      <c r="CV258">
        <f t="shared" si="264"/>
        <v>0</v>
      </c>
      <c r="CW258">
        <f t="shared" si="265"/>
        <v>0</v>
      </c>
      <c r="CX258">
        <f t="shared" si="266"/>
        <v>0</v>
      </c>
      <c r="CY258">
        <f t="shared" si="267"/>
        <v>0</v>
      </c>
      <c r="CZ258">
        <f t="shared" si="268"/>
        <v>0</v>
      </c>
      <c r="DC258" t="s">
        <v>6</v>
      </c>
      <c r="DD258" t="s">
        <v>6</v>
      </c>
      <c r="DE258" t="s">
        <v>6</v>
      </c>
      <c r="DF258" t="s">
        <v>6</v>
      </c>
      <c r="DG258" t="s">
        <v>6</v>
      </c>
      <c r="DH258" t="s">
        <v>6</v>
      </c>
      <c r="DI258" t="s">
        <v>6</v>
      </c>
      <c r="DJ258" t="s">
        <v>6</v>
      </c>
      <c r="DK258" t="s">
        <v>6</v>
      </c>
      <c r="DL258" t="s">
        <v>6</v>
      </c>
      <c r="DM258" t="s">
        <v>6</v>
      </c>
      <c r="DN258">
        <v>0</v>
      </c>
      <c r="DO258">
        <v>0</v>
      </c>
      <c r="DP258">
        <v>1</v>
      </c>
      <c r="DQ258">
        <v>1</v>
      </c>
      <c r="DU258">
        <v>1010</v>
      </c>
      <c r="DV258" t="s">
        <v>616</v>
      </c>
      <c r="DW258" t="s">
        <v>616</v>
      </c>
      <c r="DX258">
        <v>10</v>
      </c>
      <c r="EE258">
        <v>16609131</v>
      </c>
      <c r="EF258">
        <v>2</v>
      </c>
      <c r="EG258" t="s">
        <v>14</v>
      </c>
      <c r="EH258">
        <v>0</v>
      </c>
      <c r="EI258" t="s">
        <v>6</v>
      </c>
      <c r="EJ258">
        <v>1</v>
      </c>
      <c r="EK258">
        <v>16001</v>
      </c>
      <c r="EL258" t="s">
        <v>730</v>
      </c>
      <c r="EM258" t="s">
        <v>731</v>
      </c>
      <c r="EO258" t="s">
        <v>6</v>
      </c>
      <c r="EQ258">
        <v>0</v>
      </c>
      <c r="ER258">
        <v>31.8</v>
      </c>
      <c r="ES258">
        <v>31.8</v>
      </c>
      <c r="ET258">
        <v>0</v>
      </c>
      <c r="EU258">
        <v>0</v>
      </c>
      <c r="EV258">
        <v>0</v>
      </c>
      <c r="EW258">
        <v>0</v>
      </c>
      <c r="EX258">
        <v>0</v>
      </c>
      <c r="FQ258">
        <v>0</v>
      </c>
      <c r="FR258">
        <f t="shared" si="269"/>
        <v>0</v>
      </c>
      <c r="FS258">
        <v>0</v>
      </c>
      <c r="FT258" t="s">
        <v>22</v>
      </c>
      <c r="FU258" t="s">
        <v>23</v>
      </c>
      <c r="FX258">
        <v>115.2</v>
      </c>
      <c r="FY258">
        <v>70.55</v>
      </c>
      <c r="GA258" t="s">
        <v>6</v>
      </c>
      <c r="GD258">
        <v>0</v>
      </c>
      <c r="GF258">
        <v>-2068360021</v>
      </c>
      <c r="GG258">
        <v>1</v>
      </c>
      <c r="GH258">
        <v>1</v>
      </c>
      <c r="GI258">
        <v>4</v>
      </c>
      <c r="GJ258">
        <v>0</v>
      </c>
      <c r="GK258">
        <f>ROUND(R258*(R12)/100,2)</f>
        <v>0</v>
      </c>
      <c r="GL258">
        <f t="shared" si="270"/>
        <v>0</v>
      </c>
      <c r="GM258">
        <f t="shared" si="271"/>
        <v>385.45</v>
      </c>
      <c r="GN258">
        <f t="shared" si="272"/>
        <v>385.45</v>
      </c>
      <c r="GO258">
        <f t="shared" si="273"/>
        <v>0</v>
      </c>
      <c r="GP258">
        <f t="shared" si="274"/>
        <v>0</v>
      </c>
      <c r="GR258">
        <v>0</v>
      </c>
      <c r="GS258">
        <v>3</v>
      </c>
      <c r="GT258">
        <v>0</v>
      </c>
      <c r="GU258" t="s">
        <v>6</v>
      </c>
      <c r="GV258">
        <f t="shared" si="275"/>
        <v>0</v>
      </c>
      <c r="GW258">
        <v>1</v>
      </c>
      <c r="GX258">
        <f t="shared" si="276"/>
        <v>0</v>
      </c>
      <c r="HA258">
        <v>0</v>
      </c>
      <c r="HB258">
        <v>0</v>
      </c>
      <c r="HC258">
        <f t="shared" si="277"/>
        <v>0</v>
      </c>
      <c r="IK258">
        <v>0</v>
      </c>
    </row>
    <row r="259" spans="1:245" x14ac:dyDescent="0.2">
      <c r="A259">
        <v>18</v>
      </c>
      <c r="B259">
        <v>1</v>
      </c>
      <c r="C259">
        <v>561</v>
      </c>
      <c r="E259" t="s">
        <v>756</v>
      </c>
      <c r="F259" t="s">
        <v>741</v>
      </c>
      <c r="G259" t="s">
        <v>742</v>
      </c>
      <c r="H259" t="s">
        <v>150</v>
      </c>
      <c r="I259">
        <f>I256*J259</f>
        <v>33.5</v>
      </c>
      <c r="J259">
        <v>100</v>
      </c>
      <c r="O259">
        <f t="shared" si="242"/>
        <v>0</v>
      </c>
      <c r="P259">
        <f t="shared" si="243"/>
        <v>0</v>
      </c>
      <c r="Q259">
        <f t="shared" si="244"/>
        <v>0</v>
      </c>
      <c r="R259">
        <f t="shared" si="245"/>
        <v>0</v>
      </c>
      <c r="S259">
        <f t="shared" si="246"/>
        <v>0</v>
      </c>
      <c r="T259">
        <f t="shared" si="247"/>
        <v>0</v>
      </c>
      <c r="U259">
        <f t="shared" si="248"/>
        <v>0</v>
      </c>
      <c r="V259">
        <f t="shared" si="249"/>
        <v>0</v>
      </c>
      <c r="W259">
        <f t="shared" si="250"/>
        <v>0</v>
      </c>
      <c r="X259">
        <f t="shared" si="251"/>
        <v>0</v>
      </c>
      <c r="Y259">
        <f t="shared" si="252"/>
        <v>0</v>
      </c>
      <c r="AA259">
        <v>16630606</v>
      </c>
      <c r="AB259">
        <f t="shared" si="253"/>
        <v>0</v>
      </c>
      <c r="AC259">
        <f t="shared" si="278"/>
        <v>0</v>
      </c>
      <c r="AD259">
        <f>ROUND((((ET259)-(EU259))+AE259),2)</f>
        <v>0</v>
      </c>
      <c r="AE259">
        <f t="shared" si="281"/>
        <v>0</v>
      </c>
      <c r="AF259">
        <f t="shared" si="281"/>
        <v>0</v>
      </c>
      <c r="AG259">
        <f t="shared" si="255"/>
        <v>0</v>
      </c>
      <c r="AH259">
        <f t="shared" si="282"/>
        <v>0</v>
      </c>
      <c r="AI259">
        <f t="shared" si="282"/>
        <v>0</v>
      </c>
      <c r="AJ259">
        <f t="shared" si="257"/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115</v>
      </c>
      <c r="AU259">
        <v>71</v>
      </c>
      <c r="AV259">
        <v>1</v>
      </c>
      <c r="AW259">
        <v>1</v>
      </c>
      <c r="AZ259">
        <v>7.13</v>
      </c>
      <c r="BA259">
        <v>1</v>
      </c>
      <c r="BB259">
        <v>1</v>
      </c>
      <c r="BC259">
        <v>7.13</v>
      </c>
      <c r="BD259" t="s">
        <v>6</v>
      </c>
      <c r="BE259" t="s">
        <v>6</v>
      </c>
      <c r="BF259" t="s">
        <v>6</v>
      </c>
      <c r="BG259" t="s">
        <v>6</v>
      </c>
      <c r="BH259">
        <v>3</v>
      </c>
      <c r="BI259">
        <v>1</v>
      </c>
      <c r="BJ259" t="s">
        <v>6</v>
      </c>
      <c r="BM259">
        <v>16001</v>
      </c>
      <c r="BN259">
        <v>0</v>
      </c>
      <c r="BO259" t="s">
        <v>6</v>
      </c>
      <c r="BP259">
        <v>0</v>
      </c>
      <c r="BQ259">
        <v>2</v>
      </c>
      <c r="BR259">
        <v>0</v>
      </c>
      <c r="BS259">
        <v>1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6</v>
      </c>
      <c r="BZ259">
        <v>128</v>
      </c>
      <c r="CA259">
        <v>83</v>
      </c>
      <c r="CE259">
        <v>0</v>
      </c>
      <c r="CF259">
        <v>0</v>
      </c>
      <c r="CG259">
        <v>0</v>
      </c>
      <c r="CM259">
        <v>0</v>
      </c>
      <c r="CN259" t="s">
        <v>6</v>
      </c>
      <c r="CO259">
        <v>0</v>
      </c>
      <c r="CP259">
        <f t="shared" si="258"/>
        <v>0</v>
      </c>
      <c r="CQ259">
        <f t="shared" si="259"/>
        <v>0</v>
      </c>
      <c r="CR259">
        <f t="shared" si="260"/>
        <v>0</v>
      </c>
      <c r="CS259">
        <f t="shared" si="261"/>
        <v>0</v>
      </c>
      <c r="CT259">
        <f t="shared" si="262"/>
        <v>0</v>
      </c>
      <c r="CU259">
        <f t="shared" si="263"/>
        <v>0</v>
      </c>
      <c r="CV259">
        <f t="shared" si="264"/>
        <v>0</v>
      </c>
      <c r="CW259">
        <f t="shared" si="265"/>
        <v>0</v>
      </c>
      <c r="CX259">
        <f t="shared" si="266"/>
        <v>0</v>
      </c>
      <c r="CY259">
        <f t="shared" si="267"/>
        <v>0</v>
      </c>
      <c r="CZ259">
        <f t="shared" si="268"/>
        <v>0</v>
      </c>
      <c r="DC259" t="s">
        <v>6</v>
      </c>
      <c r="DD259" t="s">
        <v>6</v>
      </c>
      <c r="DE259" t="s">
        <v>6</v>
      </c>
      <c r="DF259" t="s">
        <v>6</v>
      </c>
      <c r="DG259" t="s">
        <v>6</v>
      </c>
      <c r="DH259" t="s">
        <v>6</v>
      </c>
      <c r="DI259" t="s">
        <v>6</v>
      </c>
      <c r="DJ259" t="s">
        <v>6</v>
      </c>
      <c r="DK259" t="s">
        <v>6</v>
      </c>
      <c r="DL259" t="s">
        <v>6</v>
      </c>
      <c r="DM259" t="s">
        <v>6</v>
      </c>
      <c r="DN259">
        <v>0</v>
      </c>
      <c r="DO259">
        <v>0</v>
      </c>
      <c r="DP259">
        <v>1</v>
      </c>
      <c r="DQ259">
        <v>1</v>
      </c>
      <c r="DU259">
        <v>1003</v>
      </c>
      <c r="DV259" t="s">
        <v>150</v>
      </c>
      <c r="DW259" t="s">
        <v>150</v>
      </c>
      <c r="DX259">
        <v>1</v>
      </c>
      <c r="EE259">
        <v>16609131</v>
      </c>
      <c r="EF259">
        <v>2</v>
      </c>
      <c r="EG259" t="s">
        <v>14</v>
      </c>
      <c r="EH259">
        <v>0</v>
      </c>
      <c r="EI259" t="s">
        <v>6</v>
      </c>
      <c r="EJ259">
        <v>1</v>
      </c>
      <c r="EK259">
        <v>16001</v>
      </c>
      <c r="EL259" t="s">
        <v>730</v>
      </c>
      <c r="EM259" t="s">
        <v>731</v>
      </c>
      <c r="EO259" t="s">
        <v>6</v>
      </c>
      <c r="EQ259">
        <v>0</v>
      </c>
      <c r="ER259">
        <v>0</v>
      </c>
      <c r="ES259">
        <v>0</v>
      </c>
      <c r="ET259">
        <v>0</v>
      </c>
      <c r="EU259">
        <v>0</v>
      </c>
      <c r="EV259">
        <v>0</v>
      </c>
      <c r="EW259">
        <v>0</v>
      </c>
      <c r="EX259">
        <v>0</v>
      </c>
      <c r="FQ259">
        <v>0</v>
      </c>
      <c r="FR259">
        <f t="shared" si="269"/>
        <v>0</v>
      </c>
      <c r="FS259">
        <v>0</v>
      </c>
      <c r="FT259" t="s">
        <v>22</v>
      </c>
      <c r="FU259" t="s">
        <v>23</v>
      </c>
      <c r="FX259">
        <v>115.2</v>
      </c>
      <c r="FY259">
        <v>70.55</v>
      </c>
      <c r="GA259" t="s">
        <v>743</v>
      </c>
      <c r="GD259">
        <v>0</v>
      </c>
      <c r="GF259">
        <v>594190089</v>
      </c>
      <c r="GG259">
        <v>1</v>
      </c>
      <c r="GH259">
        <v>1</v>
      </c>
      <c r="GI259">
        <v>4</v>
      </c>
      <c r="GJ259">
        <v>0</v>
      </c>
      <c r="GK259">
        <f>ROUND(R259*(R12)/100,2)</f>
        <v>0</v>
      </c>
      <c r="GL259">
        <f t="shared" si="270"/>
        <v>0</v>
      </c>
      <c r="GM259">
        <f t="shared" si="271"/>
        <v>0</v>
      </c>
      <c r="GN259">
        <f t="shared" si="272"/>
        <v>0</v>
      </c>
      <c r="GO259">
        <f t="shared" si="273"/>
        <v>0</v>
      </c>
      <c r="GP259">
        <f t="shared" si="274"/>
        <v>0</v>
      </c>
      <c r="GR259">
        <v>0</v>
      </c>
      <c r="GS259">
        <v>4</v>
      </c>
      <c r="GT259">
        <v>0</v>
      </c>
      <c r="GU259" t="s">
        <v>6</v>
      </c>
      <c r="GV259">
        <f t="shared" si="275"/>
        <v>0</v>
      </c>
      <c r="GW259">
        <v>1</v>
      </c>
      <c r="GX259">
        <f t="shared" si="276"/>
        <v>0</v>
      </c>
      <c r="HA259">
        <v>0</v>
      </c>
      <c r="HB259">
        <v>0</v>
      </c>
      <c r="HC259">
        <f t="shared" si="277"/>
        <v>0</v>
      </c>
      <c r="IK259">
        <v>0</v>
      </c>
    </row>
    <row r="260" spans="1:245" x14ac:dyDescent="0.2">
      <c r="A260">
        <v>17</v>
      </c>
      <c r="B260">
        <v>1</v>
      </c>
      <c r="C260">
        <f>ROW(SmtRes!A567)</f>
        <v>567</v>
      </c>
      <c r="D260">
        <f>ROW(EtalonRes!A552)</f>
        <v>552</v>
      </c>
      <c r="E260" t="s">
        <v>757</v>
      </c>
      <c r="F260" t="s">
        <v>758</v>
      </c>
      <c r="G260" t="s">
        <v>759</v>
      </c>
      <c r="H260" t="s">
        <v>27</v>
      </c>
      <c r="I260">
        <f>ROUND(14/100,9)</f>
        <v>0.14000000000000001</v>
      </c>
      <c r="J260">
        <v>0</v>
      </c>
      <c r="O260">
        <f t="shared" si="242"/>
        <v>430.08</v>
      </c>
      <c r="P260">
        <f t="shared" si="243"/>
        <v>36.479999999999997</v>
      </c>
      <c r="Q260">
        <f t="shared" si="244"/>
        <v>0.31</v>
      </c>
      <c r="R260">
        <f t="shared" si="245"/>
        <v>0.14000000000000001</v>
      </c>
      <c r="S260">
        <f t="shared" si="246"/>
        <v>393.29</v>
      </c>
      <c r="T260">
        <f t="shared" si="247"/>
        <v>0</v>
      </c>
      <c r="U260">
        <f t="shared" si="248"/>
        <v>6.4666000000000006</v>
      </c>
      <c r="V260">
        <f t="shared" si="249"/>
        <v>1.4000000000000002E-3</v>
      </c>
      <c r="W260">
        <f t="shared" si="250"/>
        <v>0</v>
      </c>
      <c r="X260">
        <f t="shared" si="251"/>
        <v>405.23</v>
      </c>
      <c r="Y260">
        <f t="shared" si="252"/>
        <v>236.06</v>
      </c>
      <c r="AA260">
        <v>16630606</v>
      </c>
      <c r="AB260">
        <f t="shared" si="253"/>
        <v>430.86</v>
      </c>
      <c r="AC260">
        <f t="shared" si="278"/>
        <v>36.549999999999997</v>
      </c>
      <c r="AD260">
        <f>ROUND((((ET260)-(EU260))+AE260),2)</f>
        <v>0.31</v>
      </c>
      <c r="AE260">
        <f t="shared" si="281"/>
        <v>0.14000000000000001</v>
      </c>
      <c r="AF260">
        <f t="shared" si="281"/>
        <v>394</v>
      </c>
      <c r="AG260">
        <f t="shared" si="255"/>
        <v>0</v>
      </c>
      <c r="AH260">
        <f t="shared" si="282"/>
        <v>46.19</v>
      </c>
      <c r="AI260">
        <f t="shared" si="282"/>
        <v>0.01</v>
      </c>
      <c r="AJ260">
        <f t="shared" si="257"/>
        <v>0</v>
      </c>
      <c r="AK260">
        <v>430.86</v>
      </c>
      <c r="AL260">
        <v>36.549999999999997</v>
      </c>
      <c r="AM260">
        <v>0.31</v>
      </c>
      <c r="AN260">
        <v>0.14000000000000001</v>
      </c>
      <c r="AO260">
        <v>394</v>
      </c>
      <c r="AP260">
        <v>0</v>
      </c>
      <c r="AQ260">
        <v>46.19</v>
      </c>
      <c r="AR260">
        <v>0.01</v>
      </c>
      <c r="AS260">
        <v>0</v>
      </c>
      <c r="AT260">
        <v>103</v>
      </c>
      <c r="AU260">
        <v>60</v>
      </c>
      <c r="AV260">
        <v>1</v>
      </c>
      <c r="AW260">
        <v>1</v>
      </c>
      <c r="AZ260">
        <v>7.13</v>
      </c>
      <c r="BA260">
        <v>7.13</v>
      </c>
      <c r="BB260">
        <v>7.13</v>
      </c>
      <c r="BC260">
        <v>7.13</v>
      </c>
      <c r="BD260" t="s">
        <v>6</v>
      </c>
      <c r="BE260" t="s">
        <v>6</v>
      </c>
      <c r="BF260" t="s">
        <v>6</v>
      </c>
      <c r="BG260" t="s">
        <v>6</v>
      </c>
      <c r="BH260">
        <v>0</v>
      </c>
      <c r="BI260">
        <v>1</v>
      </c>
      <c r="BJ260" t="s">
        <v>760</v>
      </c>
      <c r="BM260">
        <v>65010</v>
      </c>
      <c r="BN260">
        <v>0</v>
      </c>
      <c r="BO260" t="s">
        <v>6</v>
      </c>
      <c r="BP260">
        <v>0</v>
      </c>
      <c r="BQ260">
        <v>6</v>
      </c>
      <c r="BR260">
        <v>0</v>
      </c>
      <c r="BS260">
        <v>7.13</v>
      </c>
      <c r="BT260">
        <v>1</v>
      </c>
      <c r="BU260">
        <v>1</v>
      </c>
      <c r="BV260">
        <v>1</v>
      </c>
      <c r="BW260">
        <v>1</v>
      </c>
      <c r="BX260">
        <v>1</v>
      </c>
      <c r="BY260" t="s">
        <v>6</v>
      </c>
      <c r="BZ260">
        <v>103</v>
      </c>
      <c r="CA260">
        <v>60</v>
      </c>
      <c r="CE260">
        <v>0</v>
      </c>
      <c r="CF260">
        <v>0</v>
      </c>
      <c r="CG260">
        <v>0</v>
      </c>
      <c r="CM260">
        <v>0</v>
      </c>
      <c r="CN260" t="s">
        <v>6</v>
      </c>
      <c r="CO260">
        <v>0</v>
      </c>
      <c r="CP260">
        <f t="shared" si="258"/>
        <v>430.08000000000004</v>
      </c>
      <c r="CQ260">
        <f t="shared" si="259"/>
        <v>260.60149999999999</v>
      </c>
      <c r="CR260">
        <f t="shared" si="260"/>
        <v>2.2103000000000002</v>
      </c>
      <c r="CS260">
        <f t="shared" si="261"/>
        <v>0.99820000000000009</v>
      </c>
      <c r="CT260">
        <f t="shared" si="262"/>
        <v>2809.22</v>
      </c>
      <c r="CU260">
        <f t="shared" si="263"/>
        <v>0</v>
      </c>
      <c r="CV260">
        <f t="shared" si="264"/>
        <v>46.19</v>
      </c>
      <c r="CW260">
        <f t="shared" si="265"/>
        <v>0.01</v>
      </c>
      <c r="CX260">
        <f t="shared" si="266"/>
        <v>0</v>
      </c>
      <c r="CY260">
        <f t="shared" si="267"/>
        <v>405.23290000000003</v>
      </c>
      <c r="CZ260">
        <f t="shared" si="268"/>
        <v>236.05799999999999</v>
      </c>
      <c r="DC260" t="s">
        <v>6</v>
      </c>
      <c r="DD260" t="s">
        <v>6</v>
      </c>
      <c r="DE260" t="s">
        <v>6</v>
      </c>
      <c r="DF260" t="s">
        <v>6</v>
      </c>
      <c r="DG260" t="s">
        <v>6</v>
      </c>
      <c r="DH260" t="s">
        <v>6</v>
      </c>
      <c r="DI260" t="s">
        <v>6</v>
      </c>
      <c r="DJ260" t="s">
        <v>6</v>
      </c>
      <c r="DK260" t="s">
        <v>6</v>
      </c>
      <c r="DL260" t="s">
        <v>6</v>
      </c>
      <c r="DM260" t="s">
        <v>6</v>
      </c>
      <c r="DN260">
        <v>0</v>
      </c>
      <c r="DO260">
        <v>0</v>
      </c>
      <c r="DP260">
        <v>1</v>
      </c>
      <c r="DQ260">
        <v>1</v>
      </c>
      <c r="DU260">
        <v>1013</v>
      </c>
      <c r="DV260" t="s">
        <v>27</v>
      </c>
      <c r="DW260" t="s">
        <v>27</v>
      </c>
      <c r="DX260">
        <v>1</v>
      </c>
      <c r="EE260">
        <v>16609199</v>
      </c>
      <c r="EF260">
        <v>6</v>
      </c>
      <c r="EG260" t="s">
        <v>39</v>
      </c>
      <c r="EH260">
        <v>0</v>
      </c>
      <c r="EI260" t="s">
        <v>6</v>
      </c>
      <c r="EJ260">
        <v>1</v>
      </c>
      <c r="EK260">
        <v>65010</v>
      </c>
      <c r="EL260" t="s">
        <v>761</v>
      </c>
      <c r="EM260" t="s">
        <v>714</v>
      </c>
      <c r="EO260" t="s">
        <v>6</v>
      </c>
      <c r="EQ260">
        <v>131072</v>
      </c>
      <c r="ER260">
        <v>430.86</v>
      </c>
      <c r="ES260">
        <v>36.549999999999997</v>
      </c>
      <c r="ET260">
        <v>0.31</v>
      </c>
      <c r="EU260">
        <v>0.14000000000000001</v>
      </c>
      <c r="EV260">
        <v>394</v>
      </c>
      <c r="EW260">
        <v>46.19</v>
      </c>
      <c r="EX260">
        <v>0.01</v>
      </c>
      <c r="EY260">
        <v>0</v>
      </c>
      <c r="FQ260">
        <v>0</v>
      </c>
      <c r="FR260">
        <f t="shared" si="269"/>
        <v>0</v>
      </c>
      <c r="FS260">
        <v>0</v>
      </c>
      <c r="FX260">
        <v>103</v>
      </c>
      <c r="FY260">
        <v>60</v>
      </c>
      <c r="GA260" t="s">
        <v>6</v>
      </c>
      <c r="GD260">
        <v>0</v>
      </c>
      <c r="GF260">
        <v>-2051527918</v>
      </c>
      <c r="GG260">
        <v>1</v>
      </c>
      <c r="GH260">
        <v>1</v>
      </c>
      <c r="GI260">
        <v>4</v>
      </c>
      <c r="GJ260">
        <v>0</v>
      </c>
      <c r="GK260">
        <f>ROUND(R260*(R12)/100,2)</f>
        <v>0</v>
      </c>
      <c r="GL260">
        <f t="shared" si="270"/>
        <v>0</v>
      </c>
      <c r="GM260">
        <f t="shared" si="271"/>
        <v>1071.3699999999999</v>
      </c>
      <c r="GN260">
        <f t="shared" si="272"/>
        <v>1071.3699999999999</v>
      </c>
      <c r="GO260">
        <f t="shared" si="273"/>
        <v>0</v>
      </c>
      <c r="GP260">
        <f t="shared" si="274"/>
        <v>0</v>
      </c>
      <c r="GR260">
        <v>0</v>
      </c>
      <c r="GS260">
        <v>3</v>
      </c>
      <c r="GT260">
        <v>0</v>
      </c>
      <c r="GU260" t="s">
        <v>6</v>
      </c>
      <c r="GV260">
        <f t="shared" si="275"/>
        <v>0</v>
      </c>
      <c r="GW260">
        <v>1</v>
      </c>
      <c r="GX260">
        <f t="shared" si="276"/>
        <v>0</v>
      </c>
      <c r="HA260">
        <v>0</v>
      </c>
      <c r="HB260">
        <v>0</v>
      </c>
      <c r="HC260">
        <f t="shared" si="277"/>
        <v>0</v>
      </c>
      <c r="IK260">
        <v>0</v>
      </c>
    </row>
    <row r="261" spans="1:245" x14ac:dyDescent="0.2">
      <c r="A261">
        <v>18</v>
      </c>
      <c r="B261">
        <v>1</v>
      </c>
      <c r="C261">
        <v>567</v>
      </c>
      <c r="E261" t="s">
        <v>762</v>
      </c>
      <c r="F261" t="s">
        <v>763</v>
      </c>
      <c r="G261" t="s">
        <v>764</v>
      </c>
      <c r="H261" t="s">
        <v>132</v>
      </c>
      <c r="I261">
        <f>I260*J261</f>
        <v>14</v>
      </c>
      <c r="J261">
        <v>99.999999999999986</v>
      </c>
      <c r="O261">
        <f t="shared" si="242"/>
        <v>6024.14</v>
      </c>
      <c r="P261">
        <f t="shared" si="243"/>
        <v>6024.14</v>
      </c>
      <c r="Q261">
        <f t="shared" si="244"/>
        <v>0</v>
      </c>
      <c r="R261">
        <f t="shared" si="245"/>
        <v>0</v>
      </c>
      <c r="S261">
        <f t="shared" si="246"/>
        <v>0</v>
      </c>
      <c r="T261">
        <f t="shared" si="247"/>
        <v>0</v>
      </c>
      <c r="U261">
        <f t="shared" si="248"/>
        <v>0</v>
      </c>
      <c r="V261">
        <f t="shared" si="249"/>
        <v>0</v>
      </c>
      <c r="W261">
        <f t="shared" si="250"/>
        <v>0</v>
      </c>
      <c r="X261">
        <f t="shared" si="251"/>
        <v>0</v>
      </c>
      <c r="Y261">
        <f t="shared" si="252"/>
        <v>0</v>
      </c>
      <c r="AA261">
        <v>16630606</v>
      </c>
      <c r="AB261">
        <f t="shared" si="253"/>
        <v>60.35</v>
      </c>
      <c r="AC261">
        <f t="shared" si="278"/>
        <v>60.35</v>
      </c>
      <c r="AD261">
        <f>ROUND((((ET261)-(EU261))+AE261),2)</f>
        <v>0</v>
      </c>
      <c r="AE261">
        <f t="shared" si="281"/>
        <v>0</v>
      </c>
      <c r="AF261">
        <f t="shared" si="281"/>
        <v>0</v>
      </c>
      <c r="AG261">
        <f t="shared" si="255"/>
        <v>0</v>
      </c>
      <c r="AH261">
        <f t="shared" si="282"/>
        <v>0</v>
      </c>
      <c r="AI261">
        <f t="shared" si="282"/>
        <v>0</v>
      </c>
      <c r="AJ261">
        <f t="shared" si="257"/>
        <v>0</v>
      </c>
      <c r="AK261">
        <v>60.35</v>
      </c>
      <c r="AL261">
        <v>60.35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103</v>
      </c>
      <c r="AU261">
        <v>60</v>
      </c>
      <c r="AV261">
        <v>1</v>
      </c>
      <c r="AW261">
        <v>1</v>
      </c>
      <c r="AZ261">
        <v>7.13</v>
      </c>
      <c r="BA261">
        <v>1</v>
      </c>
      <c r="BB261">
        <v>1</v>
      </c>
      <c r="BC261">
        <v>7.13</v>
      </c>
      <c r="BD261" t="s">
        <v>6</v>
      </c>
      <c r="BE261" t="s">
        <v>6</v>
      </c>
      <c r="BF261" t="s">
        <v>6</v>
      </c>
      <c r="BG261" t="s">
        <v>6</v>
      </c>
      <c r="BH261">
        <v>3</v>
      </c>
      <c r="BI261">
        <v>1</v>
      </c>
      <c r="BJ261" t="s">
        <v>765</v>
      </c>
      <c r="BM261">
        <v>65010</v>
      </c>
      <c r="BN261">
        <v>0</v>
      </c>
      <c r="BO261" t="s">
        <v>6</v>
      </c>
      <c r="BP261">
        <v>0</v>
      </c>
      <c r="BQ261">
        <v>6</v>
      </c>
      <c r="BR261">
        <v>0</v>
      </c>
      <c r="BS261">
        <v>1</v>
      </c>
      <c r="BT261">
        <v>1</v>
      </c>
      <c r="BU261">
        <v>1</v>
      </c>
      <c r="BV261">
        <v>1</v>
      </c>
      <c r="BW261">
        <v>1</v>
      </c>
      <c r="BX261">
        <v>1</v>
      </c>
      <c r="BY261" t="s">
        <v>6</v>
      </c>
      <c r="BZ261">
        <v>103</v>
      </c>
      <c r="CA261">
        <v>60</v>
      </c>
      <c r="CE261">
        <v>0</v>
      </c>
      <c r="CF261">
        <v>0</v>
      </c>
      <c r="CG261">
        <v>0</v>
      </c>
      <c r="CM261">
        <v>0</v>
      </c>
      <c r="CN261" t="s">
        <v>6</v>
      </c>
      <c r="CO261">
        <v>0</v>
      </c>
      <c r="CP261">
        <f t="shared" si="258"/>
        <v>6024.14</v>
      </c>
      <c r="CQ261">
        <f t="shared" si="259"/>
        <v>430.2955</v>
      </c>
      <c r="CR261">
        <f t="shared" si="260"/>
        <v>0</v>
      </c>
      <c r="CS261">
        <f t="shared" si="261"/>
        <v>0</v>
      </c>
      <c r="CT261">
        <f t="shared" si="262"/>
        <v>0</v>
      </c>
      <c r="CU261">
        <f t="shared" si="263"/>
        <v>0</v>
      </c>
      <c r="CV261">
        <f t="shared" si="264"/>
        <v>0</v>
      </c>
      <c r="CW261">
        <f t="shared" si="265"/>
        <v>0</v>
      </c>
      <c r="CX261">
        <f t="shared" si="266"/>
        <v>0</v>
      </c>
      <c r="CY261">
        <f t="shared" si="267"/>
        <v>0</v>
      </c>
      <c r="CZ261">
        <f t="shared" si="268"/>
        <v>0</v>
      </c>
      <c r="DC261" t="s">
        <v>6</v>
      </c>
      <c r="DD261" t="s">
        <v>6</v>
      </c>
      <c r="DE261" t="s">
        <v>6</v>
      </c>
      <c r="DF261" t="s">
        <v>6</v>
      </c>
      <c r="DG261" t="s">
        <v>6</v>
      </c>
      <c r="DH261" t="s">
        <v>6</v>
      </c>
      <c r="DI261" t="s">
        <v>6</v>
      </c>
      <c r="DJ261" t="s">
        <v>6</v>
      </c>
      <c r="DK261" t="s">
        <v>6</v>
      </c>
      <c r="DL261" t="s">
        <v>6</v>
      </c>
      <c r="DM261" t="s">
        <v>6</v>
      </c>
      <c r="DN261">
        <v>0</v>
      </c>
      <c r="DO261">
        <v>0</v>
      </c>
      <c r="DP261">
        <v>1</v>
      </c>
      <c r="DQ261">
        <v>1</v>
      </c>
      <c r="DU261">
        <v>1010</v>
      </c>
      <c r="DV261" t="s">
        <v>132</v>
      </c>
      <c r="DW261" t="s">
        <v>132</v>
      </c>
      <c r="DX261">
        <v>1</v>
      </c>
      <c r="EE261">
        <v>16609199</v>
      </c>
      <c r="EF261">
        <v>6</v>
      </c>
      <c r="EG261" t="s">
        <v>39</v>
      </c>
      <c r="EH261">
        <v>0</v>
      </c>
      <c r="EI261" t="s">
        <v>6</v>
      </c>
      <c r="EJ261">
        <v>1</v>
      </c>
      <c r="EK261">
        <v>65010</v>
      </c>
      <c r="EL261" t="s">
        <v>761</v>
      </c>
      <c r="EM261" t="s">
        <v>714</v>
      </c>
      <c r="EO261" t="s">
        <v>6</v>
      </c>
      <c r="EQ261">
        <v>0</v>
      </c>
      <c r="ER261">
        <v>60.35</v>
      </c>
      <c r="ES261">
        <v>60.35</v>
      </c>
      <c r="ET261">
        <v>0</v>
      </c>
      <c r="EU261">
        <v>0</v>
      </c>
      <c r="EV261">
        <v>0</v>
      </c>
      <c r="EW261">
        <v>0</v>
      </c>
      <c r="EX261">
        <v>0</v>
      </c>
      <c r="FQ261">
        <v>0</v>
      </c>
      <c r="FR261">
        <f t="shared" si="269"/>
        <v>0</v>
      </c>
      <c r="FS261">
        <v>0</v>
      </c>
      <c r="FX261">
        <v>103</v>
      </c>
      <c r="FY261">
        <v>60</v>
      </c>
      <c r="GA261" t="s">
        <v>6</v>
      </c>
      <c r="GD261">
        <v>0</v>
      </c>
      <c r="GF261">
        <v>867140873</v>
      </c>
      <c r="GG261">
        <v>1</v>
      </c>
      <c r="GH261">
        <v>1</v>
      </c>
      <c r="GI261">
        <v>4</v>
      </c>
      <c r="GJ261">
        <v>0</v>
      </c>
      <c r="GK261">
        <f>ROUND(R261*(R12)/100,2)</f>
        <v>0</v>
      </c>
      <c r="GL261">
        <f t="shared" si="270"/>
        <v>0</v>
      </c>
      <c r="GM261">
        <f t="shared" si="271"/>
        <v>6024.14</v>
      </c>
      <c r="GN261">
        <f t="shared" si="272"/>
        <v>6024.14</v>
      </c>
      <c r="GO261">
        <f t="shared" si="273"/>
        <v>0</v>
      </c>
      <c r="GP261">
        <f t="shared" si="274"/>
        <v>0</v>
      </c>
      <c r="GR261">
        <v>0</v>
      </c>
      <c r="GS261">
        <v>3</v>
      </c>
      <c r="GT261">
        <v>0</v>
      </c>
      <c r="GU261" t="s">
        <v>6</v>
      </c>
      <c r="GV261">
        <f t="shared" si="275"/>
        <v>0</v>
      </c>
      <c r="GW261">
        <v>1</v>
      </c>
      <c r="GX261">
        <f t="shared" si="276"/>
        <v>0</v>
      </c>
      <c r="HA261">
        <v>0</v>
      </c>
      <c r="HB261">
        <v>0</v>
      </c>
      <c r="HC261">
        <f t="shared" si="277"/>
        <v>0</v>
      </c>
      <c r="IK261">
        <v>0</v>
      </c>
    </row>
    <row r="262" spans="1:245" x14ac:dyDescent="0.2">
      <c r="A262">
        <v>17</v>
      </c>
      <c r="B262">
        <v>1</v>
      </c>
      <c r="C262">
        <f>ROW(SmtRes!A582)</f>
        <v>582</v>
      </c>
      <c r="D262">
        <f>ROW(EtalonRes!A564)</f>
        <v>564</v>
      </c>
      <c r="E262" t="s">
        <v>766</v>
      </c>
      <c r="F262" t="s">
        <v>767</v>
      </c>
      <c r="G262" t="s">
        <v>768</v>
      </c>
      <c r="H262" t="s">
        <v>769</v>
      </c>
      <c r="I262">
        <f>ROUND(28.49/100,9)</f>
        <v>0.28489999999999999</v>
      </c>
      <c r="J262">
        <v>0</v>
      </c>
      <c r="O262">
        <f t="shared" si="242"/>
        <v>4222.5</v>
      </c>
      <c r="P262">
        <f t="shared" si="243"/>
        <v>2358.91</v>
      </c>
      <c r="Q262">
        <f t="shared" si="244"/>
        <v>489</v>
      </c>
      <c r="R262">
        <f t="shared" si="245"/>
        <v>98.4</v>
      </c>
      <c r="S262">
        <f t="shared" si="246"/>
        <v>1374.59</v>
      </c>
      <c r="T262">
        <f t="shared" si="247"/>
        <v>0</v>
      </c>
      <c r="U262">
        <f t="shared" si="248"/>
        <v>21.492855999999993</v>
      </c>
      <c r="V262">
        <f t="shared" si="249"/>
        <v>1.1146712499999998</v>
      </c>
      <c r="W262">
        <f t="shared" si="250"/>
        <v>0</v>
      </c>
      <c r="X262">
        <f t="shared" si="251"/>
        <v>1693.94</v>
      </c>
      <c r="Y262">
        <f t="shared" si="252"/>
        <v>1045.82</v>
      </c>
      <c r="AA262">
        <v>16630606</v>
      </c>
      <c r="AB262">
        <f t="shared" si="253"/>
        <v>2078.6799999999998</v>
      </c>
      <c r="AC262">
        <f t="shared" si="278"/>
        <v>1161.26</v>
      </c>
      <c r="AD262">
        <f>ROUND(((((ET262*1.25))-((EU262*1.25)))+AE262),2)</f>
        <v>240.73</v>
      </c>
      <c r="AE262">
        <f>ROUND(((EU262*1.25)),2)</f>
        <v>48.44</v>
      </c>
      <c r="AF262">
        <f>ROUND(((EV262*1.15)),2)</f>
        <v>676.69</v>
      </c>
      <c r="AG262">
        <f t="shared" si="255"/>
        <v>0</v>
      </c>
      <c r="AH262">
        <f>((EW262*1.15))</f>
        <v>75.439999999999984</v>
      </c>
      <c r="AI262">
        <f>((EX262*1.25))</f>
        <v>3.9124999999999996</v>
      </c>
      <c r="AJ262">
        <f t="shared" si="257"/>
        <v>0</v>
      </c>
      <c r="AK262">
        <v>1942.27</v>
      </c>
      <c r="AL262">
        <v>1161.26</v>
      </c>
      <c r="AM262">
        <v>192.58</v>
      </c>
      <c r="AN262">
        <v>38.75</v>
      </c>
      <c r="AO262">
        <v>588.42999999999995</v>
      </c>
      <c r="AP262">
        <v>0</v>
      </c>
      <c r="AQ262">
        <v>65.599999999999994</v>
      </c>
      <c r="AR262">
        <v>3.13</v>
      </c>
      <c r="AS262">
        <v>0</v>
      </c>
      <c r="AT262">
        <v>115</v>
      </c>
      <c r="AU262">
        <v>71</v>
      </c>
      <c r="AV262">
        <v>1</v>
      </c>
      <c r="AW262">
        <v>1</v>
      </c>
      <c r="AZ262">
        <v>7.13</v>
      </c>
      <c r="BA262">
        <v>7.13</v>
      </c>
      <c r="BB262">
        <v>7.13</v>
      </c>
      <c r="BC262">
        <v>7.13</v>
      </c>
      <c r="BD262" t="s">
        <v>6</v>
      </c>
      <c r="BE262" t="s">
        <v>6</v>
      </c>
      <c r="BF262" t="s">
        <v>6</v>
      </c>
      <c r="BG262" t="s">
        <v>6</v>
      </c>
      <c r="BH262">
        <v>0</v>
      </c>
      <c r="BI262">
        <v>1</v>
      </c>
      <c r="BJ262" t="s">
        <v>770</v>
      </c>
      <c r="BM262">
        <v>18001</v>
      </c>
      <c r="BN262">
        <v>0</v>
      </c>
      <c r="BO262" t="s">
        <v>6</v>
      </c>
      <c r="BP262">
        <v>0</v>
      </c>
      <c r="BQ262">
        <v>2</v>
      </c>
      <c r="BR262">
        <v>0</v>
      </c>
      <c r="BS262">
        <v>7.13</v>
      </c>
      <c r="BT262">
        <v>1</v>
      </c>
      <c r="BU262">
        <v>1</v>
      </c>
      <c r="BV262">
        <v>1</v>
      </c>
      <c r="BW262">
        <v>1</v>
      </c>
      <c r="BX262">
        <v>1</v>
      </c>
      <c r="BY262" t="s">
        <v>6</v>
      </c>
      <c r="BZ262">
        <v>128</v>
      </c>
      <c r="CA262">
        <v>83</v>
      </c>
      <c r="CE262">
        <v>0</v>
      </c>
      <c r="CF262">
        <v>0</v>
      </c>
      <c r="CG262">
        <v>0</v>
      </c>
      <c r="CM262">
        <v>0</v>
      </c>
      <c r="CN262" t="s">
        <v>1758</v>
      </c>
      <c r="CO262">
        <v>0</v>
      </c>
      <c r="CP262">
        <f t="shared" si="258"/>
        <v>4222.5</v>
      </c>
      <c r="CQ262">
        <f t="shared" si="259"/>
        <v>8279.7837999999992</v>
      </c>
      <c r="CR262">
        <f t="shared" si="260"/>
        <v>1716.4049</v>
      </c>
      <c r="CS262">
        <f t="shared" si="261"/>
        <v>345.37719999999996</v>
      </c>
      <c r="CT262">
        <f t="shared" si="262"/>
        <v>4824.7997000000005</v>
      </c>
      <c r="CU262">
        <f t="shared" si="263"/>
        <v>0</v>
      </c>
      <c r="CV262">
        <f t="shared" si="264"/>
        <v>75.439999999999984</v>
      </c>
      <c r="CW262">
        <f t="shared" si="265"/>
        <v>3.9124999999999996</v>
      </c>
      <c r="CX262">
        <f t="shared" si="266"/>
        <v>0</v>
      </c>
      <c r="CY262">
        <f t="shared" si="267"/>
        <v>1693.9385</v>
      </c>
      <c r="CZ262">
        <f t="shared" si="268"/>
        <v>1045.8228999999999</v>
      </c>
      <c r="DC262" t="s">
        <v>6</v>
      </c>
      <c r="DD262" t="s">
        <v>6</v>
      </c>
      <c r="DE262" t="s">
        <v>81</v>
      </c>
      <c r="DF262" t="s">
        <v>81</v>
      </c>
      <c r="DG262" t="s">
        <v>82</v>
      </c>
      <c r="DH262" t="s">
        <v>6</v>
      </c>
      <c r="DI262" t="s">
        <v>82</v>
      </c>
      <c r="DJ262" t="s">
        <v>81</v>
      </c>
      <c r="DK262" t="s">
        <v>6</v>
      </c>
      <c r="DL262" t="s">
        <v>6</v>
      </c>
      <c r="DM262" t="s">
        <v>6</v>
      </c>
      <c r="DN262">
        <v>0</v>
      </c>
      <c r="DO262">
        <v>0</v>
      </c>
      <c r="DP262">
        <v>1</v>
      </c>
      <c r="DQ262">
        <v>1</v>
      </c>
      <c r="DU262">
        <v>1013</v>
      </c>
      <c r="DV262" t="s">
        <v>769</v>
      </c>
      <c r="DW262" t="s">
        <v>769</v>
      </c>
      <c r="DX262">
        <v>1</v>
      </c>
      <c r="EE262">
        <v>16609133</v>
      </c>
      <c r="EF262">
        <v>2</v>
      </c>
      <c r="EG262" t="s">
        <v>14</v>
      </c>
      <c r="EH262">
        <v>0</v>
      </c>
      <c r="EI262" t="s">
        <v>6</v>
      </c>
      <c r="EJ262">
        <v>1</v>
      </c>
      <c r="EK262">
        <v>18001</v>
      </c>
      <c r="EL262" t="s">
        <v>771</v>
      </c>
      <c r="EM262" t="s">
        <v>772</v>
      </c>
      <c r="EO262" t="s">
        <v>83</v>
      </c>
      <c r="EQ262">
        <v>131072</v>
      </c>
      <c r="ER262">
        <v>1942.27</v>
      </c>
      <c r="ES262">
        <v>1161.26</v>
      </c>
      <c r="ET262">
        <v>192.58</v>
      </c>
      <c r="EU262">
        <v>38.75</v>
      </c>
      <c r="EV262">
        <v>588.42999999999995</v>
      </c>
      <c r="EW262">
        <v>65.599999999999994</v>
      </c>
      <c r="EX262">
        <v>3.13</v>
      </c>
      <c r="EY262">
        <v>0</v>
      </c>
      <c r="FQ262">
        <v>0</v>
      </c>
      <c r="FR262">
        <f t="shared" si="269"/>
        <v>0</v>
      </c>
      <c r="FS262">
        <v>0</v>
      </c>
      <c r="FT262" t="s">
        <v>22</v>
      </c>
      <c r="FU262" t="s">
        <v>23</v>
      </c>
      <c r="FX262">
        <v>115.2</v>
      </c>
      <c r="FY262">
        <v>70.55</v>
      </c>
      <c r="GA262" t="s">
        <v>6</v>
      </c>
      <c r="GD262">
        <v>0</v>
      </c>
      <c r="GF262">
        <v>-243626587</v>
      </c>
      <c r="GG262">
        <v>1</v>
      </c>
      <c r="GH262">
        <v>1</v>
      </c>
      <c r="GI262">
        <v>4</v>
      </c>
      <c r="GJ262">
        <v>0</v>
      </c>
      <c r="GK262">
        <f>ROUND(R262*(R12)/100,2)</f>
        <v>0</v>
      </c>
      <c r="GL262">
        <f t="shared" si="270"/>
        <v>0</v>
      </c>
      <c r="GM262">
        <f t="shared" si="271"/>
        <v>6962.26</v>
      </c>
      <c r="GN262">
        <f t="shared" si="272"/>
        <v>6962.26</v>
      </c>
      <c r="GO262">
        <f t="shared" si="273"/>
        <v>0</v>
      </c>
      <c r="GP262">
        <f t="shared" si="274"/>
        <v>0</v>
      </c>
      <c r="GR262">
        <v>0</v>
      </c>
      <c r="GS262">
        <v>3</v>
      </c>
      <c r="GT262">
        <v>0</v>
      </c>
      <c r="GU262" t="s">
        <v>6</v>
      </c>
      <c r="GV262">
        <f t="shared" si="275"/>
        <v>0</v>
      </c>
      <c r="GW262">
        <v>1</v>
      </c>
      <c r="GX262">
        <f t="shared" si="276"/>
        <v>0</v>
      </c>
      <c r="HA262">
        <v>0</v>
      </c>
      <c r="HB262">
        <v>0</v>
      </c>
      <c r="HC262">
        <f t="shared" si="277"/>
        <v>0</v>
      </c>
      <c r="IK262">
        <v>0</v>
      </c>
    </row>
    <row r="263" spans="1:245" x14ac:dyDescent="0.2">
      <c r="A263">
        <v>18</v>
      </c>
      <c r="B263">
        <v>1</v>
      </c>
      <c r="C263">
        <v>581</v>
      </c>
      <c r="E263" t="s">
        <v>773</v>
      </c>
      <c r="F263" t="s">
        <v>774</v>
      </c>
      <c r="G263" t="s">
        <v>775</v>
      </c>
      <c r="H263" t="s">
        <v>132</v>
      </c>
      <c r="I263">
        <f>I262*J263</f>
        <v>6</v>
      </c>
      <c r="J263">
        <v>21.060021060021061</v>
      </c>
      <c r="O263">
        <f t="shared" si="242"/>
        <v>58480.26</v>
      </c>
      <c r="P263">
        <f t="shared" si="243"/>
        <v>58480.26</v>
      </c>
      <c r="Q263">
        <f t="shared" si="244"/>
        <v>0</v>
      </c>
      <c r="R263">
        <f t="shared" si="245"/>
        <v>0</v>
      </c>
      <c r="S263">
        <f t="shared" si="246"/>
        <v>0</v>
      </c>
      <c r="T263">
        <f t="shared" si="247"/>
        <v>0</v>
      </c>
      <c r="U263">
        <f t="shared" si="248"/>
        <v>0</v>
      </c>
      <c r="V263">
        <f t="shared" si="249"/>
        <v>0</v>
      </c>
      <c r="W263">
        <f t="shared" si="250"/>
        <v>0</v>
      </c>
      <c r="X263">
        <f t="shared" si="251"/>
        <v>0</v>
      </c>
      <c r="Y263">
        <f t="shared" si="252"/>
        <v>0</v>
      </c>
      <c r="AA263">
        <v>16630606</v>
      </c>
      <c r="AB263">
        <f t="shared" si="253"/>
        <v>1367</v>
      </c>
      <c r="AC263">
        <f t="shared" si="278"/>
        <v>1367</v>
      </c>
      <c r="AD263">
        <f t="shared" ref="AD263:AD268" si="283">ROUND((((ET263)-(EU263))+AE263),2)</f>
        <v>0</v>
      </c>
      <c r="AE263">
        <f t="shared" ref="AE263:AF268" si="284">ROUND((EU263),2)</f>
        <v>0</v>
      </c>
      <c r="AF263">
        <f t="shared" si="284"/>
        <v>0</v>
      </c>
      <c r="AG263">
        <f t="shared" si="255"/>
        <v>0</v>
      </c>
      <c r="AH263">
        <f t="shared" ref="AH263:AI268" si="285">(EW263)</f>
        <v>0</v>
      </c>
      <c r="AI263">
        <f t="shared" si="285"/>
        <v>0</v>
      </c>
      <c r="AJ263">
        <f t="shared" si="257"/>
        <v>0</v>
      </c>
      <c r="AK263">
        <v>1367</v>
      </c>
      <c r="AL263">
        <v>1367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115</v>
      </c>
      <c r="AU263">
        <v>71</v>
      </c>
      <c r="AV263">
        <v>1</v>
      </c>
      <c r="AW263">
        <v>1</v>
      </c>
      <c r="AZ263">
        <v>7.13</v>
      </c>
      <c r="BA263">
        <v>1</v>
      </c>
      <c r="BB263">
        <v>1</v>
      </c>
      <c r="BC263">
        <v>7.13</v>
      </c>
      <c r="BD263" t="s">
        <v>6</v>
      </c>
      <c r="BE263" t="s">
        <v>6</v>
      </c>
      <c r="BF263" t="s">
        <v>6</v>
      </c>
      <c r="BG263" t="s">
        <v>6</v>
      </c>
      <c r="BH263">
        <v>3</v>
      </c>
      <c r="BI263">
        <v>1</v>
      </c>
      <c r="BJ263" t="s">
        <v>776</v>
      </c>
      <c r="BM263">
        <v>18001</v>
      </c>
      <c r="BN263">
        <v>0</v>
      </c>
      <c r="BO263" t="s">
        <v>6</v>
      </c>
      <c r="BP263">
        <v>0</v>
      </c>
      <c r="BQ263">
        <v>2</v>
      </c>
      <c r="BR263">
        <v>0</v>
      </c>
      <c r="BS263">
        <v>1</v>
      </c>
      <c r="BT263">
        <v>1</v>
      </c>
      <c r="BU263">
        <v>1</v>
      </c>
      <c r="BV263">
        <v>1</v>
      </c>
      <c r="BW263">
        <v>1</v>
      </c>
      <c r="BX263">
        <v>1</v>
      </c>
      <c r="BY263" t="s">
        <v>6</v>
      </c>
      <c r="BZ263">
        <v>128</v>
      </c>
      <c r="CA263">
        <v>83</v>
      </c>
      <c r="CE263">
        <v>0</v>
      </c>
      <c r="CF263">
        <v>0</v>
      </c>
      <c r="CG263">
        <v>0</v>
      </c>
      <c r="CM263">
        <v>0</v>
      </c>
      <c r="CN263" t="s">
        <v>6</v>
      </c>
      <c r="CO263">
        <v>0</v>
      </c>
      <c r="CP263">
        <f t="shared" si="258"/>
        <v>58480.26</v>
      </c>
      <c r="CQ263">
        <f t="shared" si="259"/>
        <v>9746.7099999999991</v>
      </c>
      <c r="CR263">
        <f t="shared" si="260"/>
        <v>0</v>
      </c>
      <c r="CS263">
        <f t="shared" si="261"/>
        <v>0</v>
      </c>
      <c r="CT263">
        <f t="shared" si="262"/>
        <v>0</v>
      </c>
      <c r="CU263">
        <f t="shared" si="263"/>
        <v>0</v>
      </c>
      <c r="CV263">
        <f t="shared" si="264"/>
        <v>0</v>
      </c>
      <c r="CW263">
        <f t="shared" si="265"/>
        <v>0</v>
      </c>
      <c r="CX263">
        <f t="shared" si="266"/>
        <v>0</v>
      </c>
      <c r="CY263">
        <f t="shared" si="267"/>
        <v>0</v>
      </c>
      <c r="CZ263">
        <f t="shared" si="268"/>
        <v>0</v>
      </c>
      <c r="DC263" t="s">
        <v>6</v>
      </c>
      <c r="DD263" t="s">
        <v>6</v>
      </c>
      <c r="DE263" t="s">
        <v>6</v>
      </c>
      <c r="DF263" t="s">
        <v>6</v>
      </c>
      <c r="DG263" t="s">
        <v>6</v>
      </c>
      <c r="DH263" t="s">
        <v>6</v>
      </c>
      <c r="DI263" t="s">
        <v>6</v>
      </c>
      <c r="DJ263" t="s">
        <v>6</v>
      </c>
      <c r="DK263" t="s">
        <v>6</v>
      </c>
      <c r="DL263" t="s">
        <v>6</v>
      </c>
      <c r="DM263" t="s">
        <v>6</v>
      </c>
      <c r="DN263">
        <v>0</v>
      </c>
      <c r="DO263">
        <v>0</v>
      </c>
      <c r="DP263">
        <v>1</v>
      </c>
      <c r="DQ263">
        <v>1</v>
      </c>
      <c r="DU263">
        <v>1010</v>
      </c>
      <c r="DV263" t="s">
        <v>132</v>
      </c>
      <c r="DW263" t="s">
        <v>132</v>
      </c>
      <c r="DX263">
        <v>1</v>
      </c>
      <c r="EE263">
        <v>16609133</v>
      </c>
      <c r="EF263">
        <v>2</v>
      </c>
      <c r="EG263" t="s">
        <v>14</v>
      </c>
      <c r="EH263">
        <v>0</v>
      </c>
      <c r="EI263" t="s">
        <v>6</v>
      </c>
      <c r="EJ263">
        <v>1</v>
      </c>
      <c r="EK263">
        <v>18001</v>
      </c>
      <c r="EL263" t="s">
        <v>771</v>
      </c>
      <c r="EM263" t="s">
        <v>772</v>
      </c>
      <c r="EO263" t="s">
        <v>6</v>
      </c>
      <c r="EQ263">
        <v>0</v>
      </c>
      <c r="ER263">
        <v>1367</v>
      </c>
      <c r="ES263">
        <v>1367</v>
      </c>
      <c r="ET263">
        <v>0</v>
      </c>
      <c r="EU263">
        <v>0</v>
      </c>
      <c r="EV263">
        <v>0</v>
      </c>
      <c r="EW263">
        <v>0</v>
      </c>
      <c r="EX263">
        <v>0</v>
      </c>
      <c r="FQ263">
        <v>0</v>
      </c>
      <c r="FR263">
        <f t="shared" si="269"/>
        <v>0</v>
      </c>
      <c r="FS263">
        <v>0</v>
      </c>
      <c r="FT263" t="s">
        <v>22</v>
      </c>
      <c r="FU263" t="s">
        <v>23</v>
      </c>
      <c r="FX263">
        <v>115.2</v>
      </c>
      <c r="FY263">
        <v>70.55</v>
      </c>
      <c r="GA263" t="s">
        <v>6</v>
      </c>
      <c r="GD263">
        <v>0</v>
      </c>
      <c r="GF263">
        <v>1286001746</v>
      </c>
      <c r="GG263">
        <v>1</v>
      </c>
      <c r="GH263">
        <v>1</v>
      </c>
      <c r="GI263">
        <v>4</v>
      </c>
      <c r="GJ263">
        <v>0</v>
      </c>
      <c r="GK263">
        <f>ROUND(R263*(R12)/100,2)</f>
        <v>0</v>
      </c>
      <c r="GL263">
        <f t="shared" si="270"/>
        <v>0</v>
      </c>
      <c r="GM263">
        <f t="shared" si="271"/>
        <v>58480.26</v>
      </c>
      <c r="GN263">
        <f t="shared" si="272"/>
        <v>58480.26</v>
      </c>
      <c r="GO263">
        <f t="shared" si="273"/>
        <v>0</v>
      </c>
      <c r="GP263">
        <f t="shared" si="274"/>
        <v>0</v>
      </c>
      <c r="GR263">
        <v>0</v>
      </c>
      <c r="GS263">
        <v>3</v>
      </c>
      <c r="GT263">
        <v>0</v>
      </c>
      <c r="GU263" t="s">
        <v>6</v>
      </c>
      <c r="GV263">
        <f t="shared" si="275"/>
        <v>0</v>
      </c>
      <c r="GW263">
        <v>1</v>
      </c>
      <c r="GX263">
        <f t="shared" si="276"/>
        <v>0</v>
      </c>
      <c r="HA263">
        <v>0</v>
      </c>
      <c r="HB263">
        <v>0</v>
      </c>
      <c r="HC263">
        <f t="shared" si="277"/>
        <v>0</v>
      </c>
      <c r="IK263">
        <v>0</v>
      </c>
    </row>
    <row r="264" spans="1:245" x14ac:dyDescent="0.2">
      <c r="A264">
        <v>18</v>
      </c>
      <c r="B264">
        <v>1</v>
      </c>
      <c r="C264">
        <v>580</v>
      </c>
      <c r="E264" t="s">
        <v>777</v>
      </c>
      <c r="F264" t="s">
        <v>778</v>
      </c>
      <c r="G264" t="s">
        <v>779</v>
      </c>
      <c r="H264" t="s">
        <v>132</v>
      </c>
      <c r="I264">
        <f>I262*J264</f>
        <v>7</v>
      </c>
      <c r="J264">
        <v>24.570024570024572</v>
      </c>
      <c r="O264">
        <f t="shared" si="242"/>
        <v>54581.58</v>
      </c>
      <c r="P264">
        <f t="shared" si="243"/>
        <v>54581.58</v>
      </c>
      <c r="Q264">
        <f t="shared" si="244"/>
        <v>0</v>
      </c>
      <c r="R264">
        <f t="shared" si="245"/>
        <v>0</v>
      </c>
      <c r="S264">
        <f t="shared" si="246"/>
        <v>0</v>
      </c>
      <c r="T264">
        <f t="shared" si="247"/>
        <v>0</v>
      </c>
      <c r="U264">
        <f t="shared" si="248"/>
        <v>0</v>
      </c>
      <c r="V264">
        <f t="shared" si="249"/>
        <v>0</v>
      </c>
      <c r="W264">
        <f t="shared" si="250"/>
        <v>0</v>
      </c>
      <c r="X264">
        <f t="shared" si="251"/>
        <v>0</v>
      </c>
      <c r="Y264">
        <f t="shared" si="252"/>
        <v>0</v>
      </c>
      <c r="AA264">
        <v>16630606</v>
      </c>
      <c r="AB264">
        <f t="shared" si="253"/>
        <v>1093.5999999999999</v>
      </c>
      <c r="AC264">
        <f t="shared" si="278"/>
        <v>1093.5999999999999</v>
      </c>
      <c r="AD264">
        <f t="shared" si="283"/>
        <v>0</v>
      </c>
      <c r="AE264">
        <f t="shared" si="284"/>
        <v>0</v>
      </c>
      <c r="AF264">
        <f t="shared" si="284"/>
        <v>0</v>
      </c>
      <c r="AG264">
        <f t="shared" si="255"/>
        <v>0</v>
      </c>
      <c r="AH264">
        <f t="shared" si="285"/>
        <v>0</v>
      </c>
      <c r="AI264">
        <f t="shared" si="285"/>
        <v>0</v>
      </c>
      <c r="AJ264">
        <f t="shared" si="257"/>
        <v>0</v>
      </c>
      <c r="AK264">
        <v>1093.5999999999999</v>
      </c>
      <c r="AL264">
        <v>1093.5999999999999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115</v>
      </c>
      <c r="AU264">
        <v>71</v>
      </c>
      <c r="AV264">
        <v>1</v>
      </c>
      <c r="AW264">
        <v>1</v>
      </c>
      <c r="AZ264">
        <v>7.13</v>
      </c>
      <c r="BA264">
        <v>1</v>
      </c>
      <c r="BB264">
        <v>1</v>
      </c>
      <c r="BC264">
        <v>7.13</v>
      </c>
      <c r="BD264" t="s">
        <v>6</v>
      </c>
      <c r="BE264" t="s">
        <v>6</v>
      </c>
      <c r="BF264" t="s">
        <v>6</v>
      </c>
      <c r="BG264" t="s">
        <v>6</v>
      </c>
      <c r="BH264">
        <v>3</v>
      </c>
      <c r="BI264">
        <v>1</v>
      </c>
      <c r="BJ264" t="s">
        <v>780</v>
      </c>
      <c r="BM264">
        <v>18001</v>
      </c>
      <c r="BN264">
        <v>0</v>
      </c>
      <c r="BO264" t="s">
        <v>6</v>
      </c>
      <c r="BP264">
        <v>0</v>
      </c>
      <c r="BQ264">
        <v>2</v>
      </c>
      <c r="BR264">
        <v>0</v>
      </c>
      <c r="BS264">
        <v>1</v>
      </c>
      <c r="BT264">
        <v>1</v>
      </c>
      <c r="BU264">
        <v>1</v>
      </c>
      <c r="BV264">
        <v>1</v>
      </c>
      <c r="BW264">
        <v>1</v>
      </c>
      <c r="BX264">
        <v>1</v>
      </c>
      <c r="BY264" t="s">
        <v>6</v>
      </c>
      <c r="BZ264">
        <v>128</v>
      </c>
      <c r="CA264">
        <v>83</v>
      </c>
      <c r="CE264">
        <v>0</v>
      </c>
      <c r="CF264">
        <v>0</v>
      </c>
      <c r="CG264">
        <v>0</v>
      </c>
      <c r="CM264">
        <v>0</v>
      </c>
      <c r="CN264" t="s">
        <v>6</v>
      </c>
      <c r="CO264">
        <v>0</v>
      </c>
      <c r="CP264">
        <f t="shared" si="258"/>
        <v>54581.58</v>
      </c>
      <c r="CQ264">
        <f t="shared" si="259"/>
        <v>7797.3679999999995</v>
      </c>
      <c r="CR264">
        <f t="shared" si="260"/>
        <v>0</v>
      </c>
      <c r="CS264">
        <f t="shared" si="261"/>
        <v>0</v>
      </c>
      <c r="CT264">
        <f t="shared" si="262"/>
        <v>0</v>
      </c>
      <c r="CU264">
        <f t="shared" si="263"/>
        <v>0</v>
      </c>
      <c r="CV264">
        <f t="shared" si="264"/>
        <v>0</v>
      </c>
      <c r="CW264">
        <f t="shared" si="265"/>
        <v>0</v>
      </c>
      <c r="CX264">
        <f t="shared" si="266"/>
        <v>0</v>
      </c>
      <c r="CY264">
        <f t="shared" si="267"/>
        <v>0</v>
      </c>
      <c r="CZ264">
        <f t="shared" si="268"/>
        <v>0</v>
      </c>
      <c r="DC264" t="s">
        <v>6</v>
      </c>
      <c r="DD264" t="s">
        <v>6</v>
      </c>
      <c r="DE264" t="s">
        <v>6</v>
      </c>
      <c r="DF264" t="s">
        <v>6</v>
      </c>
      <c r="DG264" t="s">
        <v>6</v>
      </c>
      <c r="DH264" t="s">
        <v>6</v>
      </c>
      <c r="DI264" t="s">
        <v>6</v>
      </c>
      <c r="DJ264" t="s">
        <v>6</v>
      </c>
      <c r="DK264" t="s">
        <v>6</v>
      </c>
      <c r="DL264" t="s">
        <v>6</v>
      </c>
      <c r="DM264" t="s">
        <v>6</v>
      </c>
      <c r="DN264">
        <v>0</v>
      </c>
      <c r="DO264">
        <v>0</v>
      </c>
      <c r="DP264">
        <v>1</v>
      </c>
      <c r="DQ264">
        <v>1</v>
      </c>
      <c r="DU264">
        <v>1010</v>
      </c>
      <c r="DV264" t="s">
        <v>132</v>
      </c>
      <c r="DW264" t="s">
        <v>132</v>
      </c>
      <c r="DX264">
        <v>1</v>
      </c>
      <c r="EE264">
        <v>16609133</v>
      </c>
      <c r="EF264">
        <v>2</v>
      </c>
      <c r="EG264" t="s">
        <v>14</v>
      </c>
      <c r="EH264">
        <v>0</v>
      </c>
      <c r="EI264" t="s">
        <v>6</v>
      </c>
      <c r="EJ264">
        <v>1</v>
      </c>
      <c r="EK264">
        <v>18001</v>
      </c>
      <c r="EL264" t="s">
        <v>771</v>
      </c>
      <c r="EM264" t="s">
        <v>772</v>
      </c>
      <c r="EO264" t="s">
        <v>6</v>
      </c>
      <c r="EQ264">
        <v>0</v>
      </c>
      <c r="ER264">
        <v>1093.5999999999999</v>
      </c>
      <c r="ES264">
        <v>1093.5999999999999</v>
      </c>
      <c r="ET264">
        <v>0</v>
      </c>
      <c r="EU264">
        <v>0</v>
      </c>
      <c r="EV264">
        <v>0</v>
      </c>
      <c r="EW264">
        <v>0</v>
      </c>
      <c r="EX264">
        <v>0</v>
      </c>
      <c r="FQ264">
        <v>0</v>
      </c>
      <c r="FR264">
        <f t="shared" si="269"/>
        <v>0</v>
      </c>
      <c r="FS264">
        <v>0</v>
      </c>
      <c r="FT264" t="s">
        <v>22</v>
      </c>
      <c r="FU264" t="s">
        <v>23</v>
      </c>
      <c r="FX264">
        <v>115.2</v>
      </c>
      <c r="FY264">
        <v>70.55</v>
      </c>
      <c r="GA264" t="s">
        <v>6</v>
      </c>
      <c r="GD264">
        <v>0</v>
      </c>
      <c r="GF264">
        <v>-863052310</v>
      </c>
      <c r="GG264">
        <v>1</v>
      </c>
      <c r="GH264">
        <v>1</v>
      </c>
      <c r="GI264">
        <v>4</v>
      </c>
      <c r="GJ264">
        <v>0</v>
      </c>
      <c r="GK264">
        <f>ROUND(R264*(R12)/100,2)</f>
        <v>0</v>
      </c>
      <c r="GL264">
        <f t="shared" si="270"/>
        <v>0</v>
      </c>
      <c r="GM264">
        <f t="shared" si="271"/>
        <v>54581.58</v>
      </c>
      <c r="GN264">
        <f t="shared" si="272"/>
        <v>54581.58</v>
      </c>
      <c r="GO264">
        <f t="shared" si="273"/>
        <v>0</v>
      </c>
      <c r="GP264">
        <f t="shared" si="274"/>
        <v>0</v>
      </c>
      <c r="GR264">
        <v>0</v>
      </c>
      <c r="GS264">
        <v>3</v>
      </c>
      <c r="GT264">
        <v>0</v>
      </c>
      <c r="GU264" t="s">
        <v>6</v>
      </c>
      <c r="GV264">
        <f t="shared" si="275"/>
        <v>0</v>
      </c>
      <c r="GW264">
        <v>1</v>
      </c>
      <c r="GX264">
        <f t="shared" si="276"/>
        <v>0</v>
      </c>
      <c r="HA264">
        <v>0</v>
      </c>
      <c r="HB264">
        <v>0</v>
      </c>
      <c r="HC264">
        <f t="shared" si="277"/>
        <v>0</v>
      </c>
      <c r="IK264">
        <v>0</v>
      </c>
    </row>
    <row r="265" spans="1:245" x14ac:dyDescent="0.2">
      <c r="A265">
        <v>18</v>
      </c>
      <c r="B265">
        <v>1</v>
      </c>
      <c r="C265">
        <v>579</v>
      </c>
      <c r="E265" t="s">
        <v>781</v>
      </c>
      <c r="F265" t="s">
        <v>782</v>
      </c>
      <c r="G265" t="s">
        <v>783</v>
      </c>
      <c r="H265" t="s">
        <v>132</v>
      </c>
      <c r="I265">
        <f>I262*J265</f>
        <v>9</v>
      </c>
      <c r="J265">
        <v>31.590031590031593</v>
      </c>
      <c r="O265">
        <f t="shared" si="242"/>
        <v>34831.480000000003</v>
      </c>
      <c r="P265">
        <f t="shared" si="243"/>
        <v>34831.480000000003</v>
      </c>
      <c r="Q265">
        <f t="shared" si="244"/>
        <v>0</v>
      </c>
      <c r="R265">
        <f t="shared" si="245"/>
        <v>0</v>
      </c>
      <c r="S265">
        <f t="shared" si="246"/>
        <v>0</v>
      </c>
      <c r="T265">
        <f t="shared" si="247"/>
        <v>0</v>
      </c>
      <c r="U265">
        <f t="shared" si="248"/>
        <v>0</v>
      </c>
      <c r="V265">
        <f t="shared" si="249"/>
        <v>0</v>
      </c>
      <c r="W265">
        <f t="shared" si="250"/>
        <v>0</v>
      </c>
      <c r="X265">
        <f t="shared" si="251"/>
        <v>0</v>
      </c>
      <c r="Y265">
        <f t="shared" si="252"/>
        <v>0</v>
      </c>
      <c r="AA265">
        <v>16630606</v>
      </c>
      <c r="AB265">
        <f t="shared" si="253"/>
        <v>542.79999999999995</v>
      </c>
      <c r="AC265">
        <f t="shared" si="278"/>
        <v>542.79999999999995</v>
      </c>
      <c r="AD265">
        <f t="shared" si="283"/>
        <v>0</v>
      </c>
      <c r="AE265">
        <f t="shared" si="284"/>
        <v>0</v>
      </c>
      <c r="AF265">
        <f t="shared" si="284"/>
        <v>0</v>
      </c>
      <c r="AG265">
        <f t="shared" si="255"/>
        <v>0</v>
      </c>
      <c r="AH265">
        <f t="shared" si="285"/>
        <v>0</v>
      </c>
      <c r="AI265">
        <f t="shared" si="285"/>
        <v>0</v>
      </c>
      <c r="AJ265">
        <f t="shared" si="257"/>
        <v>0</v>
      </c>
      <c r="AK265">
        <v>542.79999999999995</v>
      </c>
      <c r="AL265">
        <v>542.79999999999995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115</v>
      </c>
      <c r="AU265">
        <v>71</v>
      </c>
      <c r="AV265">
        <v>1</v>
      </c>
      <c r="AW265">
        <v>1</v>
      </c>
      <c r="AZ265">
        <v>7.13</v>
      </c>
      <c r="BA265">
        <v>1</v>
      </c>
      <c r="BB265">
        <v>1</v>
      </c>
      <c r="BC265">
        <v>7.13</v>
      </c>
      <c r="BD265" t="s">
        <v>6</v>
      </c>
      <c r="BE265" t="s">
        <v>6</v>
      </c>
      <c r="BF265" t="s">
        <v>6</v>
      </c>
      <c r="BG265" t="s">
        <v>6</v>
      </c>
      <c r="BH265">
        <v>3</v>
      </c>
      <c r="BI265">
        <v>1</v>
      </c>
      <c r="BJ265" t="s">
        <v>784</v>
      </c>
      <c r="BM265">
        <v>18001</v>
      </c>
      <c r="BN265">
        <v>0</v>
      </c>
      <c r="BO265" t="s">
        <v>6</v>
      </c>
      <c r="BP265">
        <v>0</v>
      </c>
      <c r="BQ265">
        <v>2</v>
      </c>
      <c r="BR265">
        <v>0</v>
      </c>
      <c r="BS265">
        <v>1</v>
      </c>
      <c r="BT265">
        <v>1</v>
      </c>
      <c r="BU265">
        <v>1</v>
      </c>
      <c r="BV265">
        <v>1</v>
      </c>
      <c r="BW265">
        <v>1</v>
      </c>
      <c r="BX265">
        <v>1</v>
      </c>
      <c r="BY265" t="s">
        <v>6</v>
      </c>
      <c r="BZ265">
        <v>128</v>
      </c>
      <c r="CA265">
        <v>83</v>
      </c>
      <c r="CE265">
        <v>0</v>
      </c>
      <c r="CF265">
        <v>0</v>
      </c>
      <c r="CG265">
        <v>0</v>
      </c>
      <c r="CM265">
        <v>0</v>
      </c>
      <c r="CN265" t="s">
        <v>6</v>
      </c>
      <c r="CO265">
        <v>0</v>
      </c>
      <c r="CP265">
        <f t="shared" si="258"/>
        <v>34831.480000000003</v>
      </c>
      <c r="CQ265">
        <f t="shared" si="259"/>
        <v>3870.1639999999998</v>
      </c>
      <c r="CR265">
        <f t="shared" si="260"/>
        <v>0</v>
      </c>
      <c r="CS265">
        <f t="shared" si="261"/>
        <v>0</v>
      </c>
      <c r="CT265">
        <f t="shared" si="262"/>
        <v>0</v>
      </c>
      <c r="CU265">
        <f t="shared" si="263"/>
        <v>0</v>
      </c>
      <c r="CV265">
        <f t="shared" si="264"/>
        <v>0</v>
      </c>
      <c r="CW265">
        <f t="shared" si="265"/>
        <v>0</v>
      </c>
      <c r="CX265">
        <f t="shared" si="266"/>
        <v>0</v>
      </c>
      <c r="CY265">
        <f t="shared" si="267"/>
        <v>0</v>
      </c>
      <c r="CZ265">
        <f t="shared" si="268"/>
        <v>0</v>
      </c>
      <c r="DC265" t="s">
        <v>6</v>
      </c>
      <c r="DD265" t="s">
        <v>6</v>
      </c>
      <c r="DE265" t="s">
        <v>6</v>
      </c>
      <c r="DF265" t="s">
        <v>6</v>
      </c>
      <c r="DG265" t="s">
        <v>6</v>
      </c>
      <c r="DH265" t="s">
        <v>6</v>
      </c>
      <c r="DI265" t="s">
        <v>6</v>
      </c>
      <c r="DJ265" t="s">
        <v>6</v>
      </c>
      <c r="DK265" t="s">
        <v>6</v>
      </c>
      <c r="DL265" t="s">
        <v>6</v>
      </c>
      <c r="DM265" t="s">
        <v>6</v>
      </c>
      <c r="DN265">
        <v>0</v>
      </c>
      <c r="DO265">
        <v>0</v>
      </c>
      <c r="DP265">
        <v>1</v>
      </c>
      <c r="DQ265">
        <v>1</v>
      </c>
      <c r="DU265">
        <v>1010</v>
      </c>
      <c r="DV265" t="s">
        <v>132</v>
      </c>
      <c r="DW265" t="s">
        <v>132</v>
      </c>
      <c r="DX265">
        <v>1</v>
      </c>
      <c r="EE265">
        <v>16609133</v>
      </c>
      <c r="EF265">
        <v>2</v>
      </c>
      <c r="EG265" t="s">
        <v>14</v>
      </c>
      <c r="EH265">
        <v>0</v>
      </c>
      <c r="EI265" t="s">
        <v>6</v>
      </c>
      <c r="EJ265">
        <v>1</v>
      </c>
      <c r="EK265">
        <v>18001</v>
      </c>
      <c r="EL265" t="s">
        <v>771</v>
      </c>
      <c r="EM265" t="s">
        <v>772</v>
      </c>
      <c r="EO265" t="s">
        <v>6</v>
      </c>
      <c r="EQ265">
        <v>0</v>
      </c>
      <c r="ER265">
        <v>542.79999999999995</v>
      </c>
      <c r="ES265">
        <v>542.79999999999995</v>
      </c>
      <c r="ET265">
        <v>0</v>
      </c>
      <c r="EU265">
        <v>0</v>
      </c>
      <c r="EV265">
        <v>0</v>
      </c>
      <c r="EW265">
        <v>0</v>
      </c>
      <c r="EX265">
        <v>0</v>
      </c>
      <c r="FQ265">
        <v>0</v>
      </c>
      <c r="FR265">
        <f t="shared" si="269"/>
        <v>0</v>
      </c>
      <c r="FS265">
        <v>0</v>
      </c>
      <c r="FT265" t="s">
        <v>22</v>
      </c>
      <c r="FU265" t="s">
        <v>23</v>
      </c>
      <c r="FX265">
        <v>115.2</v>
      </c>
      <c r="FY265">
        <v>70.55</v>
      </c>
      <c r="GA265" t="s">
        <v>6</v>
      </c>
      <c r="GD265">
        <v>0</v>
      </c>
      <c r="GF265">
        <v>464428912</v>
      </c>
      <c r="GG265">
        <v>1</v>
      </c>
      <c r="GH265">
        <v>1</v>
      </c>
      <c r="GI265">
        <v>4</v>
      </c>
      <c r="GJ265">
        <v>0</v>
      </c>
      <c r="GK265">
        <f>ROUND(R265*(R12)/100,2)</f>
        <v>0</v>
      </c>
      <c r="GL265">
        <f t="shared" si="270"/>
        <v>0</v>
      </c>
      <c r="GM265">
        <f t="shared" si="271"/>
        <v>34831.480000000003</v>
      </c>
      <c r="GN265">
        <f t="shared" si="272"/>
        <v>34831.480000000003</v>
      </c>
      <c r="GO265">
        <f t="shared" si="273"/>
        <v>0</v>
      </c>
      <c r="GP265">
        <f t="shared" si="274"/>
        <v>0</v>
      </c>
      <c r="GR265">
        <v>0</v>
      </c>
      <c r="GS265">
        <v>3</v>
      </c>
      <c r="GT265">
        <v>0</v>
      </c>
      <c r="GU265" t="s">
        <v>6</v>
      </c>
      <c r="GV265">
        <f t="shared" si="275"/>
        <v>0</v>
      </c>
      <c r="GW265">
        <v>1</v>
      </c>
      <c r="GX265">
        <f t="shared" si="276"/>
        <v>0</v>
      </c>
      <c r="HA265">
        <v>0</v>
      </c>
      <c r="HB265">
        <v>0</v>
      </c>
      <c r="HC265">
        <f t="shared" si="277"/>
        <v>0</v>
      </c>
      <c r="IK265">
        <v>0</v>
      </c>
    </row>
    <row r="266" spans="1:245" x14ac:dyDescent="0.2">
      <c r="A266">
        <v>18</v>
      </c>
      <c r="B266">
        <v>1</v>
      </c>
      <c r="C266">
        <v>576</v>
      </c>
      <c r="E266" t="s">
        <v>785</v>
      </c>
      <c r="F266" t="s">
        <v>786</v>
      </c>
      <c r="G266" t="s">
        <v>787</v>
      </c>
      <c r="H266" t="s">
        <v>616</v>
      </c>
      <c r="I266">
        <f>I262*J266</f>
        <v>2.5610390000000001</v>
      </c>
      <c r="J266">
        <v>8.9892558792558805</v>
      </c>
      <c r="O266">
        <f t="shared" si="242"/>
        <v>0</v>
      </c>
      <c r="P266">
        <f t="shared" si="243"/>
        <v>0</v>
      </c>
      <c r="Q266">
        <f t="shared" si="244"/>
        <v>0</v>
      </c>
      <c r="R266">
        <f t="shared" si="245"/>
        <v>0</v>
      </c>
      <c r="S266">
        <f t="shared" si="246"/>
        <v>0</v>
      </c>
      <c r="T266">
        <f t="shared" si="247"/>
        <v>0</v>
      </c>
      <c r="U266">
        <f t="shared" si="248"/>
        <v>0</v>
      </c>
      <c r="V266">
        <f t="shared" si="249"/>
        <v>0</v>
      </c>
      <c r="W266">
        <f t="shared" si="250"/>
        <v>0</v>
      </c>
      <c r="X266">
        <f t="shared" si="251"/>
        <v>0</v>
      </c>
      <c r="Y266">
        <f t="shared" si="252"/>
        <v>0</v>
      </c>
      <c r="AA266">
        <v>16630606</v>
      </c>
      <c r="AB266">
        <f t="shared" si="253"/>
        <v>0</v>
      </c>
      <c r="AC266">
        <f t="shared" si="278"/>
        <v>0</v>
      </c>
      <c r="AD266">
        <f t="shared" si="283"/>
        <v>0</v>
      </c>
      <c r="AE266">
        <f t="shared" si="284"/>
        <v>0</v>
      </c>
      <c r="AF266">
        <f t="shared" si="284"/>
        <v>0</v>
      </c>
      <c r="AG266">
        <f t="shared" si="255"/>
        <v>0</v>
      </c>
      <c r="AH266">
        <f t="shared" si="285"/>
        <v>0</v>
      </c>
      <c r="AI266">
        <f t="shared" si="285"/>
        <v>0</v>
      </c>
      <c r="AJ266">
        <f t="shared" si="257"/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115</v>
      </c>
      <c r="AU266">
        <v>71</v>
      </c>
      <c r="AV266">
        <v>1</v>
      </c>
      <c r="AW266">
        <v>1</v>
      </c>
      <c r="AZ266">
        <v>7.13</v>
      </c>
      <c r="BA266">
        <v>1</v>
      </c>
      <c r="BB266">
        <v>1</v>
      </c>
      <c r="BC266">
        <v>7.13</v>
      </c>
      <c r="BD266" t="s">
        <v>6</v>
      </c>
      <c r="BE266" t="s">
        <v>6</v>
      </c>
      <c r="BF266" t="s">
        <v>6</v>
      </c>
      <c r="BG266" t="s">
        <v>6</v>
      </c>
      <c r="BH266">
        <v>3</v>
      </c>
      <c r="BI266">
        <v>1</v>
      </c>
      <c r="BJ266" t="s">
        <v>6</v>
      </c>
      <c r="BM266">
        <v>18001</v>
      </c>
      <c r="BN266">
        <v>0</v>
      </c>
      <c r="BO266" t="s">
        <v>6</v>
      </c>
      <c r="BP266">
        <v>0</v>
      </c>
      <c r="BQ266">
        <v>2</v>
      </c>
      <c r="BR266">
        <v>0</v>
      </c>
      <c r="BS266">
        <v>1</v>
      </c>
      <c r="BT266">
        <v>1</v>
      </c>
      <c r="BU266">
        <v>1</v>
      </c>
      <c r="BV266">
        <v>1</v>
      </c>
      <c r="BW266">
        <v>1</v>
      </c>
      <c r="BX266">
        <v>1</v>
      </c>
      <c r="BY266" t="s">
        <v>6</v>
      </c>
      <c r="BZ266">
        <v>128</v>
      </c>
      <c r="CA266">
        <v>83</v>
      </c>
      <c r="CE266">
        <v>0</v>
      </c>
      <c r="CF266">
        <v>0</v>
      </c>
      <c r="CG266">
        <v>0</v>
      </c>
      <c r="CM266">
        <v>0</v>
      </c>
      <c r="CN266" t="s">
        <v>6</v>
      </c>
      <c r="CO266">
        <v>0</v>
      </c>
      <c r="CP266">
        <f t="shared" si="258"/>
        <v>0</v>
      </c>
      <c r="CQ266">
        <f t="shared" si="259"/>
        <v>0</v>
      </c>
      <c r="CR266">
        <f t="shared" si="260"/>
        <v>0</v>
      </c>
      <c r="CS266">
        <f t="shared" si="261"/>
        <v>0</v>
      </c>
      <c r="CT266">
        <f t="shared" si="262"/>
        <v>0</v>
      </c>
      <c r="CU266">
        <f t="shared" si="263"/>
        <v>0</v>
      </c>
      <c r="CV266">
        <f t="shared" si="264"/>
        <v>0</v>
      </c>
      <c r="CW266">
        <f t="shared" si="265"/>
        <v>0</v>
      </c>
      <c r="CX266">
        <f t="shared" si="266"/>
        <v>0</v>
      </c>
      <c r="CY266">
        <f t="shared" si="267"/>
        <v>0</v>
      </c>
      <c r="CZ266">
        <f t="shared" si="268"/>
        <v>0</v>
      </c>
      <c r="DC266" t="s">
        <v>6</v>
      </c>
      <c r="DD266" t="s">
        <v>6</v>
      </c>
      <c r="DE266" t="s">
        <v>6</v>
      </c>
      <c r="DF266" t="s">
        <v>6</v>
      </c>
      <c r="DG266" t="s">
        <v>6</v>
      </c>
      <c r="DH266" t="s">
        <v>6</v>
      </c>
      <c r="DI266" t="s">
        <v>6</v>
      </c>
      <c r="DJ266" t="s">
        <v>6</v>
      </c>
      <c r="DK266" t="s">
        <v>6</v>
      </c>
      <c r="DL266" t="s">
        <v>6</v>
      </c>
      <c r="DM266" t="s">
        <v>6</v>
      </c>
      <c r="DN266">
        <v>0</v>
      </c>
      <c r="DO266">
        <v>0</v>
      </c>
      <c r="DP266">
        <v>1</v>
      </c>
      <c r="DQ266">
        <v>1</v>
      </c>
      <c r="DU266">
        <v>1010</v>
      </c>
      <c r="DV266" t="s">
        <v>616</v>
      </c>
      <c r="DW266" t="s">
        <v>616</v>
      </c>
      <c r="DX266">
        <v>10</v>
      </c>
      <c r="EE266">
        <v>16609133</v>
      </c>
      <c r="EF266">
        <v>2</v>
      </c>
      <c r="EG266" t="s">
        <v>14</v>
      </c>
      <c r="EH266">
        <v>0</v>
      </c>
      <c r="EI266" t="s">
        <v>6</v>
      </c>
      <c r="EJ266">
        <v>1</v>
      </c>
      <c r="EK266">
        <v>18001</v>
      </c>
      <c r="EL266" t="s">
        <v>771</v>
      </c>
      <c r="EM266" t="s">
        <v>772</v>
      </c>
      <c r="EO266" t="s">
        <v>6</v>
      </c>
      <c r="EQ266">
        <v>0</v>
      </c>
      <c r="ER266">
        <v>0</v>
      </c>
      <c r="ES266">
        <v>0</v>
      </c>
      <c r="ET266">
        <v>0</v>
      </c>
      <c r="EU266">
        <v>0</v>
      </c>
      <c r="EV266">
        <v>0</v>
      </c>
      <c r="EW266">
        <v>0</v>
      </c>
      <c r="EX266">
        <v>0</v>
      </c>
      <c r="FQ266">
        <v>0</v>
      </c>
      <c r="FR266">
        <f t="shared" si="269"/>
        <v>0</v>
      </c>
      <c r="FS266">
        <v>0</v>
      </c>
      <c r="FT266" t="s">
        <v>22</v>
      </c>
      <c r="FU266" t="s">
        <v>23</v>
      </c>
      <c r="FX266">
        <v>115.2</v>
      </c>
      <c r="FY266">
        <v>70.55</v>
      </c>
      <c r="GA266" t="s">
        <v>743</v>
      </c>
      <c r="GD266">
        <v>0</v>
      </c>
      <c r="GF266">
        <v>488433216</v>
      </c>
      <c r="GG266">
        <v>1</v>
      </c>
      <c r="GH266">
        <v>1</v>
      </c>
      <c r="GI266">
        <v>4</v>
      </c>
      <c r="GJ266">
        <v>0</v>
      </c>
      <c r="GK266">
        <f>ROUND(R266*(R12)/100,2)</f>
        <v>0</v>
      </c>
      <c r="GL266">
        <f t="shared" si="270"/>
        <v>0</v>
      </c>
      <c r="GM266">
        <f t="shared" si="271"/>
        <v>0</v>
      </c>
      <c r="GN266">
        <f t="shared" si="272"/>
        <v>0</v>
      </c>
      <c r="GO266">
        <f t="shared" si="273"/>
        <v>0</v>
      </c>
      <c r="GP266">
        <f t="shared" si="274"/>
        <v>0</v>
      </c>
      <c r="GR266">
        <v>0</v>
      </c>
      <c r="GS266">
        <v>4</v>
      </c>
      <c r="GT266">
        <v>0</v>
      </c>
      <c r="GU266" t="s">
        <v>6</v>
      </c>
      <c r="GV266">
        <f t="shared" si="275"/>
        <v>0</v>
      </c>
      <c r="GW266">
        <v>1</v>
      </c>
      <c r="GX266">
        <f t="shared" si="276"/>
        <v>0</v>
      </c>
      <c r="HA266">
        <v>0</v>
      </c>
      <c r="HB266">
        <v>0</v>
      </c>
      <c r="HC266">
        <f t="shared" si="277"/>
        <v>0</v>
      </c>
      <c r="IK266">
        <v>0</v>
      </c>
    </row>
    <row r="267" spans="1:245" x14ac:dyDescent="0.2">
      <c r="A267">
        <v>18</v>
      </c>
      <c r="B267">
        <v>1</v>
      </c>
      <c r="C267">
        <v>577</v>
      </c>
      <c r="E267" t="s">
        <v>788</v>
      </c>
      <c r="F267" t="s">
        <v>789</v>
      </c>
      <c r="G267" t="s">
        <v>790</v>
      </c>
      <c r="H267" t="s">
        <v>243</v>
      </c>
      <c r="I267">
        <f>I262*J267</f>
        <v>0.256104</v>
      </c>
      <c r="J267">
        <v>0.89892593892593897</v>
      </c>
      <c r="O267">
        <f t="shared" si="242"/>
        <v>47.84</v>
      </c>
      <c r="P267">
        <f t="shared" si="243"/>
        <v>47.84</v>
      </c>
      <c r="Q267">
        <f t="shared" si="244"/>
        <v>0</v>
      </c>
      <c r="R267">
        <f t="shared" si="245"/>
        <v>0</v>
      </c>
      <c r="S267">
        <f t="shared" si="246"/>
        <v>0</v>
      </c>
      <c r="T267">
        <f t="shared" si="247"/>
        <v>0</v>
      </c>
      <c r="U267">
        <f t="shared" si="248"/>
        <v>0</v>
      </c>
      <c r="V267">
        <f t="shared" si="249"/>
        <v>0</v>
      </c>
      <c r="W267">
        <f t="shared" si="250"/>
        <v>0</v>
      </c>
      <c r="X267">
        <f t="shared" si="251"/>
        <v>0</v>
      </c>
      <c r="Y267">
        <f t="shared" si="252"/>
        <v>0</v>
      </c>
      <c r="AA267">
        <v>16630606</v>
      </c>
      <c r="AB267">
        <f t="shared" si="253"/>
        <v>26.2</v>
      </c>
      <c r="AC267">
        <f t="shared" si="278"/>
        <v>26.2</v>
      </c>
      <c r="AD267">
        <f t="shared" si="283"/>
        <v>0</v>
      </c>
      <c r="AE267">
        <f t="shared" si="284"/>
        <v>0</v>
      </c>
      <c r="AF267">
        <f t="shared" si="284"/>
        <v>0</v>
      </c>
      <c r="AG267">
        <f t="shared" si="255"/>
        <v>0</v>
      </c>
      <c r="AH267">
        <f t="shared" si="285"/>
        <v>0</v>
      </c>
      <c r="AI267">
        <f t="shared" si="285"/>
        <v>0</v>
      </c>
      <c r="AJ267">
        <f t="shared" si="257"/>
        <v>0</v>
      </c>
      <c r="AK267">
        <v>26.2</v>
      </c>
      <c r="AL267">
        <v>26.2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115</v>
      </c>
      <c r="AU267">
        <v>71</v>
      </c>
      <c r="AV267">
        <v>1</v>
      </c>
      <c r="AW267">
        <v>1</v>
      </c>
      <c r="AZ267">
        <v>7.13</v>
      </c>
      <c r="BA267">
        <v>1</v>
      </c>
      <c r="BB267">
        <v>1</v>
      </c>
      <c r="BC267">
        <v>7.13</v>
      </c>
      <c r="BD267" t="s">
        <v>6</v>
      </c>
      <c r="BE267" t="s">
        <v>6</v>
      </c>
      <c r="BF267" t="s">
        <v>6</v>
      </c>
      <c r="BG267" t="s">
        <v>6</v>
      </c>
      <c r="BH267">
        <v>3</v>
      </c>
      <c r="BI267">
        <v>1</v>
      </c>
      <c r="BJ267" t="s">
        <v>791</v>
      </c>
      <c r="BM267">
        <v>18001</v>
      </c>
      <c r="BN267">
        <v>0</v>
      </c>
      <c r="BO267" t="s">
        <v>6</v>
      </c>
      <c r="BP267">
        <v>0</v>
      </c>
      <c r="BQ267">
        <v>2</v>
      </c>
      <c r="BR267">
        <v>0</v>
      </c>
      <c r="BS267">
        <v>1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6</v>
      </c>
      <c r="BZ267">
        <v>128</v>
      </c>
      <c r="CA267">
        <v>83</v>
      </c>
      <c r="CE267">
        <v>0</v>
      </c>
      <c r="CF267">
        <v>0</v>
      </c>
      <c r="CG267">
        <v>0</v>
      </c>
      <c r="CM267">
        <v>0</v>
      </c>
      <c r="CN267" t="s">
        <v>6</v>
      </c>
      <c r="CO267">
        <v>0</v>
      </c>
      <c r="CP267">
        <f t="shared" si="258"/>
        <v>47.84</v>
      </c>
      <c r="CQ267">
        <f t="shared" si="259"/>
        <v>186.80599999999998</v>
      </c>
      <c r="CR267">
        <f t="shared" si="260"/>
        <v>0</v>
      </c>
      <c r="CS267">
        <f t="shared" si="261"/>
        <v>0</v>
      </c>
      <c r="CT267">
        <f t="shared" si="262"/>
        <v>0</v>
      </c>
      <c r="CU267">
        <f t="shared" si="263"/>
        <v>0</v>
      </c>
      <c r="CV267">
        <f t="shared" si="264"/>
        <v>0</v>
      </c>
      <c r="CW267">
        <f t="shared" si="265"/>
        <v>0</v>
      </c>
      <c r="CX267">
        <f t="shared" si="266"/>
        <v>0</v>
      </c>
      <c r="CY267">
        <f t="shared" si="267"/>
        <v>0</v>
      </c>
      <c r="CZ267">
        <f t="shared" si="268"/>
        <v>0</v>
      </c>
      <c r="DC267" t="s">
        <v>6</v>
      </c>
      <c r="DD267" t="s">
        <v>6</v>
      </c>
      <c r="DE267" t="s">
        <v>6</v>
      </c>
      <c r="DF267" t="s">
        <v>6</v>
      </c>
      <c r="DG267" t="s">
        <v>6</v>
      </c>
      <c r="DH267" t="s">
        <v>6</v>
      </c>
      <c r="DI267" t="s">
        <v>6</v>
      </c>
      <c r="DJ267" t="s">
        <v>6</v>
      </c>
      <c r="DK267" t="s">
        <v>6</v>
      </c>
      <c r="DL267" t="s">
        <v>6</v>
      </c>
      <c r="DM267" t="s">
        <v>6</v>
      </c>
      <c r="DN267">
        <v>0</v>
      </c>
      <c r="DO267">
        <v>0</v>
      </c>
      <c r="DP267">
        <v>1</v>
      </c>
      <c r="DQ267">
        <v>1</v>
      </c>
      <c r="DU267">
        <v>1010</v>
      </c>
      <c r="DV267" t="s">
        <v>243</v>
      </c>
      <c r="DW267" t="s">
        <v>243</v>
      </c>
      <c r="DX267">
        <v>100</v>
      </c>
      <c r="EE267">
        <v>16609133</v>
      </c>
      <c r="EF267">
        <v>2</v>
      </c>
      <c r="EG267" t="s">
        <v>14</v>
      </c>
      <c r="EH267">
        <v>0</v>
      </c>
      <c r="EI267" t="s">
        <v>6</v>
      </c>
      <c r="EJ267">
        <v>1</v>
      </c>
      <c r="EK267">
        <v>18001</v>
      </c>
      <c r="EL267" t="s">
        <v>771</v>
      </c>
      <c r="EM267" t="s">
        <v>772</v>
      </c>
      <c r="EO267" t="s">
        <v>6</v>
      </c>
      <c r="EQ267">
        <v>0</v>
      </c>
      <c r="ER267">
        <v>26.2</v>
      </c>
      <c r="ES267">
        <v>26.2</v>
      </c>
      <c r="ET267">
        <v>0</v>
      </c>
      <c r="EU267">
        <v>0</v>
      </c>
      <c r="EV267">
        <v>0</v>
      </c>
      <c r="EW267">
        <v>0</v>
      </c>
      <c r="EX267">
        <v>0</v>
      </c>
      <c r="FQ267">
        <v>0</v>
      </c>
      <c r="FR267">
        <f t="shared" si="269"/>
        <v>0</v>
      </c>
      <c r="FS267">
        <v>0</v>
      </c>
      <c r="FT267" t="s">
        <v>22</v>
      </c>
      <c r="FU267" t="s">
        <v>23</v>
      </c>
      <c r="FX267">
        <v>115.2</v>
      </c>
      <c r="FY267">
        <v>70.55</v>
      </c>
      <c r="GA267" t="s">
        <v>6</v>
      </c>
      <c r="GD267">
        <v>0</v>
      </c>
      <c r="GF267">
        <v>1797855604</v>
      </c>
      <c r="GG267">
        <v>1</v>
      </c>
      <c r="GH267">
        <v>1</v>
      </c>
      <c r="GI267">
        <v>4</v>
      </c>
      <c r="GJ267">
        <v>0</v>
      </c>
      <c r="GK267">
        <f>ROUND(R267*(R12)/100,2)</f>
        <v>0</v>
      </c>
      <c r="GL267">
        <f t="shared" si="270"/>
        <v>0</v>
      </c>
      <c r="GM267">
        <f t="shared" si="271"/>
        <v>47.84</v>
      </c>
      <c r="GN267">
        <f t="shared" si="272"/>
        <v>47.84</v>
      </c>
      <c r="GO267">
        <f t="shared" si="273"/>
        <v>0</v>
      </c>
      <c r="GP267">
        <f t="shared" si="274"/>
        <v>0</v>
      </c>
      <c r="GR267">
        <v>0</v>
      </c>
      <c r="GS267">
        <v>3</v>
      </c>
      <c r="GT267">
        <v>0</v>
      </c>
      <c r="GU267" t="s">
        <v>6</v>
      </c>
      <c r="GV267">
        <f t="shared" si="275"/>
        <v>0</v>
      </c>
      <c r="GW267">
        <v>1</v>
      </c>
      <c r="GX267">
        <f t="shared" si="276"/>
        <v>0</v>
      </c>
      <c r="HA267">
        <v>0</v>
      </c>
      <c r="HB267">
        <v>0</v>
      </c>
      <c r="HC267">
        <f t="shared" si="277"/>
        <v>0</v>
      </c>
      <c r="IK267">
        <v>0</v>
      </c>
    </row>
    <row r="268" spans="1:245" x14ac:dyDescent="0.2">
      <c r="A268">
        <v>18</v>
      </c>
      <c r="B268">
        <v>1</v>
      </c>
      <c r="C268">
        <v>582</v>
      </c>
      <c r="E268" t="s">
        <v>792</v>
      </c>
      <c r="F268" t="s">
        <v>793</v>
      </c>
      <c r="G268" t="s">
        <v>794</v>
      </c>
      <c r="H268" t="s">
        <v>795</v>
      </c>
      <c r="I268">
        <f>I262*J268</f>
        <v>28.49</v>
      </c>
      <c r="J268">
        <v>100</v>
      </c>
      <c r="O268">
        <f t="shared" si="242"/>
        <v>0</v>
      </c>
      <c r="P268">
        <f t="shared" si="243"/>
        <v>0</v>
      </c>
      <c r="Q268">
        <f t="shared" si="244"/>
        <v>0</v>
      </c>
      <c r="R268">
        <f t="shared" si="245"/>
        <v>0</v>
      </c>
      <c r="S268">
        <f t="shared" si="246"/>
        <v>0</v>
      </c>
      <c r="T268">
        <f t="shared" si="247"/>
        <v>0</v>
      </c>
      <c r="U268">
        <f t="shared" si="248"/>
        <v>0</v>
      </c>
      <c r="V268">
        <f t="shared" si="249"/>
        <v>0</v>
      </c>
      <c r="W268">
        <f t="shared" si="250"/>
        <v>0</v>
      </c>
      <c r="X268">
        <f t="shared" si="251"/>
        <v>0</v>
      </c>
      <c r="Y268">
        <f t="shared" si="252"/>
        <v>0</v>
      </c>
      <c r="AA268">
        <v>16630606</v>
      </c>
      <c r="AB268">
        <f t="shared" si="253"/>
        <v>0</v>
      </c>
      <c r="AC268">
        <f t="shared" si="278"/>
        <v>0</v>
      </c>
      <c r="AD268">
        <f t="shared" si="283"/>
        <v>0</v>
      </c>
      <c r="AE268">
        <f t="shared" si="284"/>
        <v>0</v>
      </c>
      <c r="AF268">
        <f t="shared" si="284"/>
        <v>0</v>
      </c>
      <c r="AG268">
        <f t="shared" si="255"/>
        <v>0</v>
      </c>
      <c r="AH268">
        <f t="shared" si="285"/>
        <v>0</v>
      </c>
      <c r="AI268">
        <f t="shared" si="285"/>
        <v>0</v>
      </c>
      <c r="AJ268">
        <f t="shared" si="257"/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115</v>
      </c>
      <c r="AU268">
        <v>71</v>
      </c>
      <c r="AV268">
        <v>1</v>
      </c>
      <c r="AW268">
        <v>1</v>
      </c>
      <c r="AZ268">
        <v>7.13</v>
      </c>
      <c r="BA268">
        <v>1</v>
      </c>
      <c r="BB268">
        <v>1</v>
      </c>
      <c r="BC268">
        <v>7.13</v>
      </c>
      <c r="BD268" t="s">
        <v>6</v>
      </c>
      <c r="BE268" t="s">
        <v>6</v>
      </c>
      <c r="BF268" t="s">
        <v>6</v>
      </c>
      <c r="BG268" t="s">
        <v>6</v>
      </c>
      <c r="BH268">
        <v>3</v>
      </c>
      <c r="BI268">
        <v>1</v>
      </c>
      <c r="BJ268" t="s">
        <v>6</v>
      </c>
      <c r="BM268">
        <v>18001</v>
      </c>
      <c r="BN268">
        <v>0</v>
      </c>
      <c r="BO268" t="s">
        <v>6</v>
      </c>
      <c r="BP268">
        <v>0</v>
      </c>
      <c r="BQ268">
        <v>2</v>
      </c>
      <c r="BR268">
        <v>0</v>
      </c>
      <c r="BS268">
        <v>1</v>
      </c>
      <c r="BT268">
        <v>1</v>
      </c>
      <c r="BU268">
        <v>1</v>
      </c>
      <c r="BV268">
        <v>1</v>
      </c>
      <c r="BW268">
        <v>1</v>
      </c>
      <c r="BX268">
        <v>1</v>
      </c>
      <c r="BY268" t="s">
        <v>6</v>
      </c>
      <c r="BZ268">
        <v>128</v>
      </c>
      <c r="CA268">
        <v>83</v>
      </c>
      <c r="CE268">
        <v>0</v>
      </c>
      <c r="CF268">
        <v>0</v>
      </c>
      <c r="CG268">
        <v>0</v>
      </c>
      <c r="CM268">
        <v>0</v>
      </c>
      <c r="CN268" t="s">
        <v>6</v>
      </c>
      <c r="CO268">
        <v>0</v>
      </c>
      <c r="CP268">
        <f t="shared" si="258"/>
        <v>0</v>
      </c>
      <c r="CQ268">
        <f t="shared" si="259"/>
        <v>0</v>
      </c>
      <c r="CR268">
        <f t="shared" si="260"/>
        <v>0</v>
      </c>
      <c r="CS268">
        <f t="shared" si="261"/>
        <v>0</v>
      </c>
      <c r="CT268">
        <f t="shared" si="262"/>
        <v>0</v>
      </c>
      <c r="CU268">
        <f t="shared" si="263"/>
        <v>0</v>
      </c>
      <c r="CV268">
        <f t="shared" si="264"/>
        <v>0</v>
      </c>
      <c r="CW268">
        <f t="shared" si="265"/>
        <v>0</v>
      </c>
      <c r="CX268">
        <f t="shared" si="266"/>
        <v>0</v>
      </c>
      <c r="CY268">
        <f t="shared" si="267"/>
        <v>0</v>
      </c>
      <c r="CZ268">
        <f t="shared" si="268"/>
        <v>0</v>
      </c>
      <c r="DC268" t="s">
        <v>6</v>
      </c>
      <c r="DD268" t="s">
        <v>6</v>
      </c>
      <c r="DE268" t="s">
        <v>6</v>
      </c>
      <c r="DF268" t="s">
        <v>6</v>
      </c>
      <c r="DG268" t="s">
        <v>6</v>
      </c>
      <c r="DH268" t="s">
        <v>6</v>
      </c>
      <c r="DI268" t="s">
        <v>6</v>
      </c>
      <c r="DJ268" t="s">
        <v>6</v>
      </c>
      <c r="DK268" t="s">
        <v>6</v>
      </c>
      <c r="DL268" t="s">
        <v>6</v>
      </c>
      <c r="DM268" t="s">
        <v>6</v>
      </c>
      <c r="DN268">
        <v>0</v>
      </c>
      <c r="DO268">
        <v>0</v>
      </c>
      <c r="DP268">
        <v>1</v>
      </c>
      <c r="DQ268">
        <v>1</v>
      </c>
      <c r="DU268">
        <v>1013</v>
      </c>
      <c r="DV268" t="s">
        <v>795</v>
      </c>
      <c r="DW268" t="s">
        <v>795</v>
      </c>
      <c r="DX268">
        <v>1</v>
      </c>
      <c r="EE268">
        <v>16609133</v>
      </c>
      <c r="EF268">
        <v>2</v>
      </c>
      <c r="EG268" t="s">
        <v>14</v>
      </c>
      <c r="EH268">
        <v>0</v>
      </c>
      <c r="EI268" t="s">
        <v>6</v>
      </c>
      <c r="EJ268">
        <v>1</v>
      </c>
      <c r="EK268">
        <v>18001</v>
      </c>
      <c r="EL268" t="s">
        <v>771</v>
      </c>
      <c r="EM268" t="s">
        <v>772</v>
      </c>
      <c r="EO268" t="s">
        <v>6</v>
      </c>
      <c r="EQ268">
        <v>0</v>
      </c>
      <c r="ER268">
        <v>0</v>
      </c>
      <c r="ES268">
        <v>0</v>
      </c>
      <c r="ET268">
        <v>0</v>
      </c>
      <c r="EU268">
        <v>0</v>
      </c>
      <c r="EV268">
        <v>0</v>
      </c>
      <c r="EW268">
        <v>0</v>
      </c>
      <c r="EX268">
        <v>0</v>
      </c>
      <c r="FQ268">
        <v>0</v>
      </c>
      <c r="FR268">
        <f t="shared" si="269"/>
        <v>0</v>
      </c>
      <c r="FS268">
        <v>0</v>
      </c>
      <c r="FT268" t="s">
        <v>22</v>
      </c>
      <c r="FU268" t="s">
        <v>23</v>
      </c>
      <c r="FX268">
        <v>115.2</v>
      </c>
      <c r="FY268">
        <v>70.55</v>
      </c>
      <c r="GA268" t="s">
        <v>743</v>
      </c>
      <c r="GD268">
        <v>0</v>
      </c>
      <c r="GF268">
        <v>704408924</v>
      </c>
      <c r="GG268">
        <v>1</v>
      </c>
      <c r="GH268">
        <v>1</v>
      </c>
      <c r="GI268">
        <v>4</v>
      </c>
      <c r="GJ268">
        <v>0</v>
      </c>
      <c r="GK268">
        <f>ROUND(R268*(R12)/100,2)</f>
        <v>0</v>
      </c>
      <c r="GL268">
        <f t="shared" si="270"/>
        <v>0</v>
      </c>
      <c r="GM268">
        <f t="shared" si="271"/>
        <v>0</v>
      </c>
      <c r="GN268">
        <f t="shared" si="272"/>
        <v>0</v>
      </c>
      <c r="GO268">
        <f t="shared" si="273"/>
        <v>0</v>
      </c>
      <c r="GP268">
        <f t="shared" si="274"/>
        <v>0</v>
      </c>
      <c r="GR268">
        <v>0</v>
      </c>
      <c r="GS268">
        <v>4</v>
      </c>
      <c r="GT268">
        <v>0</v>
      </c>
      <c r="GU268" t="s">
        <v>6</v>
      </c>
      <c r="GV268">
        <f t="shared" si="275"/>
        <v>0</v>
      </c>
      <c r="GW268">
        <v>1</v>
      </c>
      <c r="GX268">
        <f t="shared" si="276"/>
        <v>0</v>
      </c>
      <c r="HA268">
        <v>0</v>
      </c>
      <c r="HB268">
        <v>0</v>
      </c>
      <c r="HC268">
        <f t="shared" si="277"/>
        <v>0</v>
      </c>
      <c r="IK268">
        <v>0</v>
      </c>
    </row>
    <row r="269" spans="1:245" x14ac:dyDescent="0.2">
      <c r="A269">
        <v>17</v>
      </c>
      <c r="B269">
        <v>1</v>
      </c>
      <c r="C269">
        <f>ROW(SmtRes!A592)</f>
        <v>592</v>
      </c>
      <c r="D269">
        <f>ROW(EtalonRes!A573)</f>
        <v>573</v>
      </c>
      <c r="E269" t="s">
        <v>796</v>
      </c>
      <c r="F269" t="s">
        <v>797</v>
      </c>
      <c r="G269" t="s">
        <v>798</v>
      </c>
      <c r="H269" t="s">
        <v>127</v>
      </c>
      <c r="I269">
        <v>48</v>
      </c>
      <c r="J269">
        <v>0</v>
      </c>
      <c r="O269">
        <f t="shared" si="242"/>
        <v>15373.42</v>
      </c>
      <c r="P269">
        <f t="shared" si="243"/>
        <v>8627.8700000000008</v>
      </c>
      <c r="Q269">
        <f t="shared" si="244"/>
        <v>1499.01</v>
      </c>
      <c r="R269">
        <f t="shared" si="245"/>
        <v>51.34</v>
      </c>
      <c r="S269">
        <f t="shared" si="246"/>
        <v>5246.54</v>
      </c>
      <c r="T269">
        <f t="shared" si="247"/>
        <v>0</v>
      </c>
      <c r="U269">
        <f t="shared" si="248"/>
        <v>81.143999999999991</v>
      </c>
      <c r="V269">
        <f t="shared" si="249"/>
        <v>0.60000000000000009</v>
      </c>
      <c r="W269">
        <f t="shared" si="250"/>
        <v>0</v>
      </c>
      <c r="X269">
        <f t="shared" si="251"/>
        <v>6092.56</v>
      </c>
      <c r="Y269">
        <f t="shared" si="252"/>
        <v>3761.49</v>
      </c>
      <c r="AA269">
        <v>16630606</v>
      </c>
      <c r="AB269">
        <f t="shared" si="253"/>
        <v>44.92</v>
      </c>
      <c r="AC269">
        <f t="shared" si="278"/>
        <v>25.21</v>
      </c>
      <c r="AD269">
        <f>ROUND(((((ET269*1.25))-((EU269*1.25)))+AE269),2)</f>
        <v>4.38</v>
      </c>
      <c r="AE269">
        <f>ROUND(((EU269*1.25)),2)</f>
        <v>0.15</v>
      </c>
      <c r="AF269">
        <f>ROUND(((EV269*1.15)),2)</f>
        <v>15.33</v>
      </c>
      <c r="AG269">
        <f t="shared" si="255"/>
        <v>0</v>
      </c>
      <c r="AH269">
        <f>((EW269*1.15))</f>
        <v>1.6904999999999999</v>
      </c>
      <c r="AI269">
        <f>((EX269*1.25))</f>
        <v>1.2500000000000001E-2</v>
      </c>
      <c r="AJ269">
        <f t="shared" si="257"/>
        <v>0</v>
      </c>
      <c r="AK269">
        <v>42.04</v>
      </c>
      <c r="AL269">
        <v>25.21</v>
      </c>
      <c r="AM269">
        <v>3.5</v>
      </c>
      <c r="AN269">
        <v>0.12</v>
      </c>
      <c r="AO269">
        <v>13.33</v>
      </c>
      <c r="AP269">
        <v>0</v>
      </c>
      <c r="AQ269">
        <v>1.47</v>
      </c>
      <c r="AR269">
        <v>0.01</v>
      </c>
      <c r="AS269">
        <v>0</v>
      </c>
      <c r="AT269">
        <v>115</v>
      </c>
      <c r="AU269">
        <v>71</v>
      </c>
      <c r="AV269">
        <v>1</v>
      </c>
      <c r="AW269">
        <v>1</v>
      </c>
      <c r="AZ269">
        <v>7.13</v>
      </c>
      <c r="BA269">
        <v>7.13</v>
      </c>
      <c r="BB269">
        <v>7.13</v>
      </c>
      <c r="BC269">
        <v>7.13</v>
      </c>
      <c r="BD269" t="s">
        <v>6</v>
      </c>
      <c r="BE269" t="s">
        <v>6</v>
      </c>
      <c r="BF269" t="s">
        <v>6</v>
      </c>
      <c r="BG269" t="s">
        <v>6</v>
      </c>
      <c r="BH269">
        <v>0</v>
      </c>
      <c r="BI269">
        <v>1</v>
      </c>
      <c r="BJ269" t="s">
        <v>799</v>
      </c>
      <c r="BM269">
        <v>16001</v>
      </c>
      <c r="BN269">
        <v>0</v>
      </c>
      <c r="BO269" t="s">
        <v>6</v>
      </c>
      <c r="BP269">
        <v>0</v>
      </c>
      <c r="BQ269">
        <v>2</v>
      </c>
      <c r="BR269">
        <v>0</v>
      </c>
      <c r="BS269">
        <v>7.13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6</v>
      </c>
      <c r="BZ269">
        <v>128</v>
      </c>
      <c r="CA269">
        <v>83</v>
      </c>
      <c r="CE269">
        <v>0</v>
      </c>
      <c r="CF269">
        <v>0</v>
      </c>
      <c r="CG269">
        <v>0</v>
      </c>
      <c r="CM269">
        <v>0</v>
      </c>
      <c r="CN269" t="s">
        <v>1758</v>
      </c>
      <c r="CO269">
        <v>0</v>
      </c>
      <c r="CP269">
        <f t="shared" si="258"/>
        <v>15373.420000000002</v>
      </c>
      <c r="CQ269">
        <f t="shared" si="259"/>
        <v>179.7473</v>
      </c>
      <c r="CR269">
        <f t="shared" si="260"/>
        <v>31.229399999999998</v>
      </c>
      <c r="CS269">
        <f t="shared" si="261"/>
        <v>1.0694999999999999</v>
      </c>
      <c r="CT269">
        <f t="shared" si="262"/>
        <v>109.30289999999999</v>
      </c>
      <c r="CU269">
        <f t="shared" si="263"/>
        <v>0</v>
      </c>
      <c r="CV269">
        <f t="shared" si="264"/>
        <v>1.6904999999999999</v>
      </c>
      <c r="CW269">
        <f t="shared" si="265"/>
        <v>1.2500000000000001E-2</v>
      </c>
      <c r="CX269">
        <f t="shared" si="266"/>
        <v>0</v>
      </c>
      <c r="CY269">
        <f t="shared" si="267"/>
        <v>6092.5620000000008</v>
      </c>
      <c r="CZ269">
        <f t="shared" si="268"/>
        <v>3761.4947999999999</v>
      </c>
      <c r="DC269" t="s">
        <v>6</v>
      </c>
      <c r="DD269" t="s">
        <v>6</v>
      </c>
      <c r="DE269" t="s">
        <v>81</v>
      </c>
      <c r="DF269" t="s">
        <v>81</v>
      </c>
      <c r="DG269" t="s">
        <v>82</v>
      </c>
      <c r="DH269" t="s">
        <v>6</v>
      </c>
      <c r="DI269" t="s">
        <v>82</v>
      </c>
      <c r="DJ269" t="s">
        <v>81</v>
      </c>
      <c r="DK269" t="s">
        <v>6</v>
      </c>
      <c r="DL269" t="s">
        <v>6</v>
      </c>
      <c r="DM269" t="s">
        <v>6</v>
      </c>
      <c r="DN269">
        <v>0</v>
      </c>
      <c r="DO269">
        <v>0</v>
      </c>
      <c r="DP269">
        <v>1</v>
      </c>
      <c r="DQ269">
        <v>1</v>
      </c>
      <c r="DU269">
        <v>1013</v>
      </c>
      <c r="DV269" t="s">
        <v>127</v>
      </c>
      <c r="DW269" t="s">
        <v>127</v>
      </c>
      <c r="DX269">
        <v>1</v>
      </c>
      <c r="EE269">
        <v>16609131</v>
      </c>
      <c r="EF269">
        <v>2</v>
      </c>
      <c r="EG269" t="s">
        <v>14</v>
      </c>
      <c r="EH269">
        <v>0</v>
      </c>
      <c r="EI269" t="s">
        <v>6</v>
      </c>
      <c r="EJ269">
        <v>1</v>
      </c>
      <c r="EK269">
        <v>16001</v>
      </c>
      <c r="EL269" t="s">
        <v>730</v>
      </c>
      <c r="EM269" t="s">
        <v>731</v>
      </c>
      <c r="EO269" t="s">
        <v>83</v>
      </c>
      <c r="EQ269">
        <v>131072</v>
      </c>
      <c r="ER269">
        <v>42.04</v>
      </c>
      <c r="ES269">
        <v>25.21</v>
      </c>
      <c r="ET269">
        <v>3.5</v>
      </c>
      <c r="EU269">
        <v>0.12</v>
      </c>
      <c r="EV269">
        <v>13.33</v>
      </c>
      <c r="EW269">
        <v>1.47</v>
      </c>
      <c r="EX269">
        <v>0.01</v>
      </c>
      <c r="EY269">
        <v>0</v>
      </c>
      <c r="FQ269">
        <v>0</v>
      </c>
      <c r="FR269">
        <f t="shared" si="269"/>
        <v>0</v>
      </c>
      <c r="FS269">
        <v>0</v>
      </c>
      <c r="FT269" t="s">
        <v>22</v>
      </c>
      <c r="FU269" t="s">
        <v>23</v>
      </c>
      <c r="FX269">
        <v>115.2</v>
      </c>
      <c r="FY269">
        <v>70.55</v>
      </c>
      <c r="GA269" t="s">
        <v>6</v>
      </c>
      <c r="GD269">
        <v>0</v>
      </c>
      <c r="GF269">
        <v>1749691704</v>
      </c>
      <c r="GG269">
        <v>1</v>
      </c>
      <c r="GH269">
        <v>1</v>
      </c>
      <c r="GI269">
        <v>4</v>
      </c>
      <c r="GJ269">
        <v>0</v>
      </c>
      <c r="GK269">
        <f>ROUND(R269*(R12)/100,2)</f>
        <v>0</v>
      </c>
      <c r="GL269">
        <f t="shared" si="270"/>
        <v>0</v>
      </c>
      <c r="GM269">
        <f t="shared" si="271"/>
        <v>25227.47</v>
      </c>
      <c r="GN269">
        <f t="shared" si="272"/>
        <v>25227.47</v>
      </c>
      <c r="GO269">
        <f t="shared" si="273"/>
        <v>0</v>
      </c>
      <c r="GP269">
        <f t="shared" si="274"/>
        <v>0</v>
      </c>
      <c r="GR269">
        <v>0</v>
      </c>
      <c r="GS269">
        <v>3</v>
      </c>
      <c r="GT269">
        <v>0</v>
      </c>
      <c r="GU269" t="s">
        <v>6</v>
      </c>
      <c r="GV269">
        <f t="shared" si="275"/>
        <v>0</v>
      </c>
      <c r="GW269">
        <v>1</v>
      </c>
      <c r="GX269">
        <f t="shared" si="276"/>
        <v>0</v>
      </c>
      <c r="HA269">
        <v>0</v>
      </c>
      <c r="HB269">
        <v>0</v>
      </c>
      <c r="HC269">
        <f t="shared" si="277"/>
        <v>0</v>
      </c>
      <c r="IK269">
        <v>0</v>
      </c>
    </row>
    <row r="270" spans="1:245" x14ac:dyDescent="0.2">
      <c r="A270">
        <v>18</v>
      </c>
      <c r="B270">
        <v>1</v>
      </c>
      <c r="C270">
        <v>590</v>
      </c>
      <c r="E270" t="s">
        <v>800</v>
      </c>
      <c r="F270" t="s">
        <v>801</v>
      </c>
      <c r="G270" t="s">
        <v>802</v>
      </c>
      <c r="H270" t="s">
        <v>132</v>
      </c>
      <c r="I270">
        <f>I269*J270</f>
        <v>32</v>
      </c>
      <c r="J270">
        <v>0.66666666666666663</v>
      </c>
      <c r="O270">
        <f t="shared" si="242"/>
        <v>80056.78</v>
      </c>
      <c r="P270">
        <f t="shared" si="243"/>
        <v>80056.78</v>
      </c>
      <c r="Q270">
        <f t="shared" si="244"/>
        <v>0</v>
      </c>
      <c r="R270">
        <f t="shared" si="245"/>
        <v>0</v>
      </c>
      <c r="S270">
        <f t="shared" si="246"/>
        <v>0</v>
      </c>
      <c r="T270">
        <f t="shared" si="247"/>
        <v>0</v>
      </c>
      <c r="U270">
        <f t="shared" si="248"/>
        <v>0</v>
      </c>
      <c r="V270">
        <f t="shared" si="249"/>
        <v>0</v>
      </c>
      <c r="W270">
        <f t="shared" si="250"/>
        <v>0</v>
      </c>
      <c r="X270">
        <f t="shared" si="251"/>
        <v>0</v>
      </c>
      <c r="Y270">
        <f t="shared" si="252"/>
        <v>0</v>
      </c>
      <c r="AA270">
        <v>16630606</v>
      </c>
      <c r="AB270">
        <f t="shared" si="253"/>
        <v>350.88</v>
      </c>
      <c r="AC270">
        <f t="shared" si="278"/>
        <v>350.88</v>
      </c>
      <c r="AD270">
        <f>ROUND((((ET270)-(EU270))+AE270),2)</f>
        <v>0</v>
      </c>
      <c r="AE270">
        <f t="shared" ref="AE270:AF272" si="286">ROUND((EU270),2)</f>
        <v>0</v>
      </c>
      <c r="AF270">
        <f t="shared" si="286"/>
        <v>0</v>
      </c>
      <c r="AG270">
        <f t="shared" si="255"/>
        <v>0</v>
      </c>
      <c r="AH270">
        <f t="shared" ref="AH270:AI272" si="287">(EW270)</f>
        <v>0</v>
      </c>
      <c r="AI270">
        <f t="shared" si="287"/>
        <v>0</v>
      </c>
      <c r="AJ270">
        <f t="shared" si="257"/>
        <v>0</v>
      </c>
      <c r="AK270">
        <v>350.88</v>
      </c>
      <c r="AL270">
        <v>350.88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115</v>
      </c>
      <c r="AU270">
        <v>71</v>
      </c>
      <c r="AV270">
        <v>1</v>
      </c>
      <c r="AW270">
        <v>1</v>
      </c>
      <c r="AZ270">
        <v>7.13</v>
      </c>
      <c r="BA270">
        <v>1</v>
      </c>
      <c r="BB270">
        <v>1</v>
      </c>
      <c r="BC270">
        <v>7.13</v>
      </c>
      <c r="BD270" t="s">
        <v>6</v>
      </c>
      <c r="BE270" t="s">
        <v>6</v>
      </c>
      <c r="BF270" t="s">
        <v>6</v>
      </c>
      <c r="BG270" t="s">
        <v>6</v>
      </c>
      <c r="BH270">
        <v>3</v>
      </c>
      <c r="BI270">
        <v>1</v>
      </c>
      <c r="BJ270" t="s">
        <v>803</v>
      </c>
      <c r="BM270">
        <v>16001</v>
      </c>
      <c r="BN270">
        <v>0</v>
      </c>
      <c r="BO270" t="s">
        <v>6</v>
      </c>
      <c r="BP270">
        <v>0</v>
      </c>
      <c r="BQ270">
        <v>2</v>
      </c>
      <c r="BR270">
        <v>0</v>
      </c>
      <c r="BS270">
        <v>1</v>
      </c>
      <c r="BT270">
        <v>1</v>
      </c>
      <c r="BU270">
        <v>1</v>
      </c>
      <c r="BV270">
        <v>1</v>
      </c>
      <c r="BW270">
        <v>1</v>
      </c>
      <c r="BX270">
        <v>1</v>
      </c>
      <c r="BY270" t="s">
        <v>6</v>
      </c>
      <c r="BZ270">
        <v>128</v>
      </c>
      <c r="CA270">
        <v>83</v>
      </c>
      <c r="CE270">
        <v>0</v>
      </c>
      <c r="CF270">
        <v>0</v>
      </c>
      <c r="CG270">
        <v>0</v>
      </c>
      <c r="CM270">
        <v>0</v>
      </c>
      <c r="CN270" t="s">
        <v>6</v>
      </c>
      <c r="CO270">
        <v>0</v>
      </c>
      <c r="CP270">
        <f t="shared" si="258"/>
        <v>80056.78</v>
      </c>
      <c r="CQ270">
        <f t="shared" si="259"/>
        <v>2501.7743999999998</v>
      </c>
      <c r="CR270">
        <f t="shared" si="260"/>
        <v>0</v>
      </c>
      <c r="CS270">
        <f t="shared" si="261"/>
        <v>0</v>
      </c>
      <c r="CT270">
        <f t="shared" si="262"/>
        <v>0</v>
      </c>
      <c r="CU270">
        <f t="shared" si="263"/>
        <v>0</v>
      </c>
      <c r="CV270">
        <f t="shared" si="264"/>
        <v>0</v>
      </c>
      <c r="CW270">
        <f t="shared" si="265"/>
        <v>0</v>
      </c>
      <c r="CX270">
        <f t="shared" si="266"/>
        <v>0</v>
      </c>
      <c r="CY270">
        <f t="shared" si="267"/>
        <v>0</v>
      </c>
      <c r="CZ270">
        <f t="shared" si="268"/>
        <v>0</v>
      </c>
      <c r="DC270" t="s">
        <v>6</v>
      </c>
      <c r="DD270" t="s">
        <v>6</v>
      </c>
      <c r="DE270" t="s">
        <v>6</v>
      </c>
      <c r="DF270" t="s">
        <v>6</v>
      </c>
      <c r="DG270" t="s">
        <v>6</v>
      </c>
      <c r="DH270" t="s">
        <v>6</v>
      </c>
      <c r="DI270" t="s">
        <v>6</v>
      </c>
      <c r="DJ270" t="s">
        <v>6</v>
      </c>
      <c r="DK270" t="s">
        <v>6</v>
      </c>
      <c r="DL270" t="s">
        <v>6</v>
      </c>
      <c r="DM270" t="s">
        <v>6</v>
      </c>
      <c r="DN270">
        <v>0</v>
      </c>
      <c r="DO270">
        <v>0</v>
      </c>
      <c r="DP270">
        <v>1</v>
      </c>
      <c r="DQ270">
        <v>1</v>
      </c>
      <c r="DU270">
        <v>1010</v>
      </c>
      <c r="DV270" t="s">
        <v>132</v>
      </c>
      <c r="DW270" t="s">
        <v>132</v>
      </c>
      <c r="DX270">
        <v>1</v>
      </c>
      <c r="EE270">
        <v>16609131</v>
      </c>
      <c r="EF270">
        <v>2</v>
      </c>
      <c r="EG270" t="s">
        <v>14</v>
      </c>
      <c r="EH270">
        <v>0</v>
      </c>
      <c r="EI270" t="s">
        <v>6</v>
      </c>
      <c r="EJ270">
        <v>1</v>
      </c>
      <c r="EK270">
        <v>16001</v>
      </c>
      <c r="EL270" t="s">
        <v>730</v>
      </c>
      <c r="EM270" t="s">
        <v>731</v>
      </c>
      <c r="EO270" t="s">
        <v>6</v>
      </c>
      <c r="EQ270">
        <v>0</v>
      </c>
      <c r="ER270">
        <v>350.88</v>
      </c>
      <c r="ES270">
        <v>350.88</v>
      </c>
      <c r="ET270">
        <v>0</v>
      </c>
      <c r="EU270">
        <v>0</v>
      </c>
      <c r="EV270">
        <v>0</v>
      </c>
      <c r="EW270">
        <v>0</v>
      </c>
      <c r="EX270">
        <v>0</v>
      </c>
      <c r="FQ270">
        <v>0</v>
      </c>
      <c r="FR270">
        <f t="shared" si="269"/>
        <v>0</v>
      </c>
      <c r="FS270">
        <v>0</v>
      </c>
      <c r="FT270" t="s">
        <v>22</v>
      </c>
      <c r="FU270" t="s">
        <v>23</v>
      </c>
      <c r="FX270">
        <v>115.2</v>
      </c>
      <c r="FY270">
        <v>70.55</v>
      </c>
      <c r="GA270" t="s">
        <v>6</v>
      </c>
      <c r="GD270">
        <v>0</v>
      </c>
      <c r="GF270">
        <v>-568885430</v>
      </c>
      <c r="GG270">
        <v>1</v>
      </c>
      <c r="GH270">
        <v>1</v>
      </c>
      <c r="GI270">
        <v>4</v>
      </c>
      <c r="GJ270">
        <v>0</v>
      </c>
      <c r="GK270">
        <f>ROUND(R270*(R12)/100,2)</f>
        <v>0</v>
      </c>
      <c r="GL270">
        <f t="shared" si="270"/>
        <v>0</v>
      </c>
      <c r="GM270">
        <f t="shared" si="271"/>
        <v>80056.78</v>
      </c>
      <c r="GN270">
        <f t="shared" si="272"/>
        <v>80056.78</v>
      </c>
      <c r="GO270">
        <f t="shared" si="273"/>
        <v>0</v>
      </c>
      <c r="GP270">
        <f t="shared" si="274"/>
        <v>0</v>
      </c>
      <c r="GR270">
        <v>0</v>
      </c>
      <c r="GS270">
        <v>3</v>
      </c>
      <c r="GT270">
        <v>0</v>
      </c>
      <c r="GU270" t="s">
        <v>6</v>
      </c>
      <c r="GV270">
        <f t="shared" si="275"/>
        <v>0</v>
      </c>
      <c r="GW270">
        <v>1</v>
      </c>
      <c r="GX270">
        <f t="shared" si="276"/>
        <v>0</v>
      </c>
      <c r="HA270">
        <v>0</v>
      </c>
      <c r="HB270">
        <v>0</v>
      </c>
      <c r="HC270">
        <f t="shared" si="277"/>
        <v>0</v>
      </c>
      <c r="IK270">
        <v>0</v>
      </c>
    </row>
    <row r="271" spans="1:245" x14ac:dyDescent="0.2">
      <c r="A271">
        <v>18</v>
      </c>
      <c r="B271">
        <v>1</v>
      </c>
      <c r="C271">
        <v>591</v>
      </c>
      <c r="E271" t="s">
        <v>804</v>
      </c>
      <c r="F271" t="s">
        <v>805</v>
      </c>
      <c r="G271" t="s">
        <v>806</v>
      </c>
      <c r="H271" t="s">
        <v>132</v>
      </c>
      <c r="I271">
        <f>I269*J271</f>
        <v>16</v>
      </c>
      <c r="J271">
        <v>0.33333333333333331</v>
      </c>
      <c r="O271">
        <f t="shared" si="242"/>
        <v>16362.49</v>
      </c>
      <c r="P271">
        <f t="shared" si="243"/>
        <v>16362.49</v>
      </c>
      <c r="Q271">
        <f t="shared" si="244"/>
        <v>0</v>
      </c>
      <c r="R271">
        <f t="shared" si="245"/>
        <v>0</v>
      </c>
      <c r="S271">
        <f t="shared" si="246"/>
        <v>0</v>
      </c>
      <c r="T271">
        <f t="shared" si="247"/>
        <v>0</v>
      </c>
      <c r="U271">
        <f t="shared" si="248"/>
        <v>0</v>
      </c>
      <c r="V271">
        <f t="shared" si="249"/>
        <v>0</v>
      </c>
      <c r="W271">
        <f t="shared" si="250"/>
        <v>0</v>
      </c>
      <c r="X271">
        <f t="shared" si="251"/>
        <v>0</v>
      </c>
      <c r="Y271">
        <f t="shared" si="252"/>
        <v>0</v>
      </c>
      <c r="AA271">
        <v>16630606</v>
      </c>
      <c r="AB271">
        <f t="shared" si="253"/>
        <v>143.43</v>
      </c>
      <c r="AC271">
        <f t="shared" si="278"/>
        <v>143.43</v>
      </c>
      <c r="AD271">
        <f>ROUND((((ET271)-(EU271))+AE271),2)</f>
        <v>0</v>
      </c>
      <c r="AE271">
        <f t="shared" si="286"/>
        <v>0</v>
      </c>
      <c r="AF271">
        <f t="shared" si="286"/>
        <v>0</v>
      </c>
      <c r="AG271">
        <f t="shared" si="255"/>
        <v>0</v>
      </c>
      <c r="AH271">
        <f t="shared" si="287"/>
        <v>0</v>
      </c>
      <c r="AI271">
        <f t="shared" si="287"/>
        <v>0</v>
      </c>
      <c r="AJ271">
        <f t="shared" si="257"/>
        <v>0</v>
      </c>
      <c r="AK271">
        <v>143.43</v>
      </c>
      <c r="AL271">
        <v>143.43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115</v>
      </c>
      <c r="AU271">
        <v>71</v>
      </c>
      <c r="AV271">
        <v>1</v>
      </c>
      <c r="AW271">
        <v>1</v>
      </c>
      <c r="AZ271">
        <v>7.13</v>
      </c>
      <c r="BA271">
        <v>1</v>
      </c>
      <c r="BB271">
        <v>1</v>
      </c>
      <c r="BC271">
        <v>7.13</v>
      </c>
      <c r="BD271" t="s">
        <v>6</v>
      </c>
      <c r="BE271" t="s">
        <v>6</v>
      </c>
      <c r="BF271" t="s">
        <v>6</v>
      </c>
      <c r="BG271" t="s">
        <v>6</v>
      </c>
      <c r="BH271">
        <v>3</v>
      </c>
      <c r="BI271">
        <v>1</v>
      </c>
      <c r="BJ271" t="s">
        <v>807</v>
      </c>
      <c r="BM271">
        <v>16001</v>
      </c>
      <c r="BN271">
        <v>0</v>
      </c>
      <c r="BO271" t="s">
        <v>6</v>
      </c>
      <c r="BP271">
        <v>0</v>
      </c>
      <c r="BQ271">
        <v>2</v>
      </c>
      <c r="BR271">
        <v>0</v>
      </c>
      <c r="BS271">
        <v>1</v>
      </c>
      <c r="BT271">
        <v>1</v>
      </c>
      <c r="BU271">
        <v>1</v>
      </c>
      <c r="BV271">
        <v>1</v>
      </c>
      <c r="BW271">
        <v>1</v>
      </c>
      <c r="BX271">
        <v>1</v>
      </c>
      <c r="BY271" t="s">
        <v>6</v>
      </c>
      <c r="BZ271">
        <v>128</v>
      </c>
      <c r="CA271">
        <v>83</v>
      </c>
      <c r="CE271">
        <v>0</v>
      </c>
      <c r="CF271">
        <v>0</v>
      </c>
      <c r="CG271">
        <v>0</v>
      </c>
      <c r="CM271">
        <v>0</v>
      </c>
      <c r="CN271" t="s">
        <v>6</v>
      </c>
      <c r="CO271">
        <v>0</v>
      </c>
      <c r="CP271">
        <f t="shared" si="258"/>
        <v>16362.49</v>
      </c>
      <c r="CQ271">
        <f t="shared" si="259"/>
        <v>1022.6559000000001</v>
      </c>
      <c r="CR271">
        <f t="shared" si="260"/>
        <v>0</v>
      </c>
      <c r="CS271">
        <f t="shared" si="261"/>
        <v>0</v>
      </c>
      <c r="CT271">
        <f t="shared" si="262"/>
        <v>0</v>
      </c>
      <c r="CU271">
        <f t="shared" si="263"/>
        <v>0</v>
      </c>
      <c r="CV271">
        <f t="shared" si="264"/>
        <v>0</v>
      </c>
      <c r="CW271">
        <f t="shared" si="265"/>
        <v>0</v>
      </c>
      <c r="CX271">
        <f t="shared" si="266"/>
        <v>0</v>
      </c>
      <c r="CY271">
        <f t="shared" si="267"/>
        <v>0</v>
      </c>
      <c r="CZ271">
        <f t="shared" si="268"/>
        <v>0</v>
      </c>
      <c r="DC271" t="s">
        <v>6</v>
      </c>
      <c r="DD271" t="s">
        <v>6</v>
      </c>
      <c r="DE271" t="s">
        <v>6</v>
      </c>
      <c r="DF271" t="s">
        <v>6</v>
      </c>
      <c r="DG271" t="s">
        <v>6</v>
      </c>
      <c r="DH271" t="s">
        <v>6</v>
      </c>
      <c r="DI271" t="s">
        <v>6</v>
      </c>
      <c r="DJ271" t="s">
        <v>6</v>
      </c>
      <c r="DK271" t="s">
        <v>6</v>
      </c>
      <c r="DL271" t="s">
        <v>6</v>
      </c>
      <c r="DM271" t="s">
        <v>6</v>
      </c>
      <c r="DN271">
        <v>0</v>
      </c>
      <c r="DO271">
        <v>0</v>
      </c>
      <c r="DP271">
        <v>1</v>
      </c>
      <c r="DQ271">
        <v>1</v>
      </c>
      <c r="DU271">
        <v>1010</v>
      </c>
      <c r="DV271" t="s">
        <v>132</v>
      </c>
      <c r="DW271" t="s">
        <v>132</v>
      </c>
      <c r="DX271">
        <v>1</v>
      </c>
      <c r="EE271">
        <v>16609131</v>
      </c>
      <c r="EF271">
        <v>2</v>
      </c>
      <c r="EG271" t="s">
        <v>14</v>
      </c>
      <c r="EH271">
        <v>0</v>
      </c>
      <c r="EI271" t="s">
        <v>6</v>
      </c>
      <c r="EJ271">
        <v>1</v>
      </c>
      <c r="EK271">
        <v>16001</v>
      </c>
      <c r="EL271" t="s">
        <v>730</v>
      </c>
      <c r="EM271" t="s">
        <v>731</v>
      </c>
      <c r="EO271" t="s">
        <v>6</v>
      </c>
      <c r="EQ271">
        <v>0</v>
      </c>
      <c r="ER271">
        <v>143.43</v>
      </c>
      <c r="ES271">
        <v>143.43</v>
      </c>
      <c r="ET271">
        <v>0</v>
      </c>
      <c r="EU271">
        <v>0</v>
      </c>
      <c r="EV271">
        <v>0</v>
      </c>
      <c r="EW271">
        <v>0</v>
      </c>
      <c r="EX271">
        <v>0</v>
      </c>
      <c r="FQ271">
        <v>0</v>
      </c>
      <c r="FR271">
        <f t="shared" si="269"/>
        <v>0</v>
      </c>
      <c r="FS271">
        <v>0</v>
      </c>
      <c r="FT271" t="s">
        <v>22</v>
      </c>
      <c r="FU271" t="s">
        <v>23</v>
      </c>
      <c r="FX271">
        <v>115.2</v>
      </c>
      <c r="FY271">
        <v>70.55</v>
      </c>
      <c r="GA271" t="s">
        <v>6</v>
      </c>
      <c r="GD271">
        <v>0</v>
      </c>
      <c r="GF271">
        <v>-1303595031</v>
      </c>
      <c r="GG271">
        <v>1</v>
      </c>
      <c r="GH271">
        <v>1</v>
      </c>
      <c r="GI271">
        <v>4</v>
      </c>
      <c r="GJ271">
        <v>0</v>
      </c>
      <c r="GK271">
        <f>ROUND(R271*(R12)/100,2)</f>
        <v>0</v>
      </c>
      <c r="GL271">
        <f t="shared" si="270"/>
        <v>0</v>
      </c>
      <c r="GM271">
        <f t="shared" si="271"/>
        <v>16362.49</v>
      </c>
      <c r="GN271">
        <f t="shared" si="272"/>
        <v>16362.49</v>
      </c>
      <c r="GO271">
        <f t="shared" si="273"/>
        <v>0</v>
      </c>
      <c r="GP271">
        <f t="shared" si="274"/>
        <v>0</v>
      </c>
      <c r="GR271">
        <v>0</v>
      </c>
      <c r="GS271">
        <v>3</v>
      </c>
      <c r="GT271">
        <v>0</v>
      </c>
      <c r="GU271" t="s">
        <v>6</v>
      </c>
      <c r="GV271">
        <f t="shared" si="275"/>
        <v>0</v>
      </c>
      <c r="GW271">
        <v>1</v>
      </c>
      <c r="GX271">
        <f t="shared" si="276"/>
        <v>0</v>
      </c>
      <c r="HA271">
        <v>0</v>
      </c>
      <c r="HB271">
        <v>0</v>
      </c>
      <c r="HC271">
        <f t="shared" si="277"/>
        <v>0</v>
      </c>
      <c r="IK271">
        <v>0</v>
      </c>
    </row>
    <row r="272" spans="1:245" x14ac:dyDescent="0.2">
      <c r="A272">
        <v>18</v>
      </c>
      <c r="B272">
        <v>1</v>
      </c>
      <c r="C272">
        <v>592</v>
      </c>
      <c r="E272" t="s">
        <v>808</v>
      </c>
      <c r="F272" t="s">
        <v>809</v>
      </c>
      <c r="G272" t="s">
        <v>810</v>
      </c>
      <c r="H272" t="s">
        <v>132</v>
      </c>
      <c r="I272">
        <f>I269*J272</f>
        <v>16</v>
      </c>
      <c r="J272">
        <v>0.33333333333333331</v>
      </c>
      <c r="O272">
        <f t="shared" si="242"/>
        <v>14709.48</v>
      </c>
      <c r="P272">
        <f t="shared" si="243"/>
        <v>14709.48</v>
      </c>
      <c r="Q272">
        <f t="shared" si="244"/>
        <v>0</v>
      </c>
      <c r="R272">
        <f t="shared" si="245"/>
        <v>0</v>
      </c>
      <c r="S272">
        <f t="shared" si="246"/>
        <v>0</v>
      </c>
      <c r="T272">
        <f t="shared" si="247"/>
        <v>0</v>
      </c>
      <c r="U272">
        <f t="shared" si="248"/>
        <v>0</v>
      </c>
      <c r="V272">
        <f t="shared" si="249"/>
        <v>0</v>
      </c>
      <c r="W272">
        <f t="shared" si="250"/>
        <v>0</v>
      </c>
      <c r="X272">
        <f t="shared" si="251"/>
        <v>0</v>
      </c>
      <c r="Y272">
        <f t="shared" si="252"/>
        <v>0</v>
      </c>
      <c r="AA272">
        <v>16630606</v>
      </c>
      <c r="AB272">
        <f t="shared" si="253"/>
        <v>128.94</v>
      </c>
      <c r="AC272">
        <f t="shared" si="278"/>
        <v>128.94</v>
      </c>
      <c r="AD272">
        <f>ROUND((((ET272)-(EU272))+AE272),2)</f>
        <v>0</v>
      </c>
      <c r="AE272">
        <f t="shared" si="286"/>
        <v>0</v>
      </c>
      <c r="AF272">
        <f t="shared" si="286"/>
        <v>0</v>
      </c>
      <c r="AG272">
        <f t="shared" si="255"/>
        <v>0</v>
      </c>
      <c r="AH272">
        <f t="shared" si="287"/>
        <v>0</v>
      </c>
      <c r="AI272">
        <f t="shared" si="287"/>
        <v>0</v>
      </c>
      <c r="AJ272">
        <f t="shared" si="257"/>
        <v>0</v>
      </c>
      <c r="AK272">
        <v>128.94</v>
      </c>
      <c r="AL272">
        <v>128.94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115</v>
      </c>
      <c r="AU272">
        <v>71</v>
      </c>
      <c r="AV272">
        <v>1</v>
      </c>
      <c r="AW272">
        <v>1</v>
      </c>
      <c r="AZ272">
        <v>7.13</v>
      </c>
      <c r="BA272">
        <v>1</v>
      </c>
      <c r="BB272">
        <v>1</v>
      </c>
      <c r="BC272">
        <v>7.13</v>
      </c>
      <c r="BD272" t="s">
        <v>6</v>
      </c>
      <c r="BE272" t="s">
        <v>6</v>
      </c>
      <c r="BF272" t="s">
        <v>6</v>
      </c>
      <c r="BG272" t="s">
        <v>6</v>
      </c>
      <c r="BH272">
        <v>3</v>
      </c>
      <c r="BI272">
        <v>1</v>
      </c>
      <c r="BJ272" t="s">
        <v>811</v>
      </c>
      <c r="BM272">
        <v>16001</v>
      </c>
      <c r="BN272">
        <v>0</v>
      </c>
      <c r="BO272" t="s">
        <v>6</v>
      </c>
      <c r="BP272">
        <v>0</v>
      </c>
      <c r="BQ272">
        <v>2</v>
      </c>
      <c r="BR272">
        <v>0</v>
      </c>
      <c r="BS272">
        <v>1</v>
      </c>
      <c r="BT272">
        <v>1</v>
      </c>
      <c r="BU272">
        <v>1</v>
      </c>
      <c r="BV272">
        <v>1</v>
      </c>
      <c r="BW272">
        <v>1</v>
      </c>
      <c r="BX272">
        <v>1</v>
      </c>
      <c r="BY272" t="s">
        <v>6</v>
      </c>
      <c r="BZ272">
        <v>128</v>
      </c>
      <c r="CA272">
        <v>83</v>
      </c>
      <c r="CE272">
        <v>0</v>
      </c>
      <c r="CF272">
        <v>0</v>
      </c>
      <c r="CG272">
        <v>0</v>
      </c>
      <c r="CM272">
        <v>0</v>
      </c>
      <c r="CN272" t="s">
        <v>6</v>
      </c>
      <c r="CO272">
        <v>0</v>
      </c>
      <c r="CP272">
        <f t="shared" si="258"/>
        <v>14709.48</v>
      </c>
      <c r="CQ272">
        <f t="shared" si="259"/>
        <v>919.34219999999993</v>
      </c>
      <c r="CR272">
        <f t="shared" si="260"/>
        <v>0</v>
      </c>
      <c r="CS272">
        <f t="shared" si="261"/>
        <v>0</v>
      </c>
      <c r="CT272">
        <f t="shared" si="262"/>
        <v>0</v>
      </c>
      <c r="CU272">
        <f t="shared" si="263"/>
        <v>0</v>
      </c>
      <c r="CV272">
        <f t="shared" si="264"/>
        <v>0</v>
      </c>
      <c r="CW272">
        <f t="shared" si="265"/>
        <v>0</v>
      </c>
      <c r="CX272">
        <f t="shared" si="266"/>
        <v>0</v>
      </c>
      <c r="CY272">
        <f t="shared" si="267"/>
        <v>0</v>
      </c>
      <c r="CZ272">
        <f t="shared" si="268"/>
        <v>0</v>
      </c>
      <c r="DC272" t="s">
        <v>6</v>
      </c>
      <c r="DD272" t="s">
        <v>6</v>
      </c>
      <c r="DE272" t="s">
        <v>6</v>
      </c>
      <c r="DF272" t="s">
        <v>6</v>
      </c>
      <c r="DG272" t="s">
        <v>6</v>
      </c>
      <c r="DH272" t="s">
        <v>6</v>
      </c>
      <c r="DI272" t="s">
        <v>6</v>
      </c>
      <c r="DJ272" t="s">
        <v>6</v>
      </c>
      <c r="DK272" t="s">
        <v>6</v>
      </c>
      <c r="DL272" t="s">
        <v>6</v>
      </c>
      <c r="DM272" t="s">
        <v>6</v>
      </c>
      <c r="DN272">
        <v>0</v>
      </c>
      <c r="DO272">
        <v>0</v>
      </c>
      <c r="DP272">
        <v>1</v>
      </c>
      <c r="DQ272">
        <v>1</v>
      </c>
      <c r="DU272">
        <v>1010</v>
      </c>
      <c r="DV272" t="s">
        <v>132</v>
      </c>
      <c r="DW272" t="s">
        <v>132</v>
      </c>
      <c r="DX272">
        <v>1</v>
      </c>
      <c r="EE272">
        <v>16609131</v>
      </c>
      <c r="EF272">
        <v>2</v>
      </c>
      <c r="EG272" t="s">
        <v>14</v>
      </c>
      <c r="EH272">
        <v>0</v>
      </c>
      <c r="EI272" t="s">
        <v>6</v>
      </c>
      <c r="EJ272">
        <v>1</v>
      </c>
      <c r="EK272">
        <v>16001</v>
      </c>
      <c r="EL272" t="s">
        <v>730</v>
      </c>
      <c r="EM272" t="s">
        <v>731</v>
      </c>
      <c r="EO272" t="s">
        <v>6</v>
      </c>
      <c r="EQ272">
        <v>0</v>
      </c>
      <c r="ER272">
        <v>128.94</v>
      </c>
      <c r="ES272">
        <v>128.94</v>
      </c>
      <c r="ET272">
        <v>0</v>
      </c>
      <c r="EU272">
        <v>0</v>
      </c>
      <c r="EV272">
        <v>0</v>
      </c>
      <c r="EW272">
        <v>0</v>
      </c>
      <c r="EX272">
        <v>0</v>
      </c>
      <c r="FQ272">
        <v>0</v>
      </c>
      <c r="FR272">
        <f t="shared" si="269"/>
        <v>0</v>
      </c>
      <c r="FS272">
        <v>0</v>
      </c>
      <c r="FT272" t="s">
        <v>22</v>
      </c>
      <c r="FU272" t="s">
        <v>23</v>
      </c>
      <c r="FX272">
        <v>115.2</v>
      </c>
      <c r="FY272">
        <v>70.55</v>
      </c>
      <c r="GA272" t="s">
        <v>6</v>
      </c>
      <c r="GD272">
        <v>0</v>
      </c>
      <c r="GF272">
        <v>-2133425999</v>
      </c>
      <c r="GG272">
        <v>1</v>
      </c>
      <c r="GH272">
        <v>1</v>
      </c>
      <c r="GI272">
        <v>4</v>
      </c>
      <c r="GJ272">
        <v>0</v>
      </c>
      <c r="GK272">
        <f>ROUND(R272*(R12)/100,2)</f>
        <v>0</v>
      </c>
      <c r="GL272">
        <f t="shared" si="270"/>
        <v>0</v>
      </c>
      <c r="GM272">
        <f t="shared" si="271"/>
        <v>14709.48</v>
      </c>
      <c r="GN272">
        <f t="shared" si="272"/>
        <v>14709.48</v>
      </c>
      <c r="GO272">
        <f t="shared" si="273"/>
        <v>0</v>
      </c>
      <c r="GP272">
        <f t="shared" si="274"/>
        <v>0</v>
      </c>
      <c r="GR272">
        <v>0</v>
      </c>
      <c r="GS272">
        <v>3</v>
      </c>
      <c r="GT272">
        <v>0</v>
      </c>
      <c r="GU272" t="s">
        <v>6</v>
      </c>
      <c r="GV272">
        <f t="shared" si="275"/>
        <v>0</v>
      </c>
      <c r="GW272">
        <v>1</v>
      </c>
      <c r="GX272">
        <f t="shared" si="276"/>
        <v>0</v>
      </c>
      <c r="HA272">
        <v>0</v>
      </c>
      <c r="HB272">
        <v>0</v>
      </c>
      <c r="HC272">
        <f t="shared" si="277"/>
        <v>0</v>
      </c>
      <c r="IK272">
        <v>0</v>
      </c>
    </row>
    <row r="273" spans="1:245" x14ac:dyDescent="0.2">
      <c r="A273">
        <v>17</v>
      </c>
      <c r="B273">
        <v>1</v>
      </c>
      <c r="C273">
        <f>ROW(SmtRes!A601)</f>
        <v>601</v>
      </c>
      <c r="D273">
        <f>ROW(EtalonRes!A583)</f>
        <v>583</v>
      </c>
      <c r="E273" t="s">
        <v>812</v>
      </c>
      <c r="F273" t="s">
        <v>813</v>
      </c>
      <c r="G273" t="s">
        <v>814</v>
      </c>
      <c r="H273" t="s">
        <v>127</v>
      </c>
      <c r="I273">
        <v>16</v>
      </c>
      <c r="J273">
        <v>0</v>
      </c>
      <c r="O273">
        <f t="shared" si="242"/>
        <v>4060.1</v>
      </c>
      <c r="P273">
        <f t="shared" si="243"/>
        <v>1013.03</v>
      </c>
      <c r="Q273">
        <f t="shared" si="244"/>
        <v>975.38</v>
      </c>
      <c r="R273">
        <f t="shared" si="245"/>
        <v>154.01</v>
      </c>
      <c r="S273">
        <f t="shared" si="246"/>
        <v>2071.69</v>
      </c>
      <c r="T273">
        <f t="shared" si="247"/>
        <v>0</v>
      </c>
      <c r="U273">
        <f t="shared" si="248"/>
        <v>30.543999999999997</v>
      </c>
      <c r="V273">
        <f t="shared" si="249"/>
        <v>1.7999999999999998</v>
      </c>
      <c r="W273">
        <f t="shared" si="250"/>
        <v>0</v>
      </c>
      <c r="X273">
        <f t="shared" si="251"/>
        <v>2559.56</v>
      </c>
      <c r="Y273">
        <f t="shared" si="252"/>
        <v>1580.25</v>
      </c>
      <c r="AA273">
        <v>16630606</v>
      </c>
      <c r="AB273">
        <f t="shared" si="253"/>
        <v>35.590000000000003</v>
      </c>
      <c r="AC273">
        <f t="shared" si="278"/>
        <v>8.8800000000000008</v>
      </c>
      <c r="AD273">
        <f>ROUND(((((ET273*1.25))-((EU273*1.25)))+AE273),2)</f>
        <v>8.5500000000000007</v>
      </c>
      <c r="AE273">
        <f>ROUND(((EU273*1.25)),2)</f>
        <v>1.35</v>
      </c>
      <c r="AF273">
        <f>ROUND(((EV273*1.15)),2)</f>
        <v>18.16</v>
      </c>
      <c r="AG273">
        <f t="shared" si="255"/>
        <v>0</v>
      </c>
      <c r="AH273">
        <f>((EW273*1.15))</f>
        <v>1.9089999999999998</v>
      </c>
      <c r="AI273">
        <f>((EX273*1.25))</f>
        <v>0.11249999999999999</v>
      </c>
      <c r="AJ273">
        <f t="shared" si="257"/>
        <v>0</v>
      </c>
      <c r="AK273">
        <v>31.51</v>
      </c>
      <c r="AL273">
        <v>8.8800000000000008</v>
      </c>
      <c r="AM273">
        <v>6.84</v>
      </c>
      <c r="AN273">
        <v>1.08</v>
      </c>
      <c r="AO273">
        <v>15.79</v>
      </c>
      <c r="AP273">
        <v>0</v>
      </c>
      <c r="AQ273">
        <v>1.66</v>
      </c>
      <c r="AR273">
        <v>0.09</v>
      </c>
      <c r="AS273">
        <v>0</v>
      </c>
      <c r="AT273">
        <v>115</v>
      </c>
      <c r="AU273">
        <v>71</v>
      </c>
      <c r="AV273">
        <v>1</v>
      </c>
      <c r="AW273">
        <v>1</v>
      </c>
      <c r="AZ273">
        <v>7.13</v>
      </c>
      <c r="BA273">
        <v>7.13</v>
      </c>
      <c r="BB273">
        <v>7.13</v>
      </c>
      <c r="BC273">
        <v>7.13</v>
      </c>
      <c r="BD273" t="s">
        <v>6</v>
      </c>
      <c r="BE273" t="s">
        <v>6</v>
      </c>
      <c r="BF273" t="s">
        <v>6</v>
      </c>
      <c r="BG273" t="s">
        <v>6</v>
      </c>
      <c r="BH273">
        <v>0</v>
      </c>
      <c r="BI273">
        <v>1</v>
      </c>
      <c r="BJ273" t="s">
        <v>815</v>
      </c>
      <c r="BM273">
        <v>18001</v>
      </c>
      <c r="BN273">
        <v>0</v>
      </c>
      <c r="BO273" t="s">
        <v>6</v>
      </c>
      <c r="BP273">
        <v>0</v>
      </c>
      <c r="BQ273">
        <v>2</v>
      </c>
      <c r="BR273">
        <v>0</v>
      </c>
      <c r="BS273">
        <v>7.13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6</v>
      </c>
      <c r="BZ273">
        <v>128</v>
      </c>
      <c r="CA273">
        <v>83</v>
      </c>
      <c r="CE273">
        <v>0</v>
      </c>
      <c r="CF273">
        <v>0</v>
      </c>
      <c r="CG273">
        <v>0</v>
      </c>
      <c r="CM273">
        <v>0</v>
      </c>
      <c r="CN273" t="s">
        <v>1758</v>
      </c>
      <c r="CO273">
        <v>0</v>
      </c>
      <c r="CP273">
        <f t="shared" si="258"/>
        <v>4060.1</v>
      </c>
      <c r="CQ273">
        <f t="shared" si="259"/>
        <v>63.314400000000006</v>
      </c>
      <c r="CR273">
        <f t="shared" si="260"/>
        <v>60.961500000000001</v>
      </c>
      <c r="CS273">
        <f t="shared" si="261"/>
        <v>9.6255000000000006</v>
      </c>
      <c r="CT273">
        <f t="shared" si="262"/>
        <v>129.48079999999999</v>
      </c>
      <c r="CU273">
        <f t="shared" si="263"/>
        <v>0</v>
      </c>
      <c r="CV273">
        <f t="shared" si="264"/>
        <v>1.9089999999999998</v>
      </c>
      <c r="CW273">
        <f t="shared" si="265"/>
        <v>0.11249999999999999</v>
      </c>
      <c r="CX273">
        <f t="shared" si="266"/>
        <v>0</v>
      </c>
      <c r="CY273">
        <f t="shared" si="267"/>
        <v>2559.5549999999998</v>
      </c>
      <c r="CZ273">
        <f t="shared" si="268"/>
        <v>1580.2469999999998</v>
      </c>
      <c r="DC273" t="s">
        <v>6</v>
      </c>
      <c r="DD273" t="s">
        <v>6</v>
      </c>
      <c r="DE273" t="s">
        <v>81</v>
      </c>
      <c r="DF273" t="s">
        <v>81</v>
      </c>
      <c r="DG273" t="s">
        <v>82</v>
      </c>
      <c r="DH273" t="s">
        <v>6</v>
      </c>
      <c r="DI273" t="s">
        <v>82</v>
      </c>
      <c r="DJ273" t="s">
        <v>81</v>
      </c>
      <c r="DK273" t="s">
        <v>6</v>
      </c>
      <c r="DL273" t="s">
        <v>6</v>
      </c>
      <c r="DM273" t="s">
        <v>6</v>
      </c>
      <c r="DN273">
        <v>0</v>
      </c>
      <c r="DO273">
        <v>0</v>
      </c>
      <c r="DP273">
        <v>1</v>
      </c>
      <c r="DQ273">
        <v>1</v>
      </c>
      <c r="DU273">
        <v>1013</v>
      </c>
      <c r="DV273" t="s">
        <v>127</v>
      </c>
      <c r="DW273" t="s">
        <v>127</v>
      </c>
      <c r="DX273">
        <v>1</v>
      </c>
      <c r="EE273">
        <v>16609133</v>
      </c>
      <c r="EF273">
        <v>2</v>
      </c>
      <c r="EG273" t="s">
        <v>14</v>
      </c>
      <c r="EH273">
        <v>0</v>
      </c>
      <c r="EI273" t="s">
        <v>6</v>
      </c>
      <c r="EJ273">
        <v>1</v>
      </c>
      <c r="EK273">
        <v>18001</v>
      </c>
      <c r="EL273" t="s">
        <v>771</v>
      </c>
      <c r="EM273" t="s">
        <v>772</v>
      </c>
      <c r="EO273" t="s">
        <v>83</v>
      </c>
      <c r="EQ273">
        <v>131072</v>
      </c>
      <c r="ER273">
        <v>31.51</v>
      </c>
      <c r="ES273">
        <v>8.8800000000000008</v>
      </c>
      <c r="ET273">
        <v>6.84</v>
      </c>
      <c r="EU273">
        <v>1.08</v>
      </c>
      <c r="EV273">
        <v>15.79</v>
      </c>
      <c r="EW273">
        <v>1.66</v>
      </c>
      <c r="EX273">
        <v>0.09</v>
      </c>
      <c r="EY273">
        <v>0</v>
      </c>
      <c r="FQ273">
        <v>0</v>
      </c>
      <c r="FR273">
        <f t="shared" si="269"/>
        <v>0</v>
      </c>
      <c r="FS273">
        <v>0</v>
      </c>
      <c r="FT273" t="s">
        <v>22</v>
      </c>
      <c r="FU273" t="s">
        <v>23</v>
      </c>
      <c r="FX273">
        <v>115.2</v>
      </c>
      <c r="FY273">
        <v>70.55</v>
      </c>
      <c r="GA273" t="s">
        <v>6</v>
      </c>
      <c r="GD273">
        <v>0</v>
      </c>
      <c r="GF273">
        <v>1309922170</v>
      </c>
      <c r="GG273">
        <v>1</v>
      </c>
      <c r="GH273">
        <v>1</v>
      </c>
      <c r="GI273">
        <v>4</v>
      </c>
      <c r="GJ273">
        <v>0</v>
      </c>
      <c r="GK273">
        <f>ROUND(R273*(R12)/100,2)</f>
        <v>0</v>
      </c>
      <c r="GL273">
        <f t="shared" si="270"/>
        <v>0</v>
      </c>
      <c r="GM273">
        <f t="shared" si="271"/>
        <v>8199.91</v>
      </c>
      <c r="GN273">
        <f t="shared" si="272"/>
        <v>8199.91</v>
      </c>
      <c r="GO273">
        <f t="shared" si="273"/>
        <v>0</v>
      </c>
      <c r="GP273">
        <f t="shared" si="274"/>
        <v>0</v>
      </c>
      <c r="GR273">
        <v>0</v>
      </c>
      <c r="GS273">
        <v>3</v>
      </c>
      <c r="GT273">
        <v>0</v>
      </c>
      <c r="GU273" t="s">
        <v>6</v>
      </c>
      <c r="GV273">
        <f t="shared" si="275"/>
        <v>0</v>
      </c>
      <c r="GW273">
        <v>1</v>
      </c>
      <c r="GX273">
        <f t="shared" si="276"/>
        <v>0</v>
      </c>
      <c r="HA273">
        <v>0</v>
      </c>
      <c r="HB273">
        <v>0</v>
      </c>
      <c r="HC273">
        <f t="shared" si="277"/>
        <v>0</v>
      </c>
      <c r="IK273">
        <v>0</v>
      </c>
    </row>
    <row r="274" spans="1:245" x14ac:dyDescent="0.2">
      <c r="A274">
        <v>18</v>
      </c>
      <c r="B274">
        <v>1</v>
      </c>
      <c r="C274">
        <v>601</v>
      </c>
      <c r="E274" t="s">
        <v>816</v>
      </c>
      <c r="F274" t="s">
        <v>817</v>
      </c>
      <c r="G274" t="s">
        <v>818</v>
      </c>
      <c r="H274" t="s">
        <v>132</v>
      </c>
      <c r="I274">
        <f>I273*J274</f>
        <v>16</v>
      </c>
      <c r="J274">
        <v>1</v>
      </c>
      <c r="O274">
        <f t="shared" si="242"/>
        <v>6924.66</v>
      </c>
      <c r="P274">
        <f t="shared" si="243"/>
        <v>6924.66</v>
      </c>
      <c r="Q274">
        <f t="shared" si="244"/>
        <v>0</v>
      </c>
      <c r="R274">
        <f t="shared" si="245"/>
        <v>0</v>
      </c>
      <c r="S274">
        <f t="shared" si="246"/>
        <v>0</v>
      </c>
      <c r="T274">
        <f t="shared" si="247"/>
        <v>0</v>
      </c>
      <c r="U274">
        <f t="shared" si="248"/>
        <v>0</v>
      </c>
      <c r="V274">
        <f t="shared" si="249"/>
        <v>0</v>
      </c>
      <c r="W274">
        <f t="shared" si="250"/>
        <v>0</v>
      </c>
      <c r="X274">
        <f t="shared" si="251"/>
        <v>0</v>
      </c>
      <c r="Y274">
        <f t="shared" si="252"/>
        <v>0</v>
      </c>
      <c r="AA274">
        <v>16630606</v>
      </c>
      <c r="AB274">
        <f t="shared" si="253"/>
        <v>60.7</v>
      </c>
      <c r="AC274">
        <f t="shared" si="278"/>
        <v>60.7</v>
      </c>
      <c r="AD274">
        <f>ROUND((((ET274)-(EU274))+AE274),2)</f>
        <v>0</v>
      </c>
      <c r="AE274">
        <f>ROUND((EU274),2)</f>
        <v>0</v>
      </c>
      <c r="AF274">
        <f>ROUND((EV274),2)</f>
        <v>0</v>
      </c>
      <c r="AG274">
        <f t="shared" si="255"/>
        <v>0</v>
      </c>
      <c r="AH274">
        <f>(EW274)</f>
        <v>0</v>
      </c>
      <c r="AI274">
        <f>(EX274)</f>
        <v>0</v>
      </c>
      <c r="AJ274">
        <f t="shared" si="257"/>
        <v>0</v>
      </c>
      <c r="AK274">
        <v>60.7</v>
      </c>
      <c r="AL274">
        <v>60.7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115</v>
      </c>
      <c r="AU274">
        <v>71</v>
      </c>
      <c r="AV274">
        <v>1</v>
      </c>
      <c r="AW274">
        <v>1</v>
      </c>
      <c r="AZ274">
        <v>7.13</v>
      </c>
      <c r="BA274">
        <v>1</v>
      </c>
      <c r="BB274">
        <v>1</v>
      </c>
      <c r="BC274">
        <v>7.13</v>
      </c>
      <c r="BD274" t="s">
        <v>6</v>
      </c>
      <c r="BE274" t="s">
        <v>6</v>
      </c>
      <c r="BF274" t="s">
        <v>6</v>
      </c>
      <c r="BG274" t="s">
        <v>6</v>
      </c>
      <c r="BH274">
        <v>3</v>
      </c>
      <c r="BI274">
        <v>1</v>
      </c>
      <c r="BJ274" t="s">
        <v>819</v>
      </c>
      <c r="BM274">
        <v>18001</v>
      </c>
      <c r="BN274">
        <v>0</v>
      </c>
      <c r="BO274" t="s">
        <v>6</v>
      </c>
      <c r="BP274">
        <v>0</v>
      </c>
      <c r="BQ274">
        <v>2</v>
      </c>
      <c r="BR274">
        <v>0</v>
      </c>
      <c r="BS274">
        <v>1</v>
      </c>
      <c r="BT274">
        <v>1</v>
      </c>
      <c r="BU274">
        <v>1</v>
      </c>
      <c r="BV274">
        <v>1</v>
      </c>
      <c r="BW274">
        <v>1</v>
      </c>
      <c r="BX274">
        <v>1</v>
      </c>
      <c r="BY274" t="s">
        <v>6</v>
      </c>
      <c r="BZ274">
        <v>128</v>
      </c>
      <c r="CA274">
        <v>83</v>
      </c>
      <c r="CE274">
        <v>0</v>
      </c>
      <c r="CF274">
        <v>0</v>
      </c>
      <c r="CG274">
        <v>0</v>
      </c>
      <c r="CM274">
        <v>0</v>
      </c>
      <c r="CN274" t="s">
        <v>6</v>
      </c>
      <c r="CO274">
        <v>0</v>
      </c>
      <c r="CP274">
        <f t="shared" si="258"/>
        <v>6924.66</v>
      </c>
      <c r="CQ274">
        <f t="shared" si="259"/>
        <v>432.791</v>
      </c>
      <c r="CR274">
        <f t="shared" si="260"/>
        <v>0</v>
      </c>
      <c r="CS274">
        <f t="shared" si="261"/>
        <v>0</v>
      </c>
      <c r="CT274">
        <f t="shared" si="262"/>
        <v>0</v>
      </c>
      <c r="CU274">
        <f t="shared" si="263"/>
        <v>0</v>
      </c>
      <c r="CV274">
        <f t="shared" si="264"/>
        <v>0</v>
      </c>
      <c r="CW274">
        <f t="shared" si="265"/>
        <v>0</v>
      </c>
      <c r="CX274">
        <f t="shared" si="266"/>
        <v>0</v>
      </c>
      <c r="CY274">
        <f t="shared" si="267"/>
        <v>0</v>
      </c>
      <c r="CZ274">
        <f t="shared" si="268"/>
        <v>0</v>
      </c>
      <c r="DC274" t="s">
        <v>6</v>
      </c>
      <c r="DD274" t="s">
        <v>6</v>
      </c>
      <c r="DE274" t="s">
        <v>6</v>
      </c>
      <c r="DF274" t="s">
        <v>6</v>
      </c>
      <c r="DG274" t="s">
        <v>6</v>
      </c>
      <c r="DH274" t="s">
        <v>6</v>
      </c>
      <c r="DI274" t="s">
        <v>6</v>
      </c>
      <c r="DJ274" t="s">
        <v>6</v>
      </c>
      <c r="DK274" t="s">
        <v>6</v>
      </c>
      <c r="DL274" t="s">
        <v>6</v>
      </c>
      <c r="DM274" t="s">
        <v>6</v>
      </c>
      <c r="DN274">
        <v>0</v>
      </c>
      <c r="DO274">
        <v>0</v>
      </c>
      <c r="DP274">
        <v>1</v>
      </c>
      <c r="DQ274">
        <v>1</v>
      </c>
      <c r="DU274">
        <v>1010</v>
      </c>
      <c r="DV274" t="s">
        <v>132</v>
      </c>
      <c r="DW274" t="s">
        <v>132</v>
      </c>
      <c r="DX274">
        <v>1</v>
      </c>
      <c r="EE274">
        <v>16609133</v>
      </c>
      <c r="EF274">
        <v>2</v>
      </c>
      <c r="EG274" t="s">
        <v>14</v>
      </c>
      <c r="EH274">
        <v>0</v>
      </c>
      <c r="EI274" t="s">
        <v>6</v>
      </c>
      <c r="EJ274">
        <v>1</v>
      </c>
      <c r="EK274">
        <v>18001</v>
      </c>
      <c r="EL274" t="s">
        <v>771</v>
      </c>
      <c r="EM274" t="s">
        <v>772</v>
      </c>
      <c r="EO274" t="s">
        <v>6</v>
      </c>
      <c r="EQ274">
        <v>0</v>
      </c>
      <c r="ER274">
        <v>60.7</v>
      </c>
      <c r="ES274">
        <v>60.7</v>
      </c>
      <c r="ET274">
        <v>0</v>
      </c>
      <c r="EU274">
        <v>0</v>
      </c>
      <c r="EV274">
        <v>0</v>
      </c>
      <c r="EW274">
        <v>0</v>
      </c>
      <c r="EX274">
        <v>0</v>
      </c>
      <c r="FQ274">
        <v>0</v>
      </c>
      <c r="FR274">
        <f t="shared" si="269"/>
        <v>0</v>
      </c>
      <c r="FS274">
        <v>0</v>
      </c>
      <c r="FT274" t="s">
        <v>22</v>
      </c>
      <c r="FU274" t="s">
        <v>23</v>
      </c>
      <c r="FX274">
        <v>115.2</v>
      </c>
      <c r="FY274">
        <v>70.55</v>
      </c>
      <c r="GA274" t="s">
        <v>6</v>
      </c>
      <c r="GD274">
        <v>0</v>
      </c>
      <c r="GF274">
        <v>450256495</v>
      </c>
      <c r="GG274">
        <v>1</v>
      </c>
      <c r="GH274">
        <v>1</v>
      </c>
      <c r="GI274">
        <v>4</v>
      </c>
      <c r="GJ274">
        <v>0</v>
      </c>
      <c r="GK274">
        <f>ROUND(R274*(R12)/100,2)</f>
        <v>0</v>
      </c>
      <c r="GL274">
        <f t="shared" si="270"/>
        <v>0</v>
      </c>
      <c r="GM274">
        <f t="shared" si="271"/>
        <v>6924.66</v>
      </c>
      <c r="GN274">
        <f t="shared" si="272"/>
        <v>6924.66</v>
      </c>
      <c r="GO274">
        <f t="shared" si="273"/>
        <v>0</v>
      </c>
      <c r="GP274">
        <f t="shared" si="274"/>
        <v>0</v>
      </c>
      <c r="GR274">
        <v>0</v>
      </c>
      <c r="GS274">
        <v>3</v>
      </c>
      <c r="GT274">
        <v>0</v>
      </c>
      <c r="GU274" t="s">
        <v>6</v>
      </c>
      <c r="GV274">
        <f t="shared" si="275"/>
        <v>0</v>
      </c>
      <c r="GW274">
        <v>1</v>
      </c>
      <c r="GX274">
        <f t="shared" si="276"/>
        <v>0</v>
      </c>
      <c r="HA274">
        <v>0</v>
      </c>
      <c r="HB274">
        <v>0</v>
      </c>
      <c r="HC274">
        <f t="shared" si="277"/>
        <v>0</v>
      </c>
      <c r="IK274">
        <v>0</v>
      </c>
    </row>
    <row r="275" spans="1:245" x14ac:dyDescent="0.2">
      <c r="A275">
        <v>17</v>
      </c>
      <c r="B275">
        <v>1</v>
      </c>
      <c r="C275">
        <f>ROW(SmtRes!A610)</f>
        <v>610</v>
      </c>
      <c r="D275">
        <f>ROW(EtalonRes!A593)</f>
        <v>593</v>
      </c>
      <c r="E275" t="s">
        <v>820</v>
      </c>
      <c r="F275" t="s">
        <v>821</v>
      </c>
      <c r="G275" t="s">
        <v>822</v>
      </c>
      <c r="H275" t="s">
        <v>127</v>
      </c>
      <c r="I275">
        <v>16</v>
      </c>
      <c r="J275">
        <v>0</v>
      </c>
      <c r="O275">
        <f t="shared" si="242"/>
        <v>8141.89</v>
      </c>
      <c r="P275">
        <f t="shared" si="243"/>
        <v>1663.29</v>
      </c>
      <c r="Q275">
        <f t="shared" si="244"/>
        <v>674.21</v>
      </c>
      <c r="R275">
        <f t="shared" si="245"/>
        <v>17.11</v>
      </c>
      <c r="S275">
        <f t="shared" si="246"/>
        <v>5804.39</v>
      </c>
      <c r="T275">
        <f t="shared" si="247"/>
        <v>0</v>
      </c>
      <c r="U275">
        <f t="shared" si="248"/>
        <v>82.063999999999993</v>
      </c>
      <c r="V275">
        <f t="shared" si="249"/>
        <v>0.2</v>
      </c>
      <c r="W275">
        <f t="shared" si="250"/>
        <v>0</v>
      </c>
      <c r="X275">
        <f t="shared" si="251"/>
        <v>6694.73</v>
      </c>
      <c r="Y275">
        <f t="shared" si="252"/>
        <v>4133.2700000000004</v>
      </c>
      <c r="AA275">
        <v>16630606</v>
      </c>
      <c r="AB275">
        <f t="shared" si="253"/>
        <v>71.37</v>
      </c>
      <c r="AC275">
        <f t="shared" si="278"/>
        <v>14.58</v>
      </c>
      <c r="AD275">
        <f>ROUND(((((ET275*1.25))-((EU275*1.25)))+AE275),2)</f>
        <v>5.91</v>
      </c>
      <c r="AE275">
        <f>ROUND(((EU275*1.25)),2)</f>
        <v>0.15</v>
      </c>
      <c r="AF275">
        <f>ROUND(((EV275*1.15)),2)</f>
        <v>50.88</v>
      </c>
      <c r="AG275">
        <f t="shared" si="255"/>
        <v>0</v>
      </c>
      <c r="AH275">
        <f>((EW275*1.15))</f>
        <v>5.1289999999999996</v>
      </c>
      <c r="AI275">
        <f>((EX275*1.25))</f>
        <v>1.2500000000000001E-2</v>
      </c>
      <c r="AJ275">
        <f t="shared" si="257"/>
        <v>0</v>
      </c>
      <c r="AK275">
        <v>63.55</v>
      </c>
      <c r="AL275">
        <v>14.58</v>
      </c>
      <c r="AM275">
        <v>4.7300000000000004</v>
      </c>
      <c r="AN275">
        <v>0.12</v>
      </c>
      <c r="AO275">
        <v>44.24</v>
      </c>
      <c r="AP275">
        <v>0</v>
      </c>
      <c r="AQ275">
        <v>4.46</v>
      </c>
      <c r="AR275">
        <v>0.01</v>
      </c>
      <c r="AS275">
        <v>0</v>
      </c>
      <c r="AT275">
        <v>115</v>
      </c>
      <c r="AU275">
        <v>71</v>
      </c>
      <c r="AV275">
        <v>1</v>
      </c>
      <c r="AW275">
        <v>1</v>
      </c>
      <c r="AZ275">
        <v>7.13</v>
      </c>
      <c r="BA275">
        <v>7.13</v>
      </c>
      <c r="BB275">
        <v>7.13</v>
      </c>
      <c r="BC275">
        <v>7.13</v>
      </c>
      <c r="BD275" t="s">
        <v>6</v>
      </c>
      <c r="BE275" t="s">
        <v>6</v>
      </c>
      <c r="BF275" t="s">
        <v>6</v>
      </c>
      <c r="BG275" t="s">
        <v>6</v>
      </c>
      <c r="BH275">
        <v>0</v>
      </c>
      <c r="BI275">
        <v>1</v>
      </c>
      <c r="BJ275" t="s">
        <v>823</v>
      </c>
      <c r="BM275">
        <v>16001</v>
      </c>
      <c r="BN275">
        <v>0</v>
      </c>
      <c r="BO275" t="s">
        <v>6</v>
      </c>
      <c r="BP275">
        <v>0</v>
      </c>
      <c r="BQ275">
        <v>2</v>
      </c>
      <c r="BR275">
        <v>0</v>
      </c>
      <c r="BS275">
        <v>7.13</v>
      </c>
      <c r="BT275">
        <v>1</v>
      </c>
      <c r="BU275">
        <v>1</v>
      </c>
      <c r="BV275">
        <v>1</v>
      </c>
      <c r="BW275">
        <v>1</v>
      </c>
      <c r="BX275">
        <v>1</v>
      </c>
      <c r="BY275" t="s">
        <v>6</v>
      </c>
      <c r="BZ275">
        <v>128</v>
      </c>
      <c r="CA275">
        <v>83</v>
      </c>
      <c r="CE275">
        <v>0</v>
      </c>
      <c r="CF275">
        <v>0</v>
      </c>
      <c r="CG275">
        <v>0</v>
      </c>
      <c r="CM275">
        <v>0</v>
      </c>
      <c r="CN275" t="s">
        <v>1758</v>
      </c>
      <c r="CO275">
        <v>0</v>
      </c>
      <c r="CP275">
        <f t="shared" si="258"/>
        <v>8141.89</v>
      </c>
      <c r="CQ275">
        <f t="shared" si="259"/>
        <v>103.9554</v>
      </c>
      <c r="CR275">
        <f t="shared" si="260"/>
        <v>42.138300000000001</v>
      </c>
      <c r="CS275">
        <f t="shared" si="261"/>
        <v>1.0694999999999999</v>
      </c>
      <c r="CT275">
        <f t="shared" si="262"/>
        <v>362.77440000000001</v>
      </c>
      <c r="CU275">
        <f t="shared" si="263"/>
        <v>0</v>
      </c>
      <c r="CV275">
        <f t="shared" si="264"/>
        <v>5.1289999999999996</v>
      </c>
      <c r="CW275">
        <f t="shared" si="265"/>
        <v>1.2500000000000001E-2</v>
      </c>
      <c r="CX275">
        <f t="shared" si="266"/>
        <v>0</v>
      </c>
      <c r="CY275">
        <f t="shared" si="267"/>
        <v>6694.7250000000004</v>
      </c>
      <c r="CZ275">
        <f t="shared" si="268"/>
        <v>4133.2650000000003</v>
      </c>
      <c r="DC275" t="s">
        <v>6</v>
      </c>
      <c r="DD275" t="s">
        <v>6</v>
      </c>
      <c r="DE275" t="s">
        <v>81</v>
      </c>
      <c r="DF275" t="s">
        <v>81</v>
      </c>
      <c r="DG275" t="s">
        <v>82</v>
      </c>
      <c r="DH275" t="s">
        <v>6</v>
      </c>
      <c r="DI275" t="s">
        <v>82</v>
      </c>
      <c r="DJ275" t="s">
        <v>81</v>
      </c>
      <c r="DK275" t="s">
        <v>6</v>
      </c>
      <c r="DL275" t="s">
        <v>6</v>
      </c>
      <c r="DM275" t="s">
        <v>6</v>
      </c>
      <c r="DN275">
        <v>0</v>
      </c>
      <c r="DO275">
        <v>0</v>
      </c>
      <c r="DP275">
        <v>1</v>
      </c>
      <c r="DQ275">
        <v>1</v>
      </c>
      <c r="DU275">
        <v>1013</v>
      </c>
      <c r="DV275" t="s">
        <v>127</v>
      </c>
      <c r="DW275" t="s">
        <v>127</v>
      </c>
      <c r="DX275">
        <v>1</v>
      </c>
      <c r="EE275">
        <v>16609131</v>
      </c>
      <c r="EF275">
        <v>2</v>
      </c>
      <c r="EG275" t="s">
        <v>14</v>
      </c>
      <c r="EH275">
        <v>0</v>
      </c>
      <c r="EI275" t="s">
        <v>6</v>
      </c>
      <c r="EJ275">
        <v>1</v>
      </c>
      <c r="EK275">
        <v>16001</v>
      </c>
      <c r="EL275" t="s">
        <v>730</v>
      </c>
      <c r="EM275" t="s">
        <v>731</v>
      </c>
      <c r="EO275" t="s">
        <v>83</v>
      </c>
      <c r="EQ275">
        <v>131072</v>
      </c>
      <c r="ER275">
        <v>63.55</v>
      </c>
      <c r="ES275">
        <v>14.58</v>
      </c>
      <c r="ET275">
        <v>4.7300000000000004</v>
      </c>
      <c r="EU275">
        <v>0.12</v>
      </c>
      <c r="EV275">
        <v>44.24</v>
      </c>
      <c r="EW275">
        <v>4.46</v>
      </c>
      <c r="EX275">
        <v>0.01</v>
      </c>
      <c r="EY275">
        <v>0</v>
      </c>
      <c r="FQ275">
        <v>0</v>
      </c>
      <c r="FR275">
        <f t="shared" si="269"/>
        <v>0</v>
      </c>
      <c r="FS275">
        <v>0</v>
      </c>
      <c r="FT275" t="s">
        <v>22</v>
      </c>
      <c r="FU275" t="s">
        <v>23</v>
      </c>
      <c r="FX275">
        <v>115.2</v>
      </c>
      <c r="FY275">
        <v>70.55</v>
      </c>
      <c r="GA275" t="s">
        <v>6</v>
      </c>
      <c r="GD275">
        <v>0</v>
      </c>
      <c r="GF275">
        <v>-1909433699</v>
      </c>
      <c r="GG275">
        <v>1</v>
      </c>
      <c r="GH275">
        <v>1</v>
      </c>
      <c r="GI275">
        <v>4</v>
      </c>
      <c r="GJ275">
        <v>0</v>
      </c>
      <c r="GK275">
        <f>ROUND(R275*(R12)/100,2)</f>
        <v>0</v>
      </c>
      <c r="GL275">
        <f t="shared" si="270"/>
        <v>0</v>
      </c>
      <c r="GM275">
        <f t="shared" si="271"/>
        <v>18969.89</v>
      </c>
      <c r="GN275">
        <f t="shared" si="272"/>
        <v>18969.89</v>
      </c>
      <c r="GO275">
        <f t="shared" si="273"/>
        <v>0</v>
      </c>
      <c r="GP275">
        <f t="shared" si="274"/>
        <v>0</v>
      </c>
      <c r="GR275">
        <v>0</v>
      </c>
      <c r="GS275">
        <v>3</v>
      </c>
      <c r="GT275">
        <v>0</v>
      </c>
      <c r="GU275" t="s">
        <v>6</v>
      </c>
      <c r="GV275">
        <f t="shared" si="275"/>
        <v>0</v>
      </c>
      <c r="GW275">
        <v>1</v>
      </c>
      <c r="GX275">
        <f t="shared" si="276"/>
        <v>0</v>
      </c>
      <c r="HA275">
        <v>0</v>
      </c>
      <c r="HB275">
        <v>0</v>
      </c>
      <c r="HC275">
        <f t="shared" si="277"/>
        <v>0</v>
      </c>
      <c r="IK275">
        <v>0</v>
      </c>
    </row>
    <row r="276" spans="1:245" x14ac:dyDescent="0.2">
      <c r="A276">
        <v>17</v>
      </c>
      <c r="B276">
        <v>1</v>
      </c>
      <c r="C276">
        <f>ROW(SmtRes!A616)</f>
        <v>616</v>
      </c>
      <c r="D276">
        <f>ROW(EtalonRes!A599)</f>
        <v>599</v>
      </c>
      <c r="E276" t="s">
        <v>824</v>
      </c>
      <c r="F276" t="s">
        <v>825</v>
      </c>
      <c r="G276" t="s">
        <v>826</v>
      </c>
      <c r="H276" t="s">
        <v>57</v>
      </c>
      <c r="I276">
        <f>ROUND(100.4/100,9)</f>
        <v>1.004</v>
      </c>
      <c r="J276">
        <v>0</v>
      </c>
      <c r="O276">
        <f t="shared" si="242"/>
        <v>909.13</v>
      </c>
      <c r="P276">
        <f t="shared" si="243"/>
        <v>30.71</v>
      </c>
      <c r="Q276">
        <f t="shared" si="244"/>
        <v>398.3</v>
      </c>
      <c r="R276">
        <f t="shared" si="245"/>
        <v>0</v>
      </c>
      <c r="S276">
        <f t="shared" si="246"/>
        <v>480.12</v>
      </c>
      <c r="T276">
        <f t="shared" si="247"/>
        <v>0</v>
      </c>
      <c r="U276">
        <f t="shared" si="248"/>
        <v>5.7845459999999989</v>
      </c>
      <c r="V276">
        <f t="shared" si="249"/>
        <v>0</v>
      </c>
      <c r="W276">
        <f t="shared" si="250"/>
        <v>0</v>
      </c>
      <c r="X276">
        <f t="shared" si="251"/>
        <v>552.14</v>
      </c>
      <c r="Y276">
        <f t="shared" si="252"/>
        <v>340.89</v>
      </c>
      <c r="AA276">
        <v>16630606</v>
      </c>
      <c r="AB276">
        <f t="shared" si="253"/>
        <v>127</v>
      </c>
      <c r="AC276">
        <f t="shared" si="278"/>
        <v>4.29</v>
      </c>
      <c r="AD276">
        <f>ROUND(((((ET276*1.25))-((EU276*1.25)))+AE276),2)</f>
        <v>55.64</v>
      </c>
      <c r="AE276">
        <f>ROUND(((EU276*1.25)),2)</f>
        <v>0</v>
      </c>
      <c r="AF276">
        <f>ROUND(((EV276*1.15)),2)</f>
        <v>67.069999999999993</v>
      </c>
      <c r="AG276">
        <f t="shared" si="255"/>
        <v>0</v>
      </c>
      <c r="AH276">
        <f>((EW276*1.15))</f>
        <v>5.761499999999999</v>
      </c>
      <c r="AI276">
        <f>((EX276*1.25))</f>
        <v>0</v>
      </c>
      <c r="AJ276">
        <f t="shared" si="257"/>
        <v>0</v>
      </c>
      <c r="AK276">
        <v>107.12</v>
      </c>
      <c r="AL276">
        <v>4.29</v>
      </c>
      <c r="AM276">
        <v>44.51</v>
      </c>
      <c r="AN276">
        <v>0</v>
      </c>
      <c r="AO276">
        <v>58.32</v>
      </c>
      <c r="AP276">
        <v>0</v>
      </c>
      <c r="AQ276">
        <v>5.01</v>
      </c>
      <c r="AR276">
        <v>0</v>
      </c>
      <c r="AS276">
        <v>0</v>
      </c>
      <c r="AT276">
        <v>115</v>
      </c>
      <c r="AU276">
        <v>71</v>
      </c>
      <c r="AV276">
        <v>1</v>
      </c>
      <c r="AW276">
        <v>1</v>
      </c>
      <c r="AZ276">
        <v>7.13</v>
      </c>
      <c r="BA276">
        <v>7.13</v>
      </c>
      <c r="BB276">
        <v>7.13</v>
      </c>
      <c r="BC276">
        <v>7.13</v>
      </c>
      <c r="BD276" t="s">
        <v>6</v>
      </c>
      <c r="BE276" t="s">
        <v>6</v>
      </c>
      <c r="BF276" t="s">
        <v>6</v>
      </c>
      <c r="BG276" t="s">
        <v>6</v>
      </c>
      <c r="BH276">
        <v>0</v>
      </c>
      <c r="BI276">
        <v>1</v>
      </c>
      <c r="BJ276" t="s">
        <v>827</v>
      </c>
      <c r="BM276">
        <v>16001</v>
      </c>
      <c r="BN276">
        <v>0</v>
      </c>
      <c r="BO276" t="s">
        <v>6</v>
      </c>
      <c r="BP276">
        <v>0</v>
      </c>
      <c r="BQ276">
        <v>2</v>
      </c>
      <c r="BR276">
        <v>0</v>
      </c>
      <c r="BS276">
        <v>7.13</v>
      </c>
      <c r="BT276">
        <v>1</v>
      </c>
      <c r="BU276">
        <v>1</v>
      </c>
      <c r="BV276">
        <v>1</v>
      </c>
      <c r="BW276">
        <v>1</v>
      </c>
      <c r="BX276">
        <v>1</v>
      </c>
      <c r="BY276" t="s">
        <v>6</v>
      </c>
      <c r="BZ276">
        <v>128</v>
      </c>
      <c r="CA276">
        <v>83</v>
      </c>
      <c r="CE276">
        <v>0</v>
      </c>
      <c r="CF276">
        <v>0</v>
      </c>
      <c r="CG276">
        <v>0</v>
      </c>
      <c r="CM276">
        <v>0</v>
      </c>
      <c r="CN276" t="s">
        <v>1758</v>
      </c>
      <c r="CO276">
        <v>0</v>
      </c>
      <c r="CP276">
        <f t="shared" si="258"/>
        <v>909.13</v>
      </c>
      <c r="CQ276">
        <f t="shared" si="259"/>
        <v>30.587699999999998</v>
      </c>
      <c r="CR276">
        <f t="shared" si="260"/>
        <v>396.71319999999997</v>
      </c>
      <c r="CS276">
        <f t="shared" si="261"/>
        <v>0</v>
      </c>
      <c r="CT276">
        <f t="shared" si="262"/>
        <v>478.20909999999992</v>
      </c>
      <c r="CU276">
        <f t="shared" si="263"/>
        <v>0</v>
      </c>
      <c r="CV276">
        <f t="shared" si="264"/>
        <v>5.761499999999999</v>
      </c>
      <c r="CW276">
        <f t="shared" si="265"/>
        <v>0</v>
      </c>
      <c r="CX276">
        <f t="shared" si="266"/>
        <v>0</v>
      </c>
      <c r="CY276">
        <f t="shared" si="267"/>
        <v>552.13800000000003</v>
      </c>
      <c r="CZ276">
        <f t="shared" si="268"/>
        <v>340.88519999999994</v>
      </c>
      <c r="DC276" t="s">
        <v>6</v>
      </c>
      <c r="DD276" t="s">
        <v>6</v>
      </c>
      <c r="DE276" t="s">
        <v>81</v>
      </c>
      <c r="DF276" t="s">
        <v>81</v>
      </c>
      <c r="DG276" t="s">
        <v>82</v>
      </c>
      <c r="DH276" t="s">
        <v>6</v>
      </c>
      <c r="DI276" t="s">
        <v>82</v>
      </c>
      <c r="DJ276" t="s">
        <v>81</v>
      </c>
      <c r="DK276" t="s">
        <v>6</v>
      </c>
      <c r="DL276" t="s">
        <v>6</v>
      </c>
      <c r="DM276" t="s">
        <v>6</v>
      </c>
      <c r="DN276">
        <v>0</v>
      </c>
      <c r="DO276">
        <v>0</v>
      </c>
      <c r="DP276">
        <v>1</v>
      </c>
      <c r="DQ276">
        <v>1</v>
      </c>
      <c r="DU276">
        <v>1003</v>
      </c>
      <c r="DV276" t="s">
        <v>57</v>
      </c>
      <c r="DW276" t="s">
        <v>57</v>
      </c>
      <c r="DX276">
        <v>100</v>
      </c>
      <c r="EE276">
        <v>16609131</v>
      </c>
      <c r="EF276">
        <v>2</v>
      </c>
      <c r="EG276" t="s">
        <v>14</v>
      </c>
      <c r="EH276">
        <v>0</v>
      </c>
      <c r="EI276" t="s">
        <v>6</v>
      </c>
      <c r="EJ276">
        <v>1</v>
      </c>
      <c r="EK276">
        <v>16001</v>
      </c>
      <c r="EL276" t="s">
        <v>730</v>
      </c>
      <c r="EM276" t="s">
        <v>731</v>
      </c>
      <c r="EO276" t="s">
        <v>83</v>
      </c>
      <c r="EQ276">
        <v>131072</v>
      </c>
      <c r="ER276">
        <v>107.12</v>
      </c>
      <c r="ES276">
        <v>4.29</v>
      </c>
      <c r="ET276">
        <v>44.51</v>
      </c>
      <c r="EU276">
        <v>0</v>
      </c>
      <c r="EV276">
        <v>58.32</v>
      </c>
      <c r="EW276">
        <v>5.01</v>
      </c>
      <c r="EX276">
        <v>0</v>
      </c>
      <c r="EY276">
        <v>0</v>
      </c>
      <c r="FQ276">
        <v>0</v>
      </c>
      <c r="FR276">
        <f t="shared" si="269"/>
        <v>0</v>
      </c>
      <c r="FS276">
        <v>0</v>
      </c>
      <c r="FT276" t="s">
        <v>22</v>
      </c>
      <c r="FU276" t="s">
        <v>23</v>
      </c>
      <c r="FX276">
        <v>115.2</v>
      </c>
      <c r="FY276">
        <v>70.55</v>
      </c>
      <c r="GA276" t="s">
        <v>6</v>
      </c>
      <c r="GD276">
        <v>0</v>
      </c>
      <c r="GF276">
        <v>1667606600</v>
      </c>
      <c r="GG276">
        <v>1</v>
      </c>
      <c r="GH276">
        <v>1</v>
      </c>
      <c r="GI276">
        <v>4</v>
      </c>
      <c r="GJ276">
        <v>0</v>
      </c>
      <c r="GK276">
        <f>ROUND(R276*(R12)/100,2)</f>
        <v>0</v>
      </c>
      <c r="GL276">
        <f t="shared" si="270"/>
        <v>0</v>
      </c>
      <c r="GM276">
        <f t="shared" si="271"/>
        <v>1802.16</v>
      </c>
      <c r="GN276">
        <f t="shared" si="272"/>
        <v>1802.16</v>
      </c>
      <c r="GO276">
        <f t="shared" si="273"/>
        <v>0</v>
      </c>
      <c r="GP276">
        <f t="shared" si="274"/>
        <v>0</v>
      </c>
      <c r="GR276">
        <v>0</v>
      </c>
      <c r="GS276">
        <v>3</v>
      </c>
      <c r="GT276">
        <v>0</v>
      </c>
      <c r="GU276" t="s">
        <v>6</v>
      </c>
      <c r="GV276">
        <f t="shared" si="275"/>
        <v>0</v>
      </c>
      <c r="GW276">
        <v>1</v>
      </c>
      <c r="GX276">
        <f t="shared" si="276"/>
        <v>0</v>
      </c>
      <c r="HA276">
        <v>0</v>
      </c>
      <c r="HB276">
        <v>0</v>
      </c>
      <c r="HC276">
        <f t="shared" si="277"/>
        <v>0</v>
      </c>
      <c r="IK276">
        <v>0</v>
      </c>
    </row>
    <row r="277" spans="1:245" x14ac:dyDescent="0.2">
      <c r="A277">
        <v>17</v>
      </c>
      <c r="B277">
        <v>1</v>
      </c>
      <c r="C277">
        <f>ROW(SmtRes!A628)</f>
        <v>628</v>
      </c>
      <c r="D277">
        <f>ROW(EtalonRes!A616)</f>
        <v>616</v>
      </c>
      <c r="E277" t="s">
        <v>828</v>
      </c>
      <c r="F277" t="s">
        <v>829</v>
      </c>
      <c r="G277" t="s">
        <v>830</v>
      </c>
      <c r="H277" t="s">
        <v>18</v>
      </c>
      <c r="I277">
        <f>ROUND(2.12/100,9)</f>
        <v>2.12E-2</v>
      </c>
      <c r="J277">
        <v>0</v>
      </c>
      <c r="O277">
        <f t="shared" si="242"/>
        <v>344.65</v>
      </c>
      <c r="P277">
        <f t="shared" si="243"/>
        <v>65.7</v>
      </c>
      <c r="Q277">
        <f t="shared" si="244"/>
        <v>23.92</v>
      </c>
      <c r="R277">
        <f t="shared" si="245"/>
        <v>3.04</v>
      </c>
      <c r="S277">
        <f t="shared" si="246"/>
        <v>255.03</v>
      </c>
      <c r="T277">
        <f t="shared" si="247"/>
        <v>0</v>
      </c>
      <c r="U277">
        <f t="shared" si="248"/>
        <v>4.0924268000000001</v>
      </c>
      <c r="V277">
        <f t="shared" si="249"/>
        <v>3.4450000000000001E-2</v>
      </c>
      <c r="W277">
        <f t="shared" si="250"/>
        <v>0</v>
      </c>
      <c r="X277">
        <f t="shared" si="251"/>
        <v>296.77999999999997</v>
      </c>
      <c r="Y277">
        <f t="shared" si="252"/>
        <v>183.23</v>
      </c>
      <c r="AA277">
        <v>16630606</v>
      </c>
      <c r="AB277">
        <f t="shared" si="253"/>
        <v>2280.0500000000002</v>
      </c>
      <c r="AC277">
        <f t="shared" si="278"/>
        <v>434.65</v>
      </c>
      <c r="AD277">
        <f>ROUND(((((ET277*1.25))-((EU277*1.25)))+AE277),2)</f>
        <v>158.22999999999999</v>
      </c>
      <c r="AE277">
        <f>ROUND(((EU277*1.25)),2)</f>
        <v>20.09</v>
      </c>
      <c r="AF277">
        <f>ROUND(((EV277*1.15)),2)</f>
        <v>1687.17</v>
      </c>
      <c r="AG277">
        <f t="shared" si="255"/>
        <v>0</v>
      </c>
      <c r="AH277">
        <f>((EW277*1.15))</f>
        <v>193.03899999999999</v>
      </c>
      <c r="AI277">
        <f>((EX277*1.25))</f>
        <v>1.625</v>
      </c>
      <c r="AJ277">
        <f t="shared" si="257"/>
        <v>0</v>
      </c>
      <c r="AK277">
        <v>2028.33</v>
      </c>
      <c r="AL277">
        <v>434.65</v>
      </c>
      <c r="AM277">
        <v>126.58</v>
      </c>
      <c r="AN277">
        <v>16.07</v>
      </c>
      <c r="AO277">
        <v>1467.1</v>
      </c>
      <c r="AP277">
        <v>0</v>
      </c>
      <c r="AQ277">
        <v>167.86</v>
      </c>
      <c r="AR277">
        <v>1.3</v>
      </c>
      <c r="AS277">
        <v>0</v>
      </c>
      <c r="AT277">
        <v>115</v>
      </c>
      <c r="AU277">
        <v>71</v>
      </c>
      <c r="AV277">
        <v>1</v>
      </c>
      <c r="AW277">
        <v>1</v>
      </c>
      <c r="AZ277">
        <v>7.13</v>
      </c>
      <c r="BA277">
        <v>7.13</v>
      </c>
      <c r="BB277">
        <v>7.13</v>
      </c>
      <c r="BC277">
        <v>7.13</v>
      </c>
      <c r="BD277" t="s">
        <v>6</v>
      </c>
      <c r="BE277" t="s">
        <v>6</v>
      </c>
      <c r="BF277" t="s">
        <v>6</v>
      </c>
      <c r="BG277" t="s">
        <v>6</v>
      </c>
      <c r="BH277">
        <v>0</v>
      </c>
      <c r="BI277">
        <v>1</v>
      </c>
      <c r="BJ277" t="s">
        <v>831</v>
      </c>
      <c r="BM277">
        <v>20001</v>
      </c>
      <c r="BN277">
        <v>0</v>
      </c>
      <c r="BO277" t="s">
        <v>6</v>
      </c>
      <c r="BP277">
        <v>0</v>
      </c>
      <c r="BQ277">
        <v>2</v>
      </c>
      <c r="BR277">
        <v>0</v>
      </c>
      <c r="BS277">
        <v>7.13</v>
      </c>
      <c r="BT277">
        <v>1</v>
      </c>
      <c r="BU277">
        <v>1</v>
      </c>
      <c r="BV277">
        <v>1</v>
      </c>
      <c r="BW277">
        <v>1</v>
      </c>
      <c r="BX277">
        <v>1</v>
      </c>
      <c r="BY277" t="s">
        <v>6</v>
      </c>
      <c r="BZ277">
        <v>128</v>
      </c>
      <c r="CA277">
        <v>83</v>
      </c>
      <c r="CE277">
        <v>0</v>
      </c>
      <c r="CF277">
        <v>0</v>
      </c>
      <c r="CG277">
        <v>0</v>
      </c>
      <c r="CM277">
        <v>0</v>
      </c>
      <c r="CN277" t="s">
        <v>1758</v>
      </c>
      <c r="CO277">
        <v>0</v>
      </c>
      <c r="CP277">
        <f t="shared" si="258"/>
        <v>344.65</v>
      </c>
      <c r="CQ277">
        <f t="shared" si="259"/>
        <v>3099.0544999999997</v>
      </c>
      <c r="CR277">
        <f t="shared" si="260"/>
        <v>1128.1798999999999</v>
      </c>
      <c r="CS277">
        <f t="shared" si="261"/>
        <v>143.24170000000001</v>
      </c>
      <c r="CT277">
        <f t="shared" si="262"/>
        <v>12029.5221</v>
      </c>
      <c r="CU277">
        <f t="shared" si="263"/>
        <v>0</v>
      </c>
      <c r="CV277">
        <f t="shared" si="264"/>
        <v>193.03899999999999</v>
      </c>
      <c r="CW277">
        <f t="shared" si="265"/>
        <v>1.625</v>
      </c>
      <c r="CX277">
        <f t="shared" si="266"/>
        <v>0</v>
      </c>
      <c r="CY277">
        <f t="shared" si="267"/>
        <v>296.78050000000002</v>
      </c>
      <c r="CZ277">
        <f t="shared" si="268"/>
        <v>183.22970000000001</v>
      </c>
      <c r="DC277" t="s">
        <v>6</v>
      </c>
      <c r="DD277" t="s">
        <v>6</v>
      </c>
      <c r="DE277" t="s">
        <v>81</v>
      </c>
      <c r="DF277" t="s">
        <v>81</v>
      </c>
      <c r="DG277" t="s">
        <v>82</v>
      </c>
      <c r="DH277" t="s">
        <v>6</v>
      </c>
      <c r="DI277" t="s">
        <v>82</v>
      </c>
      <c r="DJ277" t="s">
        <v>81</v>
      </c>
      <c r="DK277" t="s">
        <v>6</v>
      </c>
      <c r="DL277" t="s">
        <v>6</v>
      </c>
      <c r="DM277" t="s">
        <v>6</v>
      </c>
      <c r="DN277">
        <v>0</v>
      </c>
      <c r="DO277">
        <v>0</v>
      </c>
      <c r="DP277">
        <v>1</v>
      </c>
      <c r="DQ277">
        <v>1</v>
      </c>
      <c r="DU277">
        <v>1005</v>
      </c>
      <c r="DV277" t="s">
        <v>18</v>
      </c>
      <c r="DW277" t="s">
        <v>18</v>
      </c>
      <c r="DX277">
        <v>100</v>
      </c>
      <c r="EE277">
        <v>16609135</v>
      </c>
      <c r="EF277">
        <v>2</v>
      </c>
      <c r="EG277" t="s">
        <v>14</v>
      </c>
      <c r="EH277">
        <v>0</v>
      </c>
      <c r="EI277" t="s">
        <v>6</v>
      </c>
      <c r="EJ277">
        <v>1</v>
      </c>
      <c r="EK277">
        <v>20001</v>
      </c>
      <c r="EL277" t="s">
        <v>832</v>
      </c>
      <c r="EM277" t="s">
        <v>833</v>
      </c>
      <c r="EO277" t="s">
        <v>83</v>
      </c>
      <c r="EQ277">
        <v>131072</v>
      </c>
      <c r="ER277">
        <v>2028.33</v>
      </c>
      <c r="ES277">
        <v>434.65</v>
      </c>
      <c r="ET277">
        <v>126.58</v>
      </c>
      <c r="EU277">
        <v>16.07</v>
      </c>
      <c r="EV277">
        <v>1467.1</v>
      </c>
      <c r="EW277">
        <v>167.86</v>
      </c>
      <c r="EX277">
        <v>1.3</v>
      </c>
      <c r="EY277">
        <v>0</v>
      </c>
      <c r="FQ277">
        <v>0</v>
      </c>
      <c r="FR277">
        <f t="shared" si="269"/>
        <v>0</v>
      </c>
      <c r="FS277">
        <v>0</v>
      </c>
      <c r="FT277" t="s">
        <v>22</v>
      </c>
      <c r="FU277" t="s">
        <v>23</v>
      </c>
      <c r="FX277">
        <v>115.2</v>
      </c>
      <c r="FY277">
        <v>70.55</v>
      </c>
      <c r="GA277" t="s">
        <v>6</v>
      </c>
      <c r="GD277">
        <v>0</v>
      </c>
      <c r="GF277">
        <v>-1647575030</v>
      </c>
      <c r="GG277">
        <v>1</v>
      </c>
      <c r="GH277">
        <v>1</v>
      </c>
      <c r="GI277">
        <v>4</v>
      </c>
      <c r="GJ277">
        <v>0</v>
      </c>
      <c r="GK277">
        <f>ROUND(R277*(R12)/100,2)</f>
        <v>0</v>
      </c>
      <c r="GL277">
        <f t="shared" si="270"/>
        <v>0</v>
      </c>
      <c r="GM277">
        <f t="shared" si="271"/>
        <v>824.66</v>
      </c>
      <c r="GN277">
        <f t="shared" si="272"/>
        <v>824.66</v>
      </c>
      <c r="GO277">
        <f t="shared" si="273"/>
        <v>0</v>
      </c>
      <c r="GP277">
        <f t="shared" si="274"/>
        <v>0</v>
      </c>
      <c r="GR277">
        <v>0</v>
      </c>
      <c r="GS277">
        <v>3</v>
      </c>
      <c r="GT277">
        <v>0</v>
      </c>
      <c r="GU277" t="s">
        <v>6</v>
      </c>
      <c r="GV277">
        <f t="shared" si="275"/>
        <v>0</v>
      </c>
      <c r="GW277">
        <v>1</v>
      </c>
      <c r="GX277">
        <f t="shared" si="276"/>
        <v>0</v>
      </c>
      <c r="HA277">
        <v>0</v>
      </c>
      <c r="HB277">
        <v>0</v>
      </c>
      <c r="HC277">
        <f t="shared" si="277"/>
        <v>0</v>
      </c>
      <c r="IK277">
        <v>0</v>
      </c>
    </row>
    <row r="278" spans="1:245" x14ac:dyDescent="0.2">
      <c r="A278">
        <v>18</v>
      </c>
      <c r="B278">
        <v>1</v>
      </c>
      <c r="C278">
        <v>628</v>
      </c>
      <c r="E278" t="s">
        <v>834</v>
      </c>
      <c r="F278" t="s">
        <v>835</v>
      </c>
      <c r="G278" t="s">
        <v>836</v>
      </c>
      <c r="H278" t="s">
        <v>87</v>
      </c>
      <c r="I278">
        <f>I277*J278</f>
        <v>2.12</v>
      </c>
      <c r="J278">
        <v>100</v>
      </c>
      <c r="O278">
        <f t="shared" si="242"/>
        <v>1002.32</v>
      </c>
      <c r="P278">
        <f t="shared" si="243"/>
        <v>1002.32</v>
      </c>
      <c r="Q278">
        <f t="shared" si="244"/>
        <v>0</v>
      </c>
      <c r="R278">
        <f t="shared" si="245"/>
        <v>0</v>
      </c>
      <c r="S278">
        <f t="shared" si="246"/>
        <v>0</v>
      </c>
      <c r="T278">
        <f t="shared" si="247"/>
        <v>0</v>
      </c>
      <c r="U278">
        <f t="shared" si="248"/>
        <v>0</v>
      </c>
      <c r="V278">
        <f t="shared" si="249"/>
        <v>0</v>
      </c>
      <c r="W278">
        <f t="shared" si="250"/>
        <v>0</v>
      </c>
      <c r="X278">
        <f t="shared" si="251"/>
        <v>0</v>
      </c>
      <c r="Y278">
        <f t="shared" si="252"/>
        <v>0</v>
      </c>
      <c r="AA278">
        <v>16630606</v>
      </c>
      <c r="AB278">
        <f t="shared" si="253"/>
        <v>66.31</v>
      </c>
      <c r="AC278">
        <f t="shared" si="278"/>
        <v>66.31</v>
      </c>
      <c r="AD278">
        <f>ROUND((((ET278)-(EU278))+AE278),2)</f>
        <v>0</v>
      </c>
      <c r="AE278">
        <f>ROUND((EU278),2)</f>
        <v>0</v>
      </c>
      <c r="AF278">
        <f>ROUND((EV278),2)</f>
        <v>0</v>
      </c>
      <c r="AG278">
        <f t="shared" si="255"/>
        <v>0</v>
      </c>
      <c r="AH278">
        <f>(EW278)</f>
        <v>0</v>
      </c>
      <c r="AI278">
        <f>(EX278)</f>
        <v>0</v>
      </c>
      <c r="AJ278">
        <f t="shared" si="257"/>
        <v>0</v>
      </c>
      <c r="AK278">
        <v>66.31</v>
      </c>
      <c r="AL278">
        <v>66.31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115</v>
      </c>
      <c r="AU278">
        <v>71</v>
      </c>
      <c r="AV278">
        <v>1</v>
      </c>
      <c r="AW278">
        <v>1</v>
      </c>
      <c r="AZ278">
        <v>7.13</v>
      </c>
      <c r="BA278">
        <v>1</v>
      </c>
      <c r="BB278">
        <v>1</v>
      </c>
      <c r="BC278">
        <v>7.13</v>
      </c>
      <c r="BD278" t="s">
        <v>6</v>
      </c>
      <c r="BE278" t="s">
        <v>6</v>
      </c>
      <c r="BF278" t="s">
        <v>6</v>
      </c>
      <c r="BG278" t="s">
        <v>6</v>
      </c>
      <c r="BH278">
        <v>3</v>
      </c>
      <c r="BI278">
        <v>1</v>
      </c>
      <c r="BJ278" t="s">
        <v>837</v>
      </c>
      <c r="BM278">
        <v>20001</v>
      </c>
      <c r="BN278">
        <v>0</v>
      </c>
      <c r="BO278" t="s">
        <v>6</v>
      </c>
      <c r="BP278">
        <v>0</v>
      </c>
      <c r="BQ278">
        <v>2</v>
      </c>
      <c r="BR278">
        <v>0</v>
      </c>
      <c r="BS278">
        <v>1</v>
      </c>
      <c r="BT278">
        <v>1</v>
      </c>
      <c r="BU278">
        <v>1</v>
      </c>
      <c r="BV278">
        <v>1</v>
      </c>
      <c r="BW278">
        <v>1</v>
      </c>
      <c r="BX278">
        <v>1</v>
      </c>
      <c r="BY278" t="s">
        <v>6</v>
      </c>
      <c r="BZ278">
        <v>128</v>
      </c>
      <c r="CA278">
        <v>83</v>
      </c>
      <c r="CE278">
        <v>0</v>
      </c>
      <c r="CF278">
        <v>0</v>
      </c>
      <c r="CG278">
        <v>0</v>
      </c>
      <c r="CM278">
        <v>0</v>
      </c>
      <c r="CN278" t="s">
        <v>6</v>
      </c>
      <c r="CO278">
        <v>0</v>
      </c>
      <c r="CP278">
        <f t="shared" si="258"/>
        <v>1002.32</v>
      </c>
      <c r="CQ278">
        <f t="shared" si="259"/>
        <v>472.7903</v>
      </c>
      <c r="CR278">
        <f t="shared" si="260"/>
        <v>0</v>
      </c>
      <c r="CS278">
        <f t="shared" si="261"/>
        <v>0</v>
      </c>
      <c r="CT278">
        <f t="shared" si="262"/>
        <v>0</v>
      </c>
      <c r="CU278">
        <f t="shared" si="263"/>
        <v>0</v>
      </c>
      <c r="CV278">
        <f t="shared" si="264"/>
        <v>0</v>
      </c>
      <c r="CW278">
        <f t="shared" si="265"/>
        <v>0</v>
      </c>
      <c r="CX278">
        <f t="shared" si="266"/>
        <v>0</v>
      </c>
      <c r="CY278">
        <f t="shared" si="267"/>
        <v>0</v>
      </c>
      <c r="CZ278">
        <f t="shared" si="268"/>
        <v>0</v>
      </c>
      <c r="DC278" t="s">
        <v>6</v>
      </c>
      <c r="DD278" t="s">
        <v>6</v>
      </c>
      <c r="DE278" t="s">
        <v>6</v>
      </c>
      <c r="DF278" t="s">
        <v>6</v>
      </c>
      <c r="DG278" t="s">
        <v>6</v>
      </c>
      <c r="DH278" t="s">
        <v>6</v>
      </c>
      <c r="DI278" t="s">
        <v>6</v>
      </c>
      <c r="DJ278" t="s">
        <v>6</v>
      </c>
      <c r="DK278" t="s">
        <v>6</v>
      </c>
      <c r="DL278" t="s">
        <v>6</v>
      </c>
      <c r="DM278" t="s">
        <v>6</v>
      </c>
      <c r="DN278">
        <v>0</v>
      </c>
      <c r="DO278">
        <v>0</v>
      </c>
      <c r="DP278">
        <v>1</v>
      </c>
      <c r="DQ278">
        <v>1</v>
      </c>
      <c r="DU278">
        <v>1005</v>
      </c>
      <c r="DV278" t="s">
        <v>87</v>
      </c>
      <c r="DW278" t="s">
        <v>87</v>
      </c>
      <c r="DX278">
        <v>1</v>
      </c>
      <c r="EE278">
        <v>16609135</v>
      </c>
      <c r="EF278">
        <v>2</v>
      </c>
      <c r="EG278" t="s">
        <v>14</v>
      </c>
      <c r="EH278">
        <v>0</v>
      </c>
      <c r="EI278" t="s">
        <v>6</v>
      </c>
      <c r="EJ278">
        <v>1</v>
      </c>
      <c r="EK278">
        <v>20001</v>
      </c>
      <c r="EL278" t="s">
        <v>832</v>
      </c>
      <c r="EM278" t="s">
        <v>833</v>
      </c>
      <c r="EO278" t="s">
        <v>6</v>
      </c>
      <c r="EQ278">
        <v>0</v>
      </c>
      <c r="ER278">
        <v>66.31</v>
      </c>
      <c r="ES278">
        <v>66.31</v>
      </c>
      <c r="ET278">
        <v>0</v>
      </c>
      <c r="EU278">
        <v>0</v>
      </c>
      <c r="EV278">
        <v>0</v>
      </c>
      <c r="EW278">
        <v>0</v>
      </c>
      <c r="EX278">
        <v>0</v>
      </c>
      <c r="FQ278">
        <v>0</v>
      </c>
      <c r="FR278">
        <f t="shared" si="269"/>
        <v>0</v>
      </c>
      <c r="FS278">
        <v>0</v>
      </c>
      <c r="FT278" t="s">
        <v>22</v>
      </c>
      <c r="FU278" t="s">
        <v>23</v>
      </c>
      <c r="FX278">
        <v>115.2</v>
      </c>
      <c r="FY278">
        <v>70.55</v>
      </c>
      <c r="GA278" t="s">
        <v>6</v>
      </c>
      <c r="GD278">
        <v>0</v>
      </c>
      <c r="GF278">
        <v>1081152192</v>
      </c>
      <c r="GG278">
        <v>1</v>
      </c>
      <c r="GH278">
        <v>1</v>
      </c>
      <c r="GI278">
        <v>4</v>
      </c>
      <c r="GJ278">
        <v>0</v>
      </c>
      <c r="GK278">
        <f>ROUND(R278*(R12)/100,2)</f>
        <v>0</v>
      </c>
      <c r="GL278">
        <f t="shared" si="270"/>
        <v>0</v>
      </c>
      <c r="GM278">
        <f t="shared" si="271"/>
        <v>1002.32</v>
      </c>
      <c r="GN278">
        <f t="shared" si="272"/>
        <v>1002.32</v>
      </c>
      <c r="GO278">
        <f t="shared" si="273"/>
        <v>0</v>
      </c>
      <c r="GP278">
        <f t="shared" si="274"/>
        <v>0</v>
      </c>
      <c r="GR278">
        <v>0</v>
      </c>
      <c r="GS278">
        <v>3</v>
      </c>
      <c r="GT278">
        <v>0</v>
      </c>
      <c r="GU278" t="s">
        <v>6</v>
      </c>
      <c r="GV278">
        <f t="shared" si="275"/>
        <v>0</v>
      </c>
      <c r="GW278">
        <v>1</v>
      </c>
      <c r="GX278">
        <f t="shared" si="276"/>
        <v>0</v>
      </c>
      <c r="HA278">
        <v>0</v>
      </c>
      <c r="HB278">
        <v>0</v>
      </c>
      <c r="HC278">
        <f t="shared" si="277"/>
        <v>0</v>
      </c>
      <c r="IK278">
        <v>0</v>
      </c>
    </row>
    <row r="279" spans="1:245" x14ac:dyDescent="0.2">
      <c r="A279">
        <v>17</v>
      </c>
      <c r="B279">
        <v>1</v>
      </c>
      <c r="C279">
        <f>ROW(SmtRes!A636)</f>
        <v>636</v>
      </c>
      <c r="D279">
        <f>ROW(EtalonRes!A625)</f>
        <v>625</v>
      </c>
      <c r="E279" t="s">
        <v>838</v>
      </c>
      <c r="F279" t="s">
        <v>839</v>
      </c>
      <c r="G279" t="s">
        <v>840</v>
      </c>
      <c r="H279" t="s">
        <v>127</v>
      </c>
      <c r="I279">
        <v>6</v>
      </c>
      <c r="J279">
        <v>0</v>
      </c>
      <c r="O279">
        <f t="shared" si="242"/>
        <v>1552.92</v>
      </c>
      <c r="P279">
        <f t="shared" si="243"/>
        <v>181.82</v>
      </c>
      <c r="Q279">
        <f t="shared" si="244"/>
        <v>145.44999999999999</v>
      </c>
      <c r="R279">
        <f t="shared" si="245"/>
        <v>6.42</v>
      </c>
      <c r="S279">
        <f t="shared" si="246"/>
        <v>1225.6500000000001</v>
      </c>
      <c r="T279">
        <f t="shared" si="247"/>
        <v>0</v>
      </c>
      <c r="U279">
        <f t="shared" si="248"/>
        <v>20.147999999999996</v>
      </c>
      <c r="V279">
        <f t="shared" si="249"/>
        <v>7.5000000000000011E-2</v>
      </c>
      <c r="W279">
        <f t="shared" si="250"/>
        <v>0</v>
      </c>
      <c r="X279">
        <f t="shared" si="251"/>
        <v>1416.88</v>
      </c>
      <c r="Y279">
        <f t="shared" si="252"/>
        <v>874.77</v>
      </c>
      <c r="AA279">
        <v>16630606</v>
      </c>
      <c r="AB279">
        <f t="shared" si="253"/>
        <v>36.299999999999997</v>
      </c>
      <c r="AC279">
        <f t="shared" si="278"/>
        <v>4.25</v>
      </c>
      <c r="AD279">
        <f>ROUND(((((ET279*1.25))-((EU279*1.25)))+AE279),2)</f>
        <v>3.4</v>
      </c>
      <c r="AE279">
        <f>ROUND(((EU279*1.25)),2)</f>
        <v>0.15</v>
      </c>
      <c r="AF279">
        <f>ROUND(((EV279*1.15)),2)</f>
        <v>28.65</v>
      </c>
      <c r="AG279">
        <f t="shared" si="255"/>
        <v>0</v>
      </c>
      <c r="AH279">
        <f>((EW279*1.15))</f>
        <v>3.3579999999999997</v>
      </c>
      <c r="AI279">
        <f>((EX279*1.25))</f>
        <v>1.2500000000000001E-2</v>
      </c>
      <c r="AJ279">
        <f t="shared" si="257"/>
        <v>0</v>
      </c>
      <c r="AK279">
        <v>31.88</v>
      </c>
      <c r="AL279">
        <v>4.25</v>
      </c>
      <c r="AM279">
        <v>2.72</v>
      </c>
      <c r="AN279">
        <v>0.12</v>
      </c>
      <c r="AO279">
        <v>24.91</v>
      </c>
      <c r="AP279">
        <v>0</v>
      </c>
      <c r="AQ279">
        <v>2.92</v>
      </c>
      <c r="AR279">
        <v>0.01</v>
      </c>
      <c r="AS279">
        <v>0</v>
      </c>
      <c r="AT279">
        <v>115</v>
      </c>
      <c r="AU279">
        <v>71</v>
      </c>
      <c r="AV279">
        <v>1</v>
      </c>
      <c r="AW279">
        <v>1</v>
      </c>
      <c r="AZ279">
        <v>7.13</v>
      </c>
      <c r="BA279">
        <v>7.13</v>
      </c>
      <c r="BB279">
        <v>7.13</v>
      </c>
      <c r="BC279">
        <v>7.13</v>
      </c>
      <c r="BD279" t="s">
        <v>6</v>
      </c>
      <c r="BE279" t="s">
        <v>6</v>
      </c>
      <c r="BF279" t="s">
        <v>6</v>
      </c>
      <c r="BG279" t="s">
        <v>6</v>
      </c>
      <c r="BH279">
        <v>0</v>
      </c>
      <c r="BI279">
        <v>1</v>
      </c>
      <c r="BJ279" t="s">
        <v>841</v>
      </c>
      <c r="BM279">
        <v>20001</v>
      </c>
      <c r="BN279">
        <v>0</v>
      </c>
      <c r="BO279" t="s">
        <v>6</v>
      </c>
      <c r="BP279">
        <v>0</v>
      </c>
      <c r="BQ279">
        <v>2</v>
      </c>
      <c r="BR279">
        <v>0</v>
      </c>
      <c r="BS279">
        <v>7.13</v>
      </c>
      <c r="BT279">
        <v>1</v>
      </c>
      <c r="BU279">
        <v>1</v>
      </c>
      <c r="BV279">
        <v>1</v>
      </c>
      <c r="BW279">
        <v>1</v>
      </c>
      <c r="BX279">
        <v>1</v>
      </c>
      <c r="BY279" t="s">
        <v>6</v>
      </c>
      <c r="BZ279">
        <v>128</v>
      </c>
      <c r="CA279">
        <v>83</v>
      </c>
      <c r="CE279">
        <v>0</v>
      </c>
      <c r="CF279">
        <v>0</v>
      </c>
      <c r="CG279">
        <v>0</v>
      </c>
      <c r="CM279">
        <v>0</v>
      </c>
      <c r="CN279" t="s">
        <v>1758</v>
      </c>
      <c r="CO279">
        <v>0</v>
      </c>
      <c r="CP279">
        <f t="shared" si="258"/>
        <v>1552.92</v>
      </c>
      <c r="CQ279">
        <f t="shared" si="259"/>
        <v>30.302499999999998</v>
      </c>
      <c r="CR279">
        <f t="shared" si="260"/>
        <v>24.241999999999997</v>
      </c>
      <c r="CS279">
        <f t="shared" si="261"/>
        <v>1.0694999999999999</v>
      </c>
      <c r="CT279">
        <f t="shared" si="262"/>
        <v>204.27449999999999</v>
      </c>
      <c r="CU279">
        <f t="shared" si="263"/>
        <v>0</v>
      </c>
      <c r="CV279">
        <f t="shared" si="264"/>
        <v>3.3579999999999997</v>
      </c>
      <c r="CW279">
        <f t="shared" si="265"/>
        <v>1.2500000000000001E-2</v>
      </c>
      <c r="CX279">
        <f t="shared" si="266"/>
        <v>0</v>
      </c>
      <c r="CY279">
        <f t="shared" si="267"/>
        <v>1416.8805000000002</v>
      </c>
      <c r="CZ279">
        <f t="shared" si="268"/>
        <v>874.76970000000017</v>
      </c>
      <c r="DC279" t="s">
        <v>6</v>
      </c>
      <c r="DD279" t="s">
        <v>6</v>
      </c>
      <c r="DE279" t="s">
        <v>81</v>
      </c>
      <c r="DF279" t="s">
        <v>81</v>
      </c>
      <c r="DG279" t="s">
        <v>82</v>
      </c>
      <c r="DH279" t="s">
        <v>6</v>
      </c>
      <c r="DI279" t="s">
        <v>82</v>
      </c>
      <c r="DJ279" t="s">
        <v>81</v>
      </c>
      <c r="DK279" t="s">
        <v>6</v>
      </c>
      <c r="DL279" t="s">
        <v>6</v>
      </c>
      <c r="DM279" t="s">
        <v>6</v>
      </c>
      <c r="DN279">
        <v>0</v>
      </c>
      <c r="DO279">
        <v>0</v>
      </c>
      <c r="DP279">
        <v>1</v>
      </c>
      <c r="DQ279">
        <v>1</v>
      </c>
      <c r="DU279">
        <v>1013</v>
      </c>
      <c r="DV279" t="s">
        <v>127</v>
      </c>
      <c r="DW279" t="s">
        <v>127</v>
      </c>
      <c r="DX279">
        <v>1</v>
      </c>
      <c r="EE279">
        <v>16609135</v>
      </c>
      <c r="EF279">
        <v>2</v>
      </c>
      <c r="EG279" t="s">
        <v>14</v>
      </c>
      <c r="EH279">
        <v>0</v>
      </c>
      <c r="EI279" t="s">
        <v>6</v>
      </c>
      <c r="EJ279">
        <v>1</v>
      </c>
      <c r="EK279">
        <v>20001</v>
      </c>
      <c r="EL279" t="s">
        <v>832</v>
      </c>
      <c r="EM279" t="s">
        <v>833</v>
      </c>
      <c r="EO279" t="s">
        <v>83</v>
      </c>
      <c r="EQ279">
        <v>131072</v>
      </c>
      <c r="ER279">
        <v>31.88</v>
      </c>
      <c r="ES279">
        <v>4.25</v>
      </c>
      <c r="ET279">
        <v>2.72</v>
      </c>
      <c r="EU279">
        <v>0.12</v>
      </c>
      <c r="EV279">
        <v>24.91</v>
      </c>
      <c r="EW279">
        <v>2.92</v>
      </c>
      <c r="EX279">
        <v>0.01</v>
      </c>
      <c r="EY279">
        <v>0</v>
      </c>
      <c r="FQ279">
        <v>0</v>
      </c>
      <c r="FR279">
        <f t="shared" si="269"/>
        <v>0</v>
      </c>
      <c r="FS279">
        <v>0</v>
      </c>
      <c r="FT279" t="s">
        <v>22</v>
      </c>
      <c r="FU279" t="s">
        <v>23</v>
      </c>
      <c r="FX279">
        <v>115.2</v>
      </c>
      <c r="FY279">
        <v>70.55</v>
      </c>
      <c r="GA279" t="s">
        <v>6</v>
      </c>
      <c r="GD279">
        <v>0</v>
      </c>
      <c r="GF279">
        <v>-227151070</v>
      </c>
      <c r="GG279">
        <v>1</v>
      </c>
      <c r="GH279">
        <v>1</v>
      </c>
      <c r="GI279">
        <v>4</v>
      </c>
      <c r="GJ279">
        <v>0</v>
      </c>
      <c r="GK279">
        <f>ROUND(R279*(R12)/100,2)</f>
        <v>0</v>
      </c>
      <c r="GL279">
        <f t="shared" si="270"/>
        <v>0</v>
      </c>
      <c r="GM279">
        <f t="shared" si="271"/>
        <v>3844.57</v>
      </c>
      <c r="GN279">
        <f t="shared" si="272"/>
        <v>3844.57</v>
      </c>
      <c r="GO279">
        <f t="shared" si="273"/>
        <v>0</v>
      </c>
      <c r="GP279">
        <f t="shared" si="274"/>
        <v>0</v>
      </c>
      <c r="GR279">
        <v>0</v>
      </c>
      <c r="GS279">
        <v>3</v>
      </c>
      <c r="GT279">
        <v>0</v>
      </c>
      <c r="GU279" t="s">
        <v>6</v>
      </c>
      <c r="GV279">
        <f t="shared" si="275"/>
        <v>0</v>
      </c>
      <c r="GW279">
        <v>1</v>
      </c>
      <c r="GX279">
        <f t="shared" si="276"/>
        <v>0</v>
      </c>
      <c r="HA279">
        <v>0</v>
      </c>
      <c r="HB279">
        <v>0</v>
      </c>
      <c r="HC279">
        <f t="shared" si="277"/>
        <v>0</v>
      </c>
      <c r="IK279">
        <v>0</v>
      </c>
    </row>
    <row r="280" spans="1:245" x14ac:dyDescent="0.2">
      <c r="A280">
        <v>18</v>
      </c>
      <c r="B280">
        <v>1</v>
      </c>
      <c r="C280">
        <v>636</v>
      </c>
      <c r="E280" t="s">
        <v>842</v>
      </c>
      <c r="F280" t="s">
        <v>843</v>
      </c>
      <c r="G280" t="s">
        <v>844</v>
      </c>
      <c r="H280" t="s">
        <v>132</v>
      </c>
      <c r="I280">
        <f>I279*J280</f>
        <v>6</v>
      </c>
      <c r="J280">
        <v>1</v>
      </c>
      <c r="O280">
        <f t="shared" si="242"/>
        <v>17894.87</v>
      </c>
      <c r="P280">
        <f t="shared" si="243"/>
        <v>17894.87</v>
      </c>
      <c r="Q280">
        <f t="shared" si="244"/>
        <v>0</v>
      </c>
      <c r="R280">
        <f t="shared" si="245"/>
        <v>0</v>
      </c>
      <c r="S280">
        <f t="shared" si="246"/>
        <v>0</v>
      </c>
      <c r="T280">
        <f t="shared" si="247"/>
        <v>0</v>
      </c>
      <c r="U280">
        <f t="shared" si="248"/>
        <v>0</v>
      </c>
      <c r="V280">
        <f t="shared" si="249"/>
        <v>0</v>
      </c>
      <c r="W280">
        <f t="shared" si="250"/>
        <v>0</v>
      </c>
      <c r="X280">
        <f t="shared" si="251"/>
        <v>0</v>
      </c>
      <c r="Y280">
        <f t="shared" si="252"/>
        <v>0</v>
      </c>
      <c r="AA280">
        <v>16630606</v>
      </c>
      <c r="AB280">
        <f t="shared" si="253"/>
        <v>418.3</v>
      </c>
      <c r="AC280">
        <f t="shared" si="278"/>
        <v>418.3</v>
      </c>
      <c r="AD280">
        <f>ROUND((((ET280)-(EU280))+AE280),2)</f>
        <v>0</v>
      </c>
      <c r="AE280">
        <f>ROUND((EU280),2)</f>
        <v>0</v>
      </c>
      <c r="AF280">
        <f>ROUND((EV280),2)</f>
        <v>0</v>
      </c>
      <c r="AG280">
        <f t="shared" si="255"/>
        <v>0</v>
      </c>
      <c r="AH280">
        <f>(EW280)</f>
        <v>0</v>
      </c>
      <c r="AI280">
        <f>(EX280)</f>
        <v>0</v>
      </c>
      <c r="AJ280">
        <f t="shared" si="257"/>
        <v>0</v>
      </c>
      <c r="AK280">
        <v>418.3</v>
      </c>
      <c r="AL280">
        <v>418.3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115</v>
      </c>
      <c r="AU280">
        <v>71</v>
      </c>
      <c r="AV280">
        <v>1</v>
      </c>
      <c r="AW280">
        <v>1</v>
      </c>
      <c r="AZ280">
        <v>7.13</v>
      </c>
      <c r="BA280">
        <v>1</v>
      </c>
      <c r="BB280">
        <v>1</v>
      </c>
      <c r="BC280">
        <v>7.13</v>
      </c>
      <c r="BD280" t="s">
        <v>6</v>
      </c>
      <c r="BE280" t="s">
        <v>6</v>
      </c>
      <c r="BF280" t="s">
        <v>6</v>
      </c>
      <c r="BG280" t="s">
        <v>6</v>
      </c>
      <c r="BH280">
        <v>3</v>
      </c>
      <c r="BI280">
        <v>1</v>
      </c>
      <c r="BJ280" t="s">
        <v>845</v>
      </c>
      <c r="BM280">
        <v>20001</v>
      </c>
      <c r="BN280">
        <v>0</v>
      </c>
      <c r="BO280" t="s">
        <v>6</v>
      </c>
      <c r="BP280">
        <v>0</v>
      </c>
      <c r="BQ280">
        <v>2</v>
      </c>
      <c r="BR280">
        <v>0</v>
      </c>
      <c r="BS280">
        <v>1</v>
      </c>
      <c r="BT280">
        <v>1</v>
      </c>
      <c r="BU280">
        <v>1</v>
      </c>
      <c r="BV280">
        <v>1</v>
      </c>
      <c r="BW280">
        <v>1</v>
      </c>
      <c r="BX280">
        <v>1</v>
      </c>
      <c r="BY280" t="s">
        <v>6</v>
      </c>
      <c r="BZ280">
        <v>128</v>
      </c>
      <c r="CA280">
        <v>83</v>
      </c>
      <c r="CE280">
        <v>0</v>
      </c>
      <c r="CF280">
        <v>0</v>
      </c>
      <c r="CG280">
        <v>0</v>
      </c>
      <c r="CM280">
        <v>0</v>
      </c>
      <c r="CN280" t="s">
        <v>6</v>
      </c>
      <c r="CO280">
        <v>0</v>
      </c>
      <c r="CP280">
        <f t="shared" si="258"/>
        <v>17894.87</v>
      </c>
      <c r="CQ280">
        <f t="shared" si="259"/>
        <v>2982.4789999999998</v>
      </c>
      <c r="CR280">
        <f t="shared" si="260"/>
        <v>0</v>
      </c>
      <c r="CS280">
        <f t="shared" si="261"/>
        <v>0</v>
      </c>
      <c r="CT280">
        <f t="shared" si="262"/>
        <v>0</v>
      </c>
      <c r="CU280">
        <f t="shared" si="263"/>
        <v>0</v>
      </c>
      <c r="CV280">
        <f t="shared" si="264"/>
        <v>0</v>
      </c>
      <c r="CW280">
        <f t="shared" si="265"/>
        <v>0</v>
      </c>
      <c r="CX280">
        <f t="shared" si="266"/>
        <v>0</v>
      </c>
      <c r="CY280">
        <f t="shared" si="267"/>
        <v>0</v>
      </c>
      <c r="CZ280">
        <f t="shared" si="268"/>
        <v>0</v>
      </c>
      <c r="DC280" t="s">
        <v>6</v>
      </c>
      <c r="DD280" t="s">
        <v>6</v>
      </c>
      <c r="DE280" t="s">
        <v>6</v>
      </c>
      <c r="DF280" t="s">
        <v>6</v>
      </c>
      <c r="DG280" t="s">
        <v>6</v>
      </c>
      <c r="DH280" t="s">
        <v>6</v>
      </c>
      <c r="DI280" t="s">
        <v>6</v>
      </c>
      <c r="DJ280" t="s">
        <v>6</v>
      </c>
      <c r="DK280" t="s">
        <v>6</v>
      </c>
      <c r="DL280" t="s">
        <v>6</v>
      </c>
      <c r="DM280" t="s">
        <v>6</v>
      </c>
      <c r="DN280">
        <v>0</v>
      </c>
      <c r="DO280">
        <v>0</v>
      </c>
      <c r="DP280">
        <v>1</v>
      </c>
      <c r="DQ280">
        <v>1</v>
      </c>
      <c r="DU280">
        <v>1010</v>
      </c>
      <c r="DV280" t="s">
        <v>132</v>
      </c>
      <c r="DW280" t="s">
        <v>132</v>
      </c>
      <c r="DX280">
        <v>1</v>
      </c>
      <c r="EE280">
        <v>16609135</v>
      </c>
      <c r="EF280">
        <v>2</v>
      </c>
      <c r="EG280" t="s">
        <v>14</v>
      </c>
      <c r="EH280">
        <v>0</v>
      </c>
      <c r="EI280" t="s">
        <v>6</v>
      </c>
      <c r="EJ280">
        <v>1</v>
      </c>
      <c r="EK280">
        <v>20001</v>
      </c>
      <c r="EL280" t="s">
        <v>832</v>
      </c>
      <c r="EM280" t="s">
        <v>833</v>
      </c>
      <c r="EO280" t="s">
        <v>6</v>
      </c>
      <c r="EQ280">
        <v>0</v>
      </c>
      <c r="ER280">
        <v>418.3</v>
      </c>
      <c r="ES280">
        <v>418.3</v>
      </c>
      <c r="ET280">
        <v>0</v>
      </c>
      <c r="EU280">
        <v>0</v>
      </c>
      <c r="EV280">
        <v>0</v>
      </c>
      <c r="EW280">
        <v>0</v>
      </c>
      <c r="EX280">
        <v>0</v>
      </c>
      <c r="FQ280">
        <v>0</v>
      </c>
      <c r="FR280">
        <f t="shared" si="269"/>
        <v>0</v>
      </c>
      <c r="FS280">
        <v>0</v>
      </c>
      <c r="FT280" t="s">
        <v>22</v>
      </c>
      <c r="FU280" t="s">
        <v>23</v>
      </c>
      <c r="FX280">
        <v>115.2</v>
      </c>
      <c r="FY280">
        <v>70.55</v>
      </c>
      <c r="GA280" t="s">
        <v>6</v>
      </c>
      <c r="GD280">
        <v>0</v>
      </c>
      <c r="GF280">
        <v>-490399019</v>
      </c>
      <c r="GG280">
        <v>1</v>
      </c>
      <c r="GH280">
        <v>1</v>
      </c>
      <c r="GI280">
        <v>4</v>
      </c>
      <c r="GJ280">
        <v>0</v>
      </c>
      <c r="GK280">
        <f>ROUND(R280*(R12)/100,2)</f>
        <v>0</v>
      </c>
      <c r="GL280">
        <f t="shared" si="270"/>
        <v>0</v>
      </c>
      <c r="GM280">
        <f t="shared" si="271"/>
        <v>17894.87</v>
      </c>
      <c r="GN280">
        <f t="shared" si="272"/>
        <v>17894.87</v>
      </c>
      <c r="GO280">
        <f t="shared" si="273"/>
        <v>0</v>
      </c>
      <c r="GP280">
        <f t="shared" si="274"/>
        <v>0</v>
      </c>
      <c r="GR280">
        <v>0</v>
      </c>
      <c r="GS280">
        <v>3</v>
      </c>
      <c r="GT280">
        <v>0</v>
      </c>
      <c r="GU280" t="s">
        <v>6</v>
      </c>
      <c r="GV280">
        <f t="shared" si="275"/>
        <v>0</v>
      </c>
      <c r="GW280">
        <v>1</v>
      </c>
      <c r="GX280">
        <f t="shared" si="276"/>
        <v>0</v>
      </c>
      <c r="HA280">
        <v>0</v>
      </c>
      <c r="HB280">
        <v>0</v>
      </c>
      <c r="HC280">
        <f t="shared" si="277"/>
        <v>0</v>
      </c>
      <c r="IK280">
        <v>0</v>
      </c>
    </row>
    <row r="281" spans="1:245" x14ac:dyDescent="0.2">
      <c r="A281">
        <v>17</v>
      </c>
      <c r="B281">
        <v>1</v>
      </c>
      <c r="C281">
        <f>ROW(SmtRes!A644)</f>
        <v>644</v>
      </c>
      <c r="D281">
        <f>ROW(EtalonRes!A633)</f>
        <v>633</v>
      </c>
      <c r="E281" t="s">
        <v>846</v>
      </c>
      <c r="F281" t="s">
        <v>847</v>
      </c>
      <c r="G281" t="s">
        <v>848</v>
      </c>
      <c r="H281" t="s">
        <v>127</v>
      </c>
      <c r="I281">
        <v>2</v>
      </c>
      <c r="J281">
        <v>0</v>
      </c>
      <c r="O281">
        <f t="shared" si="242"/>
        <v>2050.02</v>
      </c>
      <c r="P281">
        <f t="shared" si="243"/>
        <v>43.35</v>
      </c>
      <c r="Q281">
        <f t="shared" si="244"/>
        <v>370.76</v>
      </c>
      <c r="R281">
        <f t="shared" si="245"/>
        <v>39.93</v>
      </c>
      <c r="S281">
        <f t="shared" si="246"/>
        <v>1635.91</v>
      </c>
      <c r="T281">
        <f t="shared" si="247"/>
        <v>0</v>
      </c>
      <c r="U281">
        <f t="shared" si="248"/>
        <v>23.850999999999996</v>
      </c>
      <c r="V281">
        <f t="shared" si="249"/>
        <v>0.47499999999999998</v>
      </c>
      <c r="W281">
        <f t="shared" si="250"/>
        <v>0</v>
      </c>
      <c r="X281">
        <f t="shared" si="251"/>
        <v>1927.22</v>
      </c>
      <c r="Y281">
        <f t="shared" si="252"/>
        <v>1189.8499999999999</v>
      </c>
      <c r="AA281">
        <v>16630606</v>
      </c>
      <c r="AB281">
        <f t="shared" si="253"/>
        <v>143.76</v>
      </c>
      <c r="AC281">
        <f t="shared" si="278"/>
        <v>3.04</v>
      </c>
      <c r="AD281">
        <f>ROUND(((((ET281*1.25))-((EU281*1.25)))+AE281),2)</f>
        <v>26</v>
      </c>
      <c r="AE281">
        <f>ROUND(((EU281*1.25)),2)</f>
        <v>2.8</v>
      </c>
      <c r="AF281">
        <f>ROUND(((EV281*1.15)),2)</f>
        <v>114.72</v>
      </c>
      <c r="AG281">
        <f t="shared" si="255"/>
        <v>0</v>
      </c>
      <c r="AH281">
        <f>((EW281*1.15))</f>
        <v>11.925499999999998</v>
      </c>
      <c r="AI281">
        <f>((EX281*1.25))</f>
        <v>0.23749999999999999</v>
      </c>
      <c r="AJ281">
        <f t="shared" si="257"/>
        <v>0</v>
      </c>
      <c r="AK281">
        <v>123.6</v>
      </c>
      <c r="AL281">
        <v>3.04</v>
      </c>
      <c r="AM281">
        <v>20.8</v>
      </c>
      <c r="AN281">
        <v>2.2400000000000002</v>
      </c>
      <c r="AO281">
        <v>99.76</v>
      </c>
      <c r="AP281">
        <v>0</v>
      </c>
      <c r="AQ281">
        <v>10.37</v>
      </c>
      <c r="AR281">
        <v>0.19</v>
      </c>
      <c r="AS281">
        <v>0</v>
      </c>
      <c r="AT281">
        <v>115</v>
      </c>
      <c r="AU281">
        <v>71</v>
      </c>
      <c r="AV281">
        <v>1</v>
      </c>
      <c r="AW281">
        <v>1</v>
      </c>
      <c r="AZ281">
        <v>7.13</v>
      </c>
      <c r="BA281">
        <v>7.13</v>
      </c>
      <c r="BB281">
        <v>7.13</v>
      </c>
      <c r="BC281">
        <v>7.13</v>
      </c>
      <c r="BD281" t="s">
        <v>6</v>
      </c>
      <c r="BE281" t="s">
        <v>6</v>
      </c>
      <c r="BF281" t="s">
        <v>6</v>
      </c>
      <c r="BG281" t="s">
        <v>6</v>
      </c>
      <c r="BH281">
        <v>0</v>
      </c>
      <c r="BI281">
        <v>1</v>
      </c>
      <c r="BJ281" t="s">
        <v>849</v>
      </c>
      <c r="BM281">
        <v>20001</v>
      </c>
      <c r="BN281">
        <v>0</v>
      </c>
      <c r="BO281" t="s">
        <v>6</v>
      </c>
      <c r="BP281">
        <v>0</v>
      </c>
      <c r="BQ281">
        <v>2</v>
      </c>
      <c r="BR281">
        <v>0</v>
      </c>
      <c r="BS281">
        <v>7.13</v>
      </c>
      <c r="BT281">
        <v>1</v>
      </c>
      <c r="BU281">
        <v>1</v>
      </c>
      <c r="BV281">
        <v>1</v>
      </c>
      <c r="BW281">
        <v>1</v>
      </c>
      <c r="BX281">
        <v>1</v>
      </c>
      <c r="BY281" t="s">
        <v>6</v>
      </c>
      <c r="BZ281">
        <v>128</v>
      </c>
      <c r="CA281">
        <v>83</v>
      </c>
      <c r="CE281">
        <v>0</v>
      </c>
      <c r="CF281">
        <v>0</v>
      </c>
      <c r="CG281">
        <v>0</v>
      </c>
      <c r="CM281">
        <v>0</v>
      </c>
      <c r="CN281" t="s">
        <v>1758</v>
      </c>
      <c r="CO281">
        <v>0</v>
      </c>
      <c r="CP281">
        <f t="shared" si="258"/>
        <v>2050.02</v>
      </c>
      <c r="CQ281">
        <f t="shared" si="259"/>
        <v>21.6752</v>
      </c>
      <c r="CR281">
        <f t="shared" si="260"/>
        <v>185.38</v>
      </c>
      <c r="CS281">
        <f t="shared" si="261"/>
        <v>19.963999999999999</v>
      </c>
      <c r="CT281">
        <f t="shared" si="262"/>
        <v>817.95359999999994</v>
      </c>
      <c r="CU281">
        <f t="shared" si="263"/>
        <v>0</v>
      </c>
      <c r="CV281">
        <f t="shared" si="264"/>
        <v>11.925499999999998</v>
      </c>
      <c r="CW281">
        <f t="shared" si="265"/>
        <v>0.23749999999999999</v>
      </c>
      <c r="CX281">
        <f t="shared" si="266"/>
        <v>0</v>
      </c>
      <c r="CY281">
        <f t="shared" si="267"/>
        <v>1927.2160000000001</v>
      </c>
      <c r="CZ281">
        <f t="shared" si="268"/>
        <v>1189.8464000000001</v>
      </c>
      <c r="DC281" t="s">
        <v>6</v>
      </c>
      <c r="DD281" t="s">
        <v>6</v>
      </c>
      <c r="DE281" t="s">
        <v>81</v>
      </c>
      <c r="DF281" t="s">
        <v>81</v>
      </c>
      <c r="DG281" t="s">
        <v>82</v>
      </c>
      <c r="DH281" t="s">
        <v>6</v>
      </c>
      <c r="DI281" t="s">
        <v>82</v>
      </c>
      <c r="DJ281" t="s">
        <v>81</v>
      </c>
      <c r="DK281" t="s">
        <v>6</v>
      </c>
      <c r="DL281" t="s">
        <v>6</v>
      </c>
      <c r="DM281" t="s">
        <v>6</v>
      </c>
      <c r="DN281">
        <v>0</v>
      </c>
      <c r="DO281">
        <v>0</v>
      </c>
      <c r="DP281">
        <v>1</v>
      </c>
      <c r="DQ281">
        <v>1</v>
      </c>
      <c r="DU281">
        <v>1013</v>
      </c>
      <c r="DV281" t="s">
        <v>127</v>
      </c>
      <c r="DW281" t="s">
        <v>127</v>
      </c>
      <c r="DX281">
        <v>1</v>
      </c>
      <c r="EE281">
        <v>16609135</v>
      </c>
      <c r="EF281">
        <v>2</v>
      </c>
      <c r="EG281" t="s">
        <v>14</v>
      </c>
      <c r="EH281">
        <v>0</v>
      </c>
      <c r="EI281" t="s">
        <v>6</v>
      </c>
      <c r="EJ281">
        <v>1</v>
      </c>
      <c r="EK281">
        <v>20001</v>
      </c>
      <c r="EL281" t="s">
        <v>832</v>
      </c>
      <c r="EM281" t="s">
        <v>833</v>
      </c>
      <c r="EO281" t="s">
        <v>83</v>
      </c>
      <c r="EQ281">
        <v>131072</v>
      </c>
      <c r="ER281">
        <v>123.6</v>
      </c>
      <c r="ES281">
        <v>3.04</v>
      </c>
      <c r="ET281">
        <v>20.8</v>
      </c>
      <c r="EU281">
        <v>2.2400000000000002</v>
      </c>
      <c r="EV281">
        <v>99.76</v>
      </c>
      <c r="EW281">
        <v>10.37</v>
      </c>
      <c r="EX281">
        <v>0.19</v>
      </c>
      <c r="EY281">
        <v>0</v>
      </c>
      <c r="FQ281">
        <v>0</v>
      </c>
      <c r="FR281">
        <f t="shared" si="269"/>
        <v>0</v>
      </c>
      <c r="FS281">
        <v>0</v>
      </c>
      <c r="FT281" t="s">
        <v>22</v>
      </c>
      <c r="FU281" t="s">
        <v>23</v>
      </c>
      <c r="FX281">
        <v>115.2</v>
      </c>
      <c r="FY281">
        <v>70.55</v>
      </c>
      <c r="GA281" t="s">
        <v>6</v>
      </c>
      <c r="GD281">
        <v>0</v>
      </c>
      <c r="GF281">
        <v>-2074127217</v>
      </c>
      <c r="GG281">
        <v>1</v>
      </c>
      <c r="GH281">
        <v>1</v>
      </c>
      <c r="GI281">
        <v>4</v>
      </c>
      <c r="GJ281">
        <v>0</v>
      </c>
      <c r="GK281">
        <f>ROUND(R281*(R12)/100,2)</f>
        <v>0</v>
      </c>
      <c r="GL281">
        <f t="shared" si="270"/>
        <v>0</v>
      </c>
      <c r="GM281">
        <f t="shared" si="271"/>
        <v>5167.09</v>
      </c>
      <c r="GN281">
        <f t="shared" si="272"/>
        <v>5167.09</v>
      </c>
      <c r="GO281">
        <f t="shared" si="273"/>
        <v>0</v>
      </c>
      <c r="GP281">
        <f t="shared" si="274"/>
        <v>0</v>
      </c>
      <c r="GR281">
        <v>0</v>
      </c>
      <c r="GS281">
        <v>3</v>
      </c>
      <c r="GT281">
        <v>0</v>
      </c>
      <c r="GU281" t="s">
        <v>6</v>
      </c>
      <c r="GV281">
        <f t="shared" si="275"/>
        <v>0</v>
      </c>
      <c r="GW281">
        <v>1</v>
      </c>
      <c r="GX281">
        <f t="shared" si="276"/>
        <v>0</v>
      </c>
      <c r="HA281">
        <v>0</v>
      </c>
      <c r="HB281">
        <v>0</v>
      </c>
      <c r="HC281">
        <f t="shared" si="277"/>
        <v>0</v>
      </c>
      <c r="IK281">
        <v>0</v>
      </c>
    </row>
    <row r="282" spans="1:245" x14ac:dyDescent="0.2">
      <c r="A282">
        <v>18</v>
      </c>
      <c r="B282">
        <v>1</v>
      </c>
      <c r="C282">
        <v>644</v>
      </c>
      <c r="E282" t="s">
        <v>850</v>
      </c>
      <c r="F282" t="s">
        <v>851</v>
      </c>
      <c r="G282" t="s">
        <v>852</v>
      </c>
      <c r="H282" t="s">
        <v>177</v>
      </c>
      <c r="I282">
        <f>I281*J282</f>
        <v>2</v>
      </c>
      <c r="J282">
        <v>1</v>
      </c>
      <c r="O282">
        <f t="shared" si="242"/>
        <v>21597.77</v>
      </c>
      <c r="P282">
        <f t="shared" si="243"/>
        <v>21597.77</v>
      </c>
      <c r="Q282">
        <f t="shared" si="244"/>
        <v>0</v>
      </c>
      <c r="R282">
        <f t="shared" si="245"/>
        <v>0</v>
      </c>
      <c r="S282">
        <f t="shared" si="246"/>
        <v>0</v>
      </c>
      <c r="T282">
        <f t="shared" si="247"/>
        <v>0</v>
      </c>
      <c r="U282">
        <f t="shared" si="248"/>
        <v>0</v>
      </c>
      <c r="V282">
        <f t="shared" si="249"/>
        <v>0</v>
      </c>
      <c r="W282">
        <f t="shared" si="250"/>
        <v>0</v>
      </c>
      <c r="X282">
        <f t="shared" si="251"/>
        <v>0</v>
      </c>
      <c r="Y282">
        <f t="shared" si="252"/>
        <v>0</v>
      </c>
      <c r="AA282">
        <v>16630606</v>
      </c>
      <c r="AB282">
        <f t="shared" si="253"/>
        <v>1514.57</v>
      </c>
      <c r="AC282">
        <f t="shared" si="278"/>
        <v>1514.57</v>
      </c>
      <c r="AD282">
        <f>ROUND((((ET282)-(EU282))+AE282),2)</f>
        <v>0</v>
      </c>
      <c r="AE282">
        <f t="shared" ref="AE282:AF284" si="288">ROUND((EU282),2)</f>
        <v>0</v>
      </c>
      <c r="AF282">
        <f t="shared" si="288"/>
        <v>0</v>
      </c>
      <c r="AG282">
        <f t="shared" si="255"/>
        <v>0</v>
      </c>
      <c r="AH282">
        <f t="shared" ref="AH282:AI284" si="289">(EW282)</f>
        <v>0</v>
      </c>
      <c r="AI282">
        <f t="shared" si="289"/>
        <v>0</v>
      </c>
      <c r="AJ282">
        <f t="shared" si="257"/>
        <v>0</v>
      </c>
      <c r="AK282">
        <v>1514.57</v>
      </c>
      <c r="AL282">
        <v>1514.57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115</v>
      </c>
      <c r="AU282">
        <v>71</v>
      </c>
      <c r="AV282">
        <v>1</v>
      </c>
      <c r="AW282">
        <v>1</v>
      </c>
      <c r="AZ282">
        <v>7.13</v>
      </c>
      <c r="BA282">
        <v>1</v>
      </c>
      <c r="BB282">
        <v>1</v>
      </c>
      <c r="BC282">
        <v>7.13</v>
      </c>
      <c r="BD282" t="s">
        <v>6</v>
      </c>
      <c r="BE282" t="s">
        <v>6</v>
      </c>
      <c r="BF282" t="s">
        <v>6</v>
      </c>
      <c r="BG282" t="s">
        <v>6</v>
      </c>
      <c r="BH282">
        <v>3</v>
      </c>
      <c r="BI282">
        <v>1</v>
      </c>
      <c r="BJ282" t="s">
        <v>853</v>
      </c>
      <c r="BM282">
        <v>20001</v>
      </c>
      <c r="BN282">
        <v>0</v>
      </c>
      <c r="BO282" t="s">
        <v>6</v>
      </c>
      <c r="BP282">
        <v>0</v>
      </c>
      <c r="BQ282">
        <v>2</v>
      </c>
      <c r="BR282">
        <v>0</v>
      </c>
      <c r="BS282">
        <v>1</v>
      </c>
      <c r="BT282">
        <v>1</v>
      </c>
      <c r="BU282">
        <v>1</v>
      </c>
      <c r="BV282">
        <v>1</v>
      </c>
      <c r="BW282">
        <v>1</v>
      </c>
      <c r="BX282">
        <v>1</v>
      </c>
      <c r="BY282" t="s">
        <v>6</v>
      </c>
      <c r="BZ282">
        <v>128</v>
      </c>
      <c r="CA282">
        <v>83</v>
      </c>
      <c r="CE282">
        <v>0</v>
      </c>
      <c r="CF282">
        <v>0</v>
      </c>
      <c r="CG282">
        <v>0</v>
      </c>
      <c r="CM282">
        <v>0</v>
      </c>
      <c r="CN282" t="s">
        <v>6</v>
      </c>
      <c r="CO282">
        <v>0</v>
      </c>
      <c r="CP282">
        <f t="shared" si="258"/>
        <v>21597.77</v>
      </c>
      <c r="CQ282">
        <f t="shared" si="259"/>
        <v>10798.884099999999</v>
      </c>
      <c r="CR282">
        <f t="shared" si="260"/>
        <v>0</v>
      </c>
      <c r="CS282">
        <f t="shared" si="261"/>
        <v>0</v>
      </c>
      <c r="CT282">
        <f t="shared" si="262"/>
        <v>0</v>
      </c>
      <c r="CU282">
        <f t="shared" si="263"/>
        <v>0</v>
      </c>
      <c r="CV282">
        <f t="shared" si="264"/>
        <v>0</v>
      </c>
      <c r="CW282">
        <f t="shared" si="265"/>
        <v>0</v>
      </c>
      <c r="CX282">
        <f t="shared" si="266"/>
        <v>0</v>
      </c>
      <c r="CY282">
        <f t="shared" si="267"/>
        <v>0</v>
      </c>
      <c r="CZ282">
        <f t="shared" si="268"/>
        <v>0</v>
      </c>
      <c r="DC282" t="s">
        <v>6</v>
      </c>
      <c r="DD282" t="s">
        <v>6</v>
      </c>
      <c r="DE282" t="s">
        <v>6</v>
      </c>
      <c r="DF282" t="s">
        <v>6</v>
      </c>
      <c r="DG282" t="s">
        <v>6</v>
      </c>
      <c r="DH282" t="s">
        <v>6</v>
      </c>
      <c r="DI282" t="s">
        <v>6</v>
      </c>
      <c r="DJ282" t="s">
        <v>6</v>
      </c>
      <c r="DK282" t="s">
        <v>6</v>
      </c>
      <c r="DL282" t="s">
        <v>6</v>
      </c>
      <c r="DM282" t="s">
        <v>6</v>
      </c>
      <c r="DN282">
        <v>0</v>
      </c>
      <c r="DO282">
        <v>0</v>
      </c>
      <c r="DP282">
        <v>1</v>
      </c>
      <c r="DQ282">
        <v>1</v>
      </c>
      <c r="DU282">
        <v>1013</v>
      </c>
      <c r="DV282" t="s">
        <v>177</v>
      </c>
      <c r="DW282" t="s">
        <v>177</v>
      </c>
      <c r="DX282">
        <v>1</v>
      </c>
      <c r="EE282">
        <v>16609135</v>
      </c>
      <c r="EF282">
        <v>2</v>
      </c>
      <c r="EG282" t="s">
        <v>14</v>
      </c>
      <c r="EH282">
        <v>0</v>
      </c>
      <c r="EI282" t="s">
        <v>6</v>
      </c>
      <c r="EJ282">
        <v>1</v>
      </c>
      <c r="EK282">
        <v>20001</v>
      </c>
      <c r="EL282" t="s">
        <v>832</v>
      </c>
      <c r="EM282" t="s">
        <v>833</v>
      </c>
      <c r="EO282" t="s">
        <v>6</v>
      </c>
      <c r="EQ282">
        <v>0</v>
      </c>
      <c r="ER282">
        <v>1514.57</v>
      </c>
      <c r="ES282">
        <v>1514.57</v>
      </c>
      <c r="ET282">
        <v>0</v>
      </c>
      <c r="EU282">
        <v>0</v>
      </c>
      <c r="EV282">
        <v>0</v>
      </c>
      <c r="EW282">
        <v>0</v>
      </c>
      <c r="EX282">
        <v>0</v>
      </c>
      <c r="FQ282">
        <v>0</v>
      </c>
      <c r="FR282">
        <f t="shared" si="269"/>
        <v>0</v>
      </c>
      <c r="FS282">
        <v>0</v>
      </c>
      <c r="FT282" t="s">
        <v>22</v>
      </c>
      <c r="FU282" t="s">
        <v>23</v>
      </c>
      <c r="FX282">
        <v>115.2</v>
      </c>
      <c r="FY282">
        <v>70.55</v>
      </c>
      <c r="GA282" t="s">
        <v>6</v>
      </c>
      <c r="GD282">
        <v>0</v>
      </c>
      <c r="GF282">
        <v>1043544076</v>
      </c>
      <c r="GG282">
        <v>1</v>
      </c>
      <c r="GH282">
        <v>1</v>
      </c>
      <c r="GI282">
        <v>4</v>
      </c>
      <c r="GJ282">
        <v>0</v>
      </c>
      <c r="GK282">
        <f>ROUND(R282*(R12)/100,2)</f>
        <v>0</v>
      </c>
      <c r="GL282">
        <f t="shared" si="270"/>
        <v>0</v>
      </c>
      <c r="GM282">
        <f t="shared" si="271"/>
        <v>21597.77</v>
      </c>
      <c r="GN282">
        <f t="shared" si="272"/>
        <v>21597.77</v>
      </c>
      <c r="GO282">
        <f t="shared" si="273"/>
        <v>0</v>
      </c>
      <c r="GP282">
        <f t="shared" si="274"/>
        <v>0</v>
      </c>
      <c r="GR282">
        <v>0</v>
      </c>
      <c r="GS282">
        <v>3</v>
      </c>
      <c r="GT282">
        <v>0</v>
      </c>
      <c r="GU282" t="s">
        <v>6</v>
      </c>
      <c r="GV282">
        <f t="shared" si="275"/>
        <v>0</v>
      </c>
      <c r="GW282">
        <v>1</v>
      </c>
      <c r="GX282">
        <f t="shared" si="276"/>
        <v>0</v>
      </c>
      <c r="HA282">
        <v>0</v>
      </c>
      <c r="HB282">
        <v>0</v>
      </c>
      <c r="HC282">
        <f t="shared" si="277"/>
        <v>0</v>
      </c>
      <c r="IK282">
        <v>0</v>
      </c>
    </row>
    <row r="283" spans="1:245" x14ac:dyDescent="0.2">
      <c r="A283">
        <v>17</v>
      </c>
      <c r="B283">
        <v>1</v>
      </c>
      <c r="C283">
        <f>ROW(SmtRes!A648)</f>
        <v>648</v>
      </c>
      <c r="D283">
        <f>ROW(EtalonRes!A636)</f>
        <v>636</v>
      </c>
      <c r="E283" t="s">
        <v>854</v>
      </c>
      <c r="F283" t="s">
        <v>855</v>
      </c>
      <c r="G283" t="s">
        <v>856</v>
      </c>
      <c r="H283" t="s">
        <v>127</v>
      </c>
      <c r="I283">
        <v>2</v>
      </c>
      <c r="J283">
        <v>0</v>
      </c>
      <c r="O283">
        <f t="shared" si="242"/>
        <v>94.83</v>
      </c>
      <c r="P283">
        <f t="shared" si="243"/>
        <v>14.4</v>
      </c>
      <c r="Q283">
        <f t="shared" si="244"/>
        <v>0</v>
      </c>
      <c r="R283">
        <f t="shared" si="245"/>
        <v>0</v>
      </c>
      <c r="S283">
        <f t="shared" si="246"/>
        <v>80.430000000000007</v>
      </c>
      <c r="T283">
        <f t="shared" si="247"/>
        <v>0</v>
      </c>
      <c r="U283">
        <f t="shared" si="248"/>
        <v>1.2</v>
      </c>
      <c r="V283">
        <f t="shared" si="249"/>
        <v>0</v>
      </c>
      <c r="W283">
        <f t="shared" si="250"/>
        <v>0</v>
      </c>
      <c r="X283">
        <f t="shared" si="251"/>
        <v>64.34</v>
      </c>
      <c r="Y283">
        <f t="shared" si="252"/>
        <v>48.26</v>
      </c>
      <c r="AA283">
        <v>16630606</v>
      </c>
      <c r="AB283">
        <f t="shared" si="253"/>
        <v>6.65</v>
      </c>
      <c r="AC283">
        <f t="shared" si="278"/>
        <v>1.01</v>
      </c>
      <c r="AD283">
        <f>ROUND((((ET283)-(EU283))+AE283),2)</f>
        <v>0</v>
      </c>
      <c r="AE283">
        <f t="shared" si="288"/>
        <v>0</v>
      </c>
      <c r="AF283">
        <f t="shared" si="288"/>
        <v>5.64</v>
      </c>
      <c r="AG283">
        <f t="shared" si="255"/>
        <v>0</v>
      </c>
      <c r="AH283">
        <f t="shared" si="289"/>
        <v>0.6</v>
      </c>
      <c r="AI283">
        <f t="shared" si="289"/>
        <v>0</v>
      </c>
      <c r="AJ283">
        <f t="shared" si="257"/>
        <v>0</v>
      </c>
      <c r="AK283">
        <v>6.65</v>
      </c>
      <c r="AL283">
        <v>1.01</v>
      </c>
      <c r="AM283">
        <v>0</v>
      </c>
      <c r="AN283">
        <v>0</v>
      </c>
      <c r="AO283">
        <v>5.64</v>
      </c>
      <c r="AP283">
        <v>0</v>
      </c>
      <c r="AQ283">
        <v>0.6</v>
      </c>
      <c r="AR283">
        <v>0</v>
      </c>
      <c r="AS283">
        <v>0</v>
      </c>
      <c r="AT283">
        <v>80</v>
      </c>
      <c r="AU283">
        <v>60</v>
      </c>
      <c r="AV283">
        <v>1</v>
      </c>
      <c r="AW283">
        <v>1</v>
      </c>
      <c r="AZ283">
        <v>7.13</v>
      </c>
      <c r="BA283">
        <v>7.13</v>
      </c>
      <c r="BB283">
        <v>7.13</v>
      </c>
      <c r="BC283">
        <v>7.13</v>
      </c>
      <c r="BD283" t="s">
        <v>6</v>
      </c>
      <c r="BE283" t="s">
        <v>6</v>
      </c>
      <c r="BF283" t="s">
        <v>6</v>
      </c>
      <c r="BG283" t="s">
        <v>6</v>
      </c>
      <c r="BH283">
        <v>0</v>
      </c>
      <c r="BI283">
        <v>2</v>
      </c>
      <c r="BJ283" t="s">
        <v>857</v>
      </c>
      <c r="BM283">
        <v>110011</v>
      </c>
      <c r="BN283">
        <v>0</v>
      </c>
      <c r="BO283" t="s">
        <v>6</v>
      </c>
      <c r="BP283">
        <v>0</v>
      </c>
      <c r="BQ283">
        <v>3</v>
      </c>
      <c r="BR283">
        <v>0</v>
      </c>
      <c r="BS283">
        <v>7.13</v>
      </c>
      <c r="BT283">
        <v>1</v>
      </c>
      <c r="BU283">
        <v>1</v>
      </c>
      <c r="BV283">
        <v>1</v>
      </c>
      <c r="BW283">
        <v>1</v>
      </c>
      <c r="BX283">
        <v>1</v>
      </c>
      <c r="BY283" t="s">
        <v>6</v>
      </c>
      <c r="BZ283">
        <v>80</v>
      </c>
      <c r="CA283">
        <v>60</v>
      </c>
      <c r="CE283">
        <v>0</v>
      </c>
      <c r="CF283">
        <v>0</v>
      </c>
      <c r="CG283">
        <v>0</v>
      </c>
      <c r="CM283">
        <v>0</v>
      </c>
      <c r="CN283" t="s">
        <v>6</v>
      </c>
      <c r="CO283">
        <v>0</v>
      </c>
      <c r="CP283">
        <f t="shared" si="258"/>
        <v>94.830000000000013</v>
      </c>
      <c r="CQ283">
        <f t="shared" si="259"/>
        <v>7.2012999999999998</v>
      </c>
      <c r="CR283">
        <f t="shared" si="260"/>
        <v>0</v>
      </c>
      <c r="CS283">
        <f t="shared" si="261"/>
        <v>0</v>
      </c>
      <c r="CT283">
        <f t="shared" si="262"/>
        <v>40.213200000000001</v>
      </c>
      <c r="CU283">
        <f t="shared" si="263"/>
        <v>0</v>
      </c>
      <c r="CV283">
        <f t="shared" si="264"/>
        <v>0.6</v>
      </c>
      <c r="CW283">
        <f t="shared" si="265"/>
        <v>0</v>
      </c>
      <c r="CX283">
        <f t="shared" si="266"/>
        <v>0</v>
      </c>
      <c r="CY283">
        <f t="shared" si="267"/>
        <v>64.344000000000008</v>
      </c>
      <c r="CZ283">
        <f t="shared" si="268"/>
        <v>48.258000000000003</v>
      </c>
      <c r="DC283" t="s">
        <v>6</v>
      </c>
      <c r="DD283" t="s">
        <v>6</v>
      </c>
      <c r="DE283" t="s">
        <v>6</v>
      </c>
      <c r="DF283" t="s">
        <v>6</v>
      </c>
      <c r="DG283" t="s">
        <v>6</v>
      </c>
      <c r="DH283" t="s">
        <v>6</v>
      </c>
      <c r="DI283" t="s">
        <v>6</v>
      </c>
      <c r="DJ283" t="s">
        <v>6</v>
      </c>
      <c r="DK283" t="s">
        <v>6</v>
      </c>
      <c r="DL283" t="s">
        <v>6</v>
      </c>
      <c r="DM283" t="s">
        <v>6</v>
      </c>
      <c r="DN283">
        <v>0</v>
      </c>
      <c r="DO283">
        <v>0</v>
      </c>
      <c r="DP283">
        <v>1</v>
      </c>
      <c r="DQ283">
        <v>1</v>
      </c>
      <c r="DU283">
        <v>1013</v>
      </c>
      <c r="DV283" t="s">
        <v>127</v>
      </c>
      <c r="DW283" t="s">
        <v>127</v>
      </c>
      <c r="DX283">
        <v>1</v>
      </c>
      <c r="EE283">
        <v>16609240</v>
      </c>
      <c r="EF283">
        <v>3</v>
      </c>
      <c r="EG283" t="s">
        <v>491</v>
      </c>
      <c r="EH283">
        <v>0</v>
      </c>
      <c r="EI283" t="s">
        <v>6</v>
      </c>
      <c r="EJ283">
        <v>2</v>
      </c>
      <c r="EK283">
        <v>110011</v>
      </c>
      <c r="EL283" t="s">
        <v>612</v>
      </c>
      <c r="EM283" t="s">
        <v>514</v>
      </c>
      <c r="EO283" t="s">
        <v>6</v>
      </c>
      <c r="EQ283">
        <v>131072</v>
      </c>
      <c r="ER283">
        <v>6.65</v>
      </c>
      <c r="ES283">
        <v>1.01</v>
      </c>
      <c r="ET283">
        <v>0</v>
      </c>
      <c r="EU283">
        <v>0</v>
      </c>
      <c r="EV283">
        <v>5.64</v>
      </c>
      <c r="EW283">
        <v>0.6</v>
      </c>
      <c r="EX283">
        <v>0</v>
      </c>
      <c r="EY283">
        <v>0</v>
      </c>
      <c r="FQ283">
        <v>0</v>
      </c>
      <c r="FR283">
        <f t="shared" si="269"/>
        <v>0</v>
      </c>
      <c r="FS283">
        <v>0</v>
      </c>
      <c r="FX283">
        <v>80</v>
      </c>
      <c r="FY283">
        <v>60</v>
      </c>
      <c r="GA283" t="s">
        <v>6</v>
      </c>
      <c r="GD283">
        <v>0</v>
      </c>
      <c r="GF283">
        <v>-697927161</v>
      </c>
      <c r="GG283">
        <v>1</v>
      </c>
      <c r="GH283">
        <v>1</v>
      </c>
      <c r="GI283">
        <v>4</v>
      </c>
      <c r="GJ283">
        <v>0</v>
      </c>
      <c r="GK283">
        <f>ROUND(R283*(R12)/100,2)</f>
        <v>0</v>
      </c>
      <c r="GL283">
        <f t="shared" si="270"/>
        <v>0</v>
      </c>
      <c r="GM283">
        <f t="shared" si="271"/>
        <v>207.43</v>
      </c>
      <c r="GN283">
        <f t="shared" si="272"/>
        <v>0</v>
      </c>
      <c r="GO283">
        <f t="shared" si="273"/>
        <v>207.43</v>
      </c>
      <c r="GP283">
        <f t="shared" si="274"/>
        <v>0</v>
      </c>
      <c r="GR283">
        <v>0</v>
      </c>
      <c r="GS283">
        <v>3</v>
      </c>
      <c r="GT283">
        <v>0</v>
      </c>
      <c r="GU283" t="s">
        <v>6</v>
      </c>
      <c r="GV283">
        <f t="shared" si="275"/>
        <v>0</v>
      </c>
      <c r="GW283">
        <v>1</v>
      </c>
      <c r="GX283">
        <f t="shared" si="276"/>
        <v>0</v>
      </c>
      <c r="HA283">
        <v>0</v>
      </c>
      <c r="HB283">
        <v>0</v>
      </c>
      <c r="HC283">
        <f t="shared" si="277"/>
        <v>0</v>
      </c>
      <c r="IK283">
        <v>0</v>
      </c>
    </row>
    <row r="284" spans="1:245" x14ac:dyDescent="0.2">
      <c r="A284">
        <v>18</v>
      </c>
      <c r="B284">
        <v>1</v>
      </c>
      <c r="C284">
        <v>647</v>
      </c>
      <c r="E284" t="s">
        <v>858</v>
      </c>
      <c r="F284" t="s">
        <v>859</v>
      </c>
      <c r="G284" t="s">
        <v>860</v>
      </c>
      <c r="H284" t="s">
        <v>132</v>
      </c>
      <c r="I284">
        <f>I283*J284</f>
        <v>2</v>
      </c>
      <c r="J284">
        <v>1</v>
      </c>
      <c r="O284">
        <f t="shared" si="242"/>
        <v>5174.8100000000004</v>
      </c>
      <c r="P284">
        <f t="shared" si="243"/>
        <v>5174.8100000000004</v>
      </c>
      <c r="Q284">
        <f t="shared" si="244"/>
        <v>0</v>
      </c>
      <c r="R284">
        <f t="shared" si="245"/>
        <v>0</v>
      </c>
      <c r="S284">
        <f t="shared" si="246"/>
        <v>0</v>
      </c>
      <c r="T284">
        <f t="shared" si="247"/>
        <v>0</v>
      </c>
      <c r="U284">
        <f t="shared" si="248"/>
        <v>0</v>
      </c>
      <c r="V284">
        <f t="shared" si="249"/>
        <v>0</v>
      </c>
      <c r="W284">
        <f t="shared" si="250"/>
        <v>0</v>
      </c>
      <c r="X284">
        <f t="shared" si="251"/>
        <v>0</v>
      </c>
      <c r="Y284">
        <f t="shared" si="252"/>
        <v>0</v>
      </c>
      <c r="AA284">
        <v>16630606</v>
      </c>
      <c r="AB284">
        <f t="shared" si="253"/>
        <v>362.89</v>
      </c>
      <c r="AC284">
        <f t="shared" si="278"/>
        <v>362.89</v>
      </c>
      <c r="AD284">
        <f>ROUND((((ET284)-(EU284))+AE284),2)</f>
        <v>0</v>
      </c>
      <c r="AE284">
        <f t="shared" si="288"/>
        <v>0</v>
      </c>
      <c r="AF284">
        <f t="shared" si="288"/>
        <v>0</v>
      </c>
      <c r="AG284">
        <f t="shared" si="255"/>
        <v>0</v>
      </c>
      <c r="AH284">
        <f t="shared" si="289"/>
        <v>0</v>
      </c>
      <c r="AI284">
        <f t="shared" si="289"/>
        <v>0</v>
      </c>
      <c r="AJ284">
        <f t="shared" si="257"/>
        <v>0</v>
      </c>
      <c r="AK284">
        <v>362.89</v>
      </c>
      <c r="AL284">
        <v>362.89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80</v>
      </c>
      <c r="AU284">
        <v>60</v>
      </c>
      <c r="AV284">
        <v>1</v>
      </c>
      <c r="AW284">
        <v>1</v>
      </c>
      <c r="AZ284">
        <v>7.13</v>
      </c>
      <c r="BA284">
        <v>1</v>
      </c>
      <c r="BB284">
        <v>1</v>
      </c>
      <c r="BC284">
        <v>7.13</v>
      </c>
      <c r="BD284" t="s">
        <v>6</v>
      </c>
      <c r="BE284" t="s">
        <v>6</v>
      </c>
      <c r="BF284" t="s">
        <v>6</v>
      </c>
      <c r="BG284" t="s">
        <v>6</v>
      </c>
      <c r="BH284">
        <v>3</v>
      </c>
      <c r="BI284">
        <v>2</v>
      </c>
      <c r="BJ284" t="s">
        <v>861</v>
      </c>
      <c r="BM284">
        <v>110011</v>
      </c>
      <c r="BN284">
        <v>0</v>
      </c>
      <c r="BO284" t="s">
        <v>6</v>
      </c>
      <c r="BP284">
        <v>0</v>
      </c>
      <c r="BQ284">
        <v>3</v>
      </c>
      <c r="BR284">
        <v>0</v>
      </c>
      <c r="BS284">
        <v>1</v>
      </c>
      <c r="BT284">
        <v>1</v>
      </c>
      <c r="BU284">
        <v>1</v>
      </c>
      <c r="BV284">
        <v>1</v>
      </c>
      <c r="BW284">
        <v>1</v>
      </c>
      <c r="BX284">
        <v>1</v>
      </c>
      <c r="BY284" t="s">
        <v>6</v>
      </c>
      <c r="BZ284">
        <v>80</v>
      </c>
      <c r="CA284">
        <v>60</v>
      </c>
      <c r="CE284">
        <v>0</v>
      </c>
      <c r="CF284">
        <v>0</v>
      </c>
      <c r="CG284">
        <v>0</v>
      </c>
      <c r="CM284">
        <v>0</v>
      </c>
      <c r="CN284" t="s">
        <v>6</v>
      </c>
      <c r="CO284">
        <v>0</v>
      </c>
      <c r="CP284">
        <f t="shared" si="258"/>
        <v>5174.8100000000004</v>
      </c>
      <c r="CQ284">
        <f t="shared" si="259"/>
        <v>2587.4056999999998</v>
      </c>
      <c r="CR284">
        <f t="shared" si="260"/>
        <v>0</v>
      </c>
      <c r="CS284">
        <f t="shared" si="261"/>
        <v>0</v>
      </c>
      <c r="CT284">
        <f t="shared" si="262"/>
        <v>0</v>
      </c>
      <c r="CU284">
        <f t="shared" si="263"/>
        <v>0</v>
      </c>
      <c r="CV284">
        <f t="shared" si="264"/>
        <v>0</v>
      </c>
      <c r="CW284">
        <f t="shared" si="265"/>
        <v>0</v>
      </c>
      <c r="CX284">
        <f t="shared" si="266"/>
        <v>0</v>
      </c>
      <c r="CY284">
        <f t="shared" si="267"/>
        <v>0</v>
      </c>
      <c r="CZ284">
        <f t="shared" si="268"/>
        <v>0</v>
      </c>
      <c r="DC284" t="s">
        <v>6</v>
      </c>
      <c r="DD284" t="s">
        <v>6</v>
      </c>
      <c r="DE284" t="s">
        <v>6</v>
      </c>
      <c r="DF284" t="s">
        <v>6</v>
      </c>
      <c r="DG284" t="s">
        <v>6</v>
      </c>
      <c r="DH284" t="s">
        <v>6</v>
      </c>
      <c r="DI284" t="s">
        <v>6</v>
      </c>
      <c r="DJ284" t="s">
        <v>6</v>
      </c>
      <c r="DK284" t="s">
        <v>6</v>
      </c>
      <c r="DL284" t="s">
        <v>6</v>
      </c>
      <c r="DM284" t="s">
        <v>6</v>
      </c>
      <c r="DN284">
        <v>0</v>
      </c>
      <c r="DO284">
        <v>0</v>
      </c>
      <c r="DP284">
        <v>1</v>
      </c>
      <c r="DQ284">
        <v>1</v>
      </c>
      <c r="DU284">
        <v>1010</v>
      </c>
      <c r="DV284" t="s">
        <v>132</v>
      </c>
      <c r="DW284" t="s">
        <v>132</v>
      </c>
      <c r="DX284">
        <v>1</v>
      </c>
      <c r="EE284">
        <v>16609240</v>
      </c>
      <c r="EF284">
        <v>3</v>
      </c>
      <c r="EG284" t="s">
        <v>491</v>
      </c>
      <c r="EH284">
        <v>0</v>
      </c>
      <c r="EI284" t="s">
        <v>6</v>
      </c>
      <c r="EJ284">
        <v>2</v>
      </c>
      <c r="EK284">
        <v>110011</v>
      </c>
      <c r="EL284" t="s">
        <v>612</v>
      </c>
      <c r="EM284" t="s">
        <v>514</v>
      </c>
      <c r="EO284" t="s">
        <v>6</v>
      </c>
      <c r="EQ284">
        <v>0</v>
      </c>
      <c r="ER284">
        <v>362.89</v>
      </c>
      <c r="ES284">
        <v>362.89</v>
      </c>
      <c r="ET284">
        <v>0</v>
      </c>
      <c r="EU284">
        <v>0</v>
      </c>
      <c r="EV284">
        <v>0</v>
      </c>
      <c r="EW284">
        <v>0</v>
      </c>
      <c r="EX284">
        <v>0</v>
      </c>
      <c r="FQ284">
        <v>0</v>
      </c>
      <c r="FR284">
        <f t="shared" si="269"/>
        <v>0</v>
      </c>
      <c r="FS284">
        <v>0</v>
      </c>
      <c r="FX284">
        <v>80</v>
      </c>
      <c r="FY284">
        <v>60</v>
      </c>
      <c r="GA284" t="s">
        <v>6</v>
      </c>
      <c r="GD284">
        <v>0</v>
      </c>
      <c r="GF284">
        <v>-386630694</v>
      </c>
      <c r="GG284">
        <v>1</v>
      </c>
      <c r="GH284">
        <v>1</v>
      </c>
      <c r="GI284">
        <v>4</v>
      </c>
      <c r="GJ284">
        <v>0</v>
      </c>
      <c r="GK284">
        <f>ROUND(R284*(R12)/100,2)</f>
        <v>0</v>
      </c>
      <c r="GL284">
        <f t="shared" si="270"/>
        <v>0</v>
      </c>
      <c r="GM284">
        <f t="shared" si="271"/>
        <v>5174.8100000000004</v>
      </c>
      <c r="GN284">
        <f t="shared" si="272"/>
        <v>0</v>
      </c>
      <c r="GO284">
        <f t="shared" si="273"/>
        <v>5174.8100000000004</v>
      </c>
      <c r="GP284">
        <f t="shared" si="274"/>
        <v>0</v>
      </c>
      <c r="GR284">
        <v>0</v>
      </c>
      <c r="GS284">
        <v>3</v>
      </c>
      <c r="GT284">
        <v>0</v>
      </c>
      <c r="GU284" t="s">
        <v>6</v>
      </c>
      <c r="GV284">
        <f t="shared" si="275"/>
        <v>0</v>
      </c>
      <c r="GW284">
        <v>1</v>
      </c>
      <c r="GX284">
        <f t="shared" si="276"/>
        <v>0</v>
      </c>
      <c r="HA284">
        <v>0</v>
      </c>
      <c r="HB284">
        <v>0</v>
      </c>
      <c r="HC284">
        <f t="shared" si="277"/>
        <v>0</v>
      </c>
      <c r="IK284">
        <v>0</v>
      </c>
    </row>
    <row r="286" spans="1:245" x14ac:dyDescent="0.2">
      <c r="A286" s="2">
        <v>51</v>
      </c>
      <c r="B286" s="2">
        <f>B244</f>
        <v>1</v>
      </c>
      <c r="C286" s="2">
        <f>A244</f>
        <v>4</v>
      </c>
      <c r="D286" s="2">
        <f>ROW(A244)</f>
        <v>244</v>
      </c>
      <c r="E286" s="2"/>
      <c r="F286" s="2" t="str">
        <f>IF(F244&lt;&gt;"",F244,"")</f>
        <v>Новый раздел</v>
      </c>
      <c r="G286" s="2" t="str">
        <f>IF(G244&lt;&gt;"",G244,"")</f>
        <v>Отопление и вентиляция</v>
      </c>
      <c r="H286" s="2">
        <v>0</v>
      </c>
      <c r="I286" s="2"/>
      <c r="J286" s="2"/>
      <c r="K286" s="2"/>
      <c r="L286" s="2"/>
      <c r="M286" s="2"/>
      <c r="N286" s="2"/>
      <c r="O286" s="2">
        <f t="shared" ref="O286:T286" si="290">ROUND(AB286,2)</f>
        <v>383150.38</v>
      </c>
      <c r="P286" s="2">
        <f t="shared" si="290"/>
        <v>354517.76000000001</v>
      </c>
      <c r="Q286" s="2">
        <f t="shared" si="290"/>
        <v>5017.79</v>
      </c>
      <c r="R286" s="2">
        <f t="shared" si="290"/>
        <v>444.81</v>
      </c>
      <c r="S286" s="2">
        <f t="shared" si="290"/>
        <v>23614.83</v>
      </c>
      <c r="T286" s="2">
        <f t="shared" si="290"/>
        <v>0</v>
      </c>
      <c r="U286" s="2">
        <f>AH286</f>
        <v>355.90541479999996</v>
      </c>
      <c r="V286" s="2">
        <f>AI286</f>
        <v>5.1383772499999996</v>
      </c>
      <c r="W286" s="2">
        <f>ROUND(AJ286,2)</f>
        <v>0</v>
      </c>
      <c r="X286" s="2">
        <f>ROUND(AK286,2)</f>
        <v>26632.720000000001</v>
      </c>
      <c r="Y286" s="2">
        <f>ROUND(AL286,2)</f>
        <v>16547.669999999998</v>
      </c>
      <c r="Z286" s="2"/>
      <c r="AA286" s="2"/>
      <c r="AB286" s="2">
        <f>ROUND(SUMIF(AA248:AA284,"=16630606",O248:O284),2)</f>
        <v>383150.38</v>
      </c>
      <c r="AC286" s="2">
        <f>ROUND(SUMIF(AA248:AA284,"=16630606",P248:P284),2)</f>
        <v>354517.76000000001</v>
      </c>
      <c r="AD286" s="2">
        <f>ROUND(SUMIF(AA248:AA284,"=16630606",Q248:Q284),2)</f>
        <v>5017.79</v>
      </c>
      <c r="AE286" s="2">
        <f>ROUND(SUMIF(AA248:AA284,"=16630606",R248:R284),2)</f>
        <v>444.81</v>
      </c>
      <c r="AF286" s="2">
        <f>ROUND(SUMIF(AA248:AA284,"=16630606",S248:S284),2)</f>
        <v>23614.83</v>
      </c>
      <c r="AG286" s="2">
        <f>ROUND(SUMIF(AA248:AA284,"=16630606",T248:T284),2)</f>
        <v>0</v>
      </c>
      <c r="AH286" s="2">
        <f>SUMIF(AA248:AA284,"=16630606",U248:U284)</f>
        <v>355.90541479999996</v>
      </c>
      <c r="AI286" s="2">
        <f>SUMIF(AA248:AA284,"=16630606",V248:V284)</f>
        <v>5.1383772499999996</v>
      </c>
      <c r="AJ286" s="2">
        <f>ROUND(SUMIF(AA248:AA284,"=16630606",W248:W284),2)</f>
        <v>0</v>
      </c>
      <c r="AK286" s="2">
        <f>ROUND(SUMIF(AA248:AA284,"=16630606",X248:X284),2)</f>
        <v>26632.720000000001</v>
      </c>
      <c r="AL286" s="2">
        <f>ROUND(SUMIF(AA248:AA284,"=16630606",Y248:Y284),2)</f>
        <v>16547.669999999998</v>
      </c>
      <c r="AM286" s="2"/>
      <c r="AN286" s="2"/>
      <c r="AO286" s="2">
        <f t="shared" ref="AO286:BC286" si="291">ROUND(BX286,2)</f>
        <v>0</v>
      </c>
      <c r="AP286" s="2">
        <f t="shared" si="291"/>
        <v>0</v>
      </c>
      <c r="AQ286" s="2">
        <f t="shared" si="291"/>
        <v>0</v>
      </c>
      <c r="AR286" s="2">
        <f t="shared" si="291"/>
        <v>426330.77</v>
      </c>
      <c r="AS286" s="2">
        <f t="shared" si="291"/>
        <v>417950.24</v>
      </c>
      <c r="AT286" s="2">
        <f t="shared" si="291"/>
        <v>8380.5300000000007</v>
      </c>
      <c r="AU286" s="2">
        <f t="shared" si="291"/>
        <v>0</v>
      </c>
      <c r="AV286" s="2">
        <f t="shared" si="291"/>
        <v>354517.76000000001</v>
      </c>
      <c r="AW286" s="2">
        <f t="shared" si="291"/>
        <v>354517.76000000001</v>
      </c>
      <c r="AX286" s="2">
        <f t="shared" si="291"/>
        <v>0</v>
      </c>
      <c r="AY286" s="2">
        <f t="shared" si="291"/>
        <v>354517.76000000001</v>
      </c>
      <c r="AZ286" s="2">
        <f t="shared" si="291"/>
        <v>0</v>
      </c>
      <c r="BA286" s="2">
        <f t="shared" si="291"/>
        <v>0</v>
      </c>
      <c r="BB286" s="2">
        <f t="shared" si="291"/>
        <v>0</v>
      </c>
      <c r="BC286" s="2">
        <f t="shared" si="291"/>
        <v>0</v>
      </c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>
        <f>ROUND(SUMIF(AA248:AA284,"=16630606",FQ248:FQ284),2)</f>
        <v>0</v>
      </c>
      <c r="BY286" s="2">
        <f>ROUND(SUMIF(AA248:AA284,"=16630606",FR248:FR284),2)</f>
        <v>0</v>
      </c>
      <c r="BZ286" s="2">
        <f>ROUND(SUMIF(AA248:AA284,"=16630606",GL248:GL284),2)</f>
        <v>0</v>
      </c>
      <c r="CA286" s="2">
        <f>ROUND(SUMIF(AA248:AA284,"=16630606",GM248:GM284),2)</f>
        <v>426330.77</v>
      </c>
      <c r="CB286" s="2">
        <f>ROUND(SUMIF(AA248:AA284,"=16630606",GN248:GN284),2)</f>
        <v>417950.24</v>
      </c>
      <c r="CC286" s="2">
        <f>ROUND(SUMIF(AA248:AA284,"=16630606",GO248:GO284),2)</f>
        <v>8380.5300000000007</v>
      </c>
      <c r="CD286" s="2">
        <f>ROUND(SUMIF(AA248:AA284,"=16630606",GP248:GP284),2)</f>
        <v>0</v>
      </c>
      <c r="CE286" s="2">
        <f>AC286-BX286</f>
        <v>354517.76000000001</v>
      </c>
      <c r="CF286" s="2">
        <f>AC286-BY286</f>
        <v>354517.76000000001</v>
      </c>
      <c r="CG286" s="2">
        <f>BX286-BZ286</f>
        <v>0</v>
      </c>
      <c r="CH286" s="2">
        <f>AC286-BX286-BY286+BZ286</f>
        <v>354517.76000000001</v>
      </c>
      <c r="CI286" s="2">
        <f>BY286-BZ286</f>
        <v>0</v>
      </c>
      <c r="CJ286" s="2">
        <f>ROUND(SUMIF(AA248:AA284,"=16630606",GX248:GX284),2)</f>
        <v>0</v>
      </c>
      <c r="CK286" s="2">
        <f>ROUND(SUMIF(AA248:AA284,"=16630606",GY248:GY284),2)</f>
        <v>0</v>
      </c>
      <c r="CL286" s="2">
        <f>ROUND(SUMIF(AA248:AA284,"=16630606",GZ248:GZ284),2)</f>
        <v>0</v>
      </c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  <c r="EB286" s="3"/>
      <c r="EC286" s="3"/>
      <c r="ED286" s="3"/>
      <c r="EE286" s="3"/>
      <c r="EF286" s="3"/>
      <c r="EG286" s="3"/>
      <c r="EH286" s="3"/>
      <c r="EI286" s="3"/>
      <c r="EJ286" s="3"/>
      <c r="EK286" s="3"/>
      <c r="EL286" s="3"/>
      <c r="EM286" s="3"/>
      <c r="EN286" s="3"/>
      <c r="EO286" s="3"/>
      <c r="EP286" s="3"/>
      <c r="EQ286" s="3"/>
      <c r="ER286" s="3"/>
      <c r="ES286" s="3"/>
      <c r="ET286" s="3"/>
      <c r="EU286" s="3"/>
      <c r="EV286" s="3"/>
      <c r="EW286" s="3"/>
      <c r="EX286" s="3"/>
      <c r="EY286" s="3"/>
      <c r="EZ286" s="3"/>
      <c r="FA286" s="3"/>
      <c r="FB286" s="3"/>
      <c r="FC286" s="3"/>
      <c r="FD286" s="3"/>
      <c r="FE286" s="3"/>
      <c r="FF286" s="3"/>
      <c r="FG286" s="3"/>
      <c r="FH286" s="3"/>
      <c r="FI286" s="3"/>
      <c r="FJ286" s="3"/>
      <c r="FK286" s="3"/>
      <c r="FL286" s="3"/>
      <c r="FM286" s="3"/>
      <c r="FN286" s="3"/>
      <c r="FO286" s="3"/>
      <c r="FP286" s="3"/>
      <c r="FQ286" s="3"/>
      <c r="FR286" s="3"/>
      <c r="FS286" s="3"/>
      <c r="FT286" s="3"/>
      <c r="FU286" s="3"/>
      <c r="FV286" s="3"/>
      <c r="FW286" s="3"/>
      <c r="FX286" s="3"/>
      <c r="FY286" s="3"/>
      <c r="FZ286" s="3"/>
      <c r="GA286" s="3"/>
      <c r="GB286" s="3"/>
      <c r="GC286" s="3"/>
      <c r="GD286" s="3"/>
      <c r="GE286" s="3"/>
      <c r="GF286" s="3"/>
      <c r="GG286" s="3"/>
      <c r="GH286" s="3"/>
      <c r="GI286" s="3"/>
      <c r="GJ286" s="3"/>
      <c r="GK286" s="3"/>
      <c r="GL286" s="3"/>
      <c r="GM286" s="3"/>
      <c r="GN286" s="3"/>
      <c r="GO286" s="3"/>
      <c r="GP286" s="3"/>
      <c r="GQ286" s="3"/>
      <c r="GR286" s="3"/>
      <c r="GS286" s="3"/>
      <c r="GT286" s="3"/>
      <c r="GU286" s="3"/>
      <c r="GV286" s="3"/>
      <c r="GW286" s="3"/>
      <c r="GX286" s="3">
        <v>0</v>
      </c>
    </row>
    <row r="288" spans="1:245" x14ac:dyDescent="0.2">
      <c r="A288" s="4">
        <v>50</v>
      </c>
      <c r="B288" s="4">
        <v>0</v>
      </c>
      <c r="C288" s="4">
        <v>0</v>
      </c>
      <c r="D288" s="4">
        <v>1</v>
      </c>
      <c r="E288" s="4">
        <v>201</v>
      </c>
      <c r="F288" s="4">
        <f>ROUND(Source!O286,O288)</f>
        <v>383150.38</v>
      </c>
      <c r="G288" s="4" t="s">
        <v>428</v>
      </c>
      <c r="H288" s="4" t="s">
        <v>429</v>
      </c>
      <c r="I288" s="4"/>
      <c r="J288" s="4"/>
      <c r="K288" s="4">
        <v>201</v>
      </c>
      <c r="L288" s="4">
        <v>1</v>
      </c>
      <c r="M288" s="4">
        <v>3</v>
      </c>
      <c r="N288" s="4" t="s">
        <v>6</v>
      </c>
      <c r="O288" s="4">
        <v>2</v>
      </c>
      <c r="P288" s="4"/>
      <c r="Q288" s="4"/>
      <c r="R288" s="4"/>
      <c r="S288" s="4"/>
      <c r="T288" s="4"/>
      <c r="U288" s="4"/>
      <c r="V288" s="4"/>
      <c r="W288" s="4"/>
    </row>
    <row r="289" spans="1:23" x14ac:dyDescent="0.2">
      <c r="A289" s="4">
        <v>50</v>
      </c>
      <c r="B289" s="4">
        <v>0</v>
      </c>
      <c r="C289" s="4">
        <v>0</v>
      </c>
      <c r="D289" s="4">
        <v>1</v>
      </c>
      <c r="E289" s="4">
        <v>202</v>
      </c>
      <c r="F289" s="4">
        <f>ROUND(Source!P286,O289)</f>
        <v>354517.76000000001</v>
      </c>
      <c r="G289" s="4" t="s">
        <v>430</v>
      </c>
      <c r="H289" s="4" t="s">
        <v>431</v>
      </c>
      <c r="I289" s="4"/>
      <c r="J289" s="4"/>
      <c r="K289" s="4">
        <v>202</v>
      </c>
      <c r="L289" s="4">
        <v>2</v>
      </c>
      <c r="M289" s="4">
        <v>3</v>
      </c>
      <c r="N289" s="4" t="s">
        <v>6</v>
      </c>
      <c r="O289" s="4">
        <v>2</v>
      </c>
      <c r="P289" s="4"/>
      <c r="Q289" s="4"/>
      <c r="R289" s="4"/>
      <c r="S289" s="4"/>
      <c r="T289" s="4"/>
      <c r="U289" s="4"/>
      <c r="V289" s="4"/>
      <c r="W289" s="4"/>
    </row>
    <row r="290" spans="1:23" x14ac:dyDescent="0.2">
      <c r="A290" s="4">
        <v>50</v>
      </c>
      <c r="B290" s="4">
        <v>0</v>
      </c>
      <c r="C290" s="4">
        <v>0</v>
      </c>
      <c r="D290" s="4">
        <v>1</v>
      </c>
      <c r="E290" s="4">
        <v>222</v>
      </c>
      <c r="F290" s="4">
        <f>ROUND(Source!AO286,O290)</f>
        <v>0</v>
      </c>
      <c r="G290" s="4" t="s">
        <v>432</v>
      </c>
      <c r="H290" s="4" t="s">
        <v>433</v>
      </c>
      <c r="I290" s="4"/>
      <c r="J290" s="4"/>
      <c r="K290" s="4">
        <v>222</v>
      </c>
      <c r="L290" s="4">
        <v>3</v>
      </c>
      <c r="M290" s="4">
        <v>3</v>
      </c>
      <c r="N290" s="4" t="s">
        <v>6</v>
      </c>
      <c r="O290" s="4">
        <v>2</v>
      </c>
      <c r="P290" s="4"/>
      <c r="Q290" s="4"/>
      <c r="R290" s="4"/>
      <c r="S290" s="4"/>
      <c r="T290" s="4"/>
      <c r="U290" s="4"/>
      <c r="V290" s="4"/>
      <c r="W290" s="4"/>
    </row>
    <row r="291" spans="1:23" x14ac:dyDescent="0.2">
      <c r="A291" s="4">
        <v>50</v>
      </c>
      <c r="B291" s="4">
        <v>0</v>
      </c>
      <c r="C291" s="4">
        <v>0</v>
      </c>
      <c r="D291" s="4">
        <v>1</v>
      </c>
      <c r="E291" s="4">
        <v>225</v>
      </c>
      <c r="F291" s="4">
        <f>ROUND(Source!AV286,O291)</f>
        <v>354517.76000000001</v>
      </c>
      <c r="G291" s="4" t="s">
        <v>434</v>
      </c>
      <c r="H291" s="4" t="s">
        <v>435</v>
      </c>
      <c r="I291" s="4"/>
      <c r="J291" s="4"/>
      <c r="K291" s="4">
        <v>225</v>
      </c>
      <c r="L291" s="4">
        <v>4</v>
      </c>
      <c r="M291" s="4">
        <v>3</v>
      </c>
      <c r="N291" s="4" t="s">
        <v>6</v>
      </c>
      <c r="O291" s="4">
        <v>2</v>
      </c>
      <c r="P291" s="4"/>
      <c r="Q291" s="4"/>
      <c r="R291" s="4"/>
      <c r="S291" s="4"/>
      <c r="T291" s="4"/>
      <c r="U291" s="4"/>
      <c r="V291" s="4"/>
      <c r="W291" s="4"/>
    </row>
    <row r="292" spans="1:23" x14ac:dyDescent="0.2">
      <c r="A292" s="4">
        <v>50</v>
      </c>
      <c r="B292" s="4">
        <v>0</v>
      </c>
      <c r="C292" s="4">
        <v>0</v>
      </c>
      <c r="D292" s="4">
        <v>1</v>
      </c>
      <c r="E292" s="4">
        <v>226</v>
      </c>
      <c r="F292" s="4">
        <f>ROUND(Source!AW286,O292)</f>
        <v>354517.76000000001</v>
      </c>
      <c r="G292" s="4" t="s">
        <v>436</v>
      </c>
      <c r="H292" s="4" t="s">
        <v>437</v>
      </c>
      <c r="I292" s="4"/>
      <c r="J292" s="4"/>
      <c r="K292" s="4">
        <v>226</v>
      </c>
      <c r="L292" s="4">
        <v>5</v>
      </c>
      <c r="M292" s="4">
        <v>3</v>
      </c>
      <c r="N292" s="4" t="s">
        <v>6</v>
      </c>
      <c r="O292" s="4">
        <v>2</v>
      </c>
      <c r="P292" s="4"/>
      <c r="Q292" s="4"/>
      <c r="R292" s="4"/>
      <c r="S292" s="4"/>
      <c r="T292" s="4"/>
      <c r="U292" s="4"/>
      <c r="V292" s="4"/>
      <c r="W292" s="4"/>
    </row>
    <row r="293" spans="1:23" x14ac:dyDescent="0.2">
      <c r="A293" s="4">
        <v>50</v>
      </c>
      <c r="B293" s="4">
        <v>0</v>
      </c>
      <c r="C293" s="4">
        <v>0</v>
      </c>
      <c r="D293" s="4">
        <v>1</v>
      </c>
      <c r="E293" s="4">
        <v>227</v>
      </c>
      <c r="F293" s="4">
        <f>ROUND(Source!AX286,O293)</f>
        <v>0</v>
      </c>
      <c r="G293" s="4" t="s">
        <v>438</v>
      </c>
      <c r="H293" s="4" t="s">
        <v>439</v>
      </c>
      <c r="I293" s="4"/>
      <c r="J293" s="4"/>
      <c r="K293" s="4">
        <v>227</v>
      </c>
      <c r="L293" s="4">
        <v>6</v>
      </c>
      <c r="M293" s="4">
        <v>3</v>
      </c>
      <c r="N293" s="4" t="s">
        <v>6</v>
      </c>
      <c r="O293" s="4">
        <v>2</v>
      </c>
      <c r="P293" s="4"/>
      <c r="Q293" s="4"/>
      <c r="R293" s="4"/>
      <c r="S293" s="4"/>
      <c r="T293" s="4"/>
      <c r="U293" s="4"/>
      <c r="V293" s="4"/>
      <c r="W293" s="4"/>
    </row>
    <row r="294" spans="1:23" x14ac:dyDescent="0.2">
      <c r="A294" s="4">
        <v>50</v>
      </c>
      <c r="B294" s="4">
        <v>0</v>
      </c>
      <c r="C294" s="4">
        <v>0</v>
      </c>
      <c r="D294" s="4">
        <v>1</v>
      </c>
      <c r="E294" s="4">
        <v>228</v>
      </c>
      <c r="F294" s="4">
        <f>ROUND(Source!AY286,O294)</f>
        <v>354517.76000000001</v>
      </c>
      <c r="G294" s="4" t="s">
        <v>440</v>
      </c>
      <c r="H294" s="4" t="s">
        <v>441</v>
      </c>
      <c r="I294" s="4"/>
      <c r="J294" s="4"/>
      <c r="K294" s="4">
        <v>228</v>
      </c>
      <c r="L294" s="4">
        <v>7</v>
      </c>
      <c r="M294" s="4">
        <v>3</v>
      </c>
      <c r="N294" s="4" t="s">
        <v>6</v>
      </c>
      <c r="O294" s="4">
        <v>2</v>
      </c>
      <c r="P294" s="4"/>
      <c r="Q294" s="4"/>
      <c r="R294" s="4"/>
      <c r="S294" s="4"/>
      <c r="T294" s="4"/>
      <c r="U294" s="4"/>
      <c r="V294" s="4"/>
      <c r="W294" s="4"/>
    </row>
    <row r="295" spans="1:23" x14ac:dyDescent="0.2">
      <c r="A295" s="4">
        <v>50</v>
      </c>
      <c r="B295" s="4">
        <v>0</v>
      </c>
      <c r="C295" s="4">
        <v>0</v>
      </c>
      <c r="D295" s="4">
        <v>1</v>
      </c>
      <c r="E295" s="4">
        <v>216</v>
      </c>
      <c r="F295" s="4">
        <f>ROUND(Source!AP286,O295)</f>
        <v>0</v>
      </c>
      <c r="G295" s="4" t="s">
        <v>442</v>
      </c>
      <c r="H295" s="4" t="s">
        <v>443</v>
      </c>
      <c r="I295" s="4"/>
      <c r="J295" s="4"/>
      <c r="K295" s="4">
        <v>216</v>
      </c>
      <c r="L295" s="4">
        <v>8</v>
      </c>
      <c r="M295" s="4">
        <v>3</v>
      </c>
      <c r="N295" s="4" t="s">
        <v>6</v>
      </c>
      <c r="O295" s="4">
        <v>2</v>
      </c>
      <c r="P295" s="4"/>
      <c r="Q295" s="4"/>
      <c r="R295" s="4"/>
      <c r="S295" s="4"/>
      <c r="T295" s="4"/>
      <c r="U295" s="4"/>
      <c r="V295" s="4"/>
      <c r="W295" s="4"/>
    </row>
    <row r="296" spans="1:23" x14ac:dyDescent="0.2">
      <c r="A296" s="4">
        <v>50</v>
      </c>
      <c r="B296" s="4">
        <v>0</v>
      </c>
      <c r="C296" s="4">
        <v>0</v>
      </c>
      <c r="D296" s="4">
        <v>1</v>
      </c>
      <c r="E296" s="4">
        <v>223</v>
      </c>
      <c r="F296" s="4">
        <f>ROUND(Source!AQ286,O296)</f>
        <v>0</v>
      </c>
      <c r="G296" s="4" t="s">
        <v>444</v>
      </c>
      <c r="H296" s="4" t="s">
        <v>445</v>
      </c>
      <c r="I296" s="4"/>
      <c r="J296" s="4"/>
      <c r="K296" s="4">
        <v>223</v>
      </c>
      <c r="L296" s="4">
        <v>9</v>
      </c>
      <c r="M296" s="4">
        <v>3</v>
      </c>
      <c r="N296" s="4" t="s">
        <v>6</v>
      </c>
      <c r="O296" s="4">
        <v>2</v>
      </c>
      <c r="P296" s="4"/>
      <c r="Q296" s="4"/>
      <c r="R296" s="4"/>
      <c r="S296" s="4"/>
      <c r="T296" s="4"/>
      <c r="U296" s="4"/>
      <c r="V296" s="4"/>
      <c r="W296" s="4"/>
    </row>
    <row r="297" spans="1:23" x14ac:dyDescent="0.2">
      <c r="A297" s="4">
        <v>50</v>
      </c>
      <c r="B297" s="4">
        <v>0</v>
      </c>
      <c r="C297" s="4">
        <v>0</v>
      </c>
      <c r="D297" s="4">
        <v>1</v>
      </c>
      <c r="E297" s="4">
        <v>229</v>
      </c>
      <c r="F297" s="4">
        <f>ROUND(Source!AZ286,O297)</f>
        <v>0</v>
      </c>
      <c r="G297" s="4" t="s">
        <v>446</v>
      </c>
      <c r="H297" s="4" t="s">
        <v>447</v>
      </c>
      <c r="I297" s="4"/>
      <c r="J297" s="4"/>
      <c r="K297" s="4">
        <v>229</v>
      </c>
      <c r="L297" s="4">
        <v>10</v>
      </c>
      <c r="M297" s="4">
        <v>3</v>
      </c>
      <c r="N297" s="4" t="s">
        <v>6</v>
      </c>
      <c r="O297" s="4">
        <v>2</v>
      </c>
      <c r="P297" s="4"/>
      <c r="Q297" s="4"/>
      <c r="R297" s="4"/>
      <c r="S297" s="4"/>
      <c r="T297" s="4"/>
      <c r="U297" s="4"/>
      <c r="V297" s="4"/>
      <c r="W297" s="4"/>
    </row>
    <row r="298" spans="1:23" x14ac:dyDescent="0.2">
      <c r="A298" s="4">
        <v>50</v>
      </c>
      <c r="B298" s="4">
        <v>0</v>
      </c>
      <c r="C298" s="4">
        <v>0</v>
      </c>
      <c r="D298" s="4">
        <v>1</v>
      </c>
      <c r="E298" s="4">
        <v>203</v>
      </c>
      <c r="F298" s="4">
        <f>ROUND(Source!Q286,O298)</f>
        <v>5017.79</v>
      </c>
      <c r="G298" s="4" t="s">
        <v>448</v>
      </c>
      <c r="H298" s="4" t="s">
        <v>449</v>
      </c>
      <c r="I298" s="4"/>
      <c r="J298" s="4"/>
      <c r="K298" s="4">
        <v>203</v>
      </c>
      <c r="L298" s="4">
        <v>11</v>
      </c>
      <c r="M298" s="4">
        <v>3</v>
      </c>
      <c r="N298" s="4" t="s">
        <v>6</v>
      </c>
      <c r="O298" s="4">
        <v>2</v>
      </c>
      <c r="P298" s="4"/>
      <c r="Q298" s="4"/>
      <c r="R298" s="4"/>
      <c r="S298" s="4"/>
      <c r="T298" s="4"/>
      <c r="U298" s="4"/>
      <c r="V298" s="4"/>
      <c r="W298" s="4"/>
    </row>
    <row r="299" spans="1:23" x14ac:dyDescent="0.2">
      <c r="A299" s="4">
        <v>50</v>
      </c>
      <c r="B299" s="4">
        <v>0</v>
      </c>
      <c r="C299" s="4">
        <v>0</v>
      </c>
      <c r="D299" s="4">
        <v>1</v>
      </c>
      <c r="E299" s="4">
        <v>231</v>
      </c>
      <c r="F299" s="4">
        <f>ROUND(Source!BB286,O299)</f>
        <v>0</v>
      </c>
      <c r="G299" s="4" t="s">
        <v>450</v>
      </c>
      <c r="H299" s="4" t="s">
        <v>451</v>
      </c>
      <c r="I299" s="4"/>
      <c r="J299" s="4"/>
      <c r="K299" s="4">
        <v>231</v>
      </c>
      <c r="L299" s="4">
        <v>12</v>
      </c>
      <c r="M299" s="4">
        <v>3</v>
      </c>
      <c r="N299" s="4" t="s">
        <v>6</v>
      </c>
      <c r="O299" s="4">
        <v>2</v>
      </c>
      <c r="P299" s="4"/>
      <c r="Q299" s="4"/>
      <c r="R299" s="4"/>
      <c r="S299" s="4"/>
      <c r="T299" s="4"/>
      <c r="U299" s="4"/>
      <c r="V299" s="4"/>
      <c r="W299" s="4"/>
    </row>
    <row r="300" spans="1:23" x14ac:dyDescent="0.2">
      <c r="A300" s="4">
        <v>50</v>
      </c>
      <c r="B300" s="4">
        <v>0</v>
      </c>
      <c r="C300" s="4">
        <v>0</v>
      </c>
      <c r="D300" s="4">
        <v>1</v>
      </c>
      <c r="E300" s="4">
        <v>204</v>
      </c>
      <c r="F300" s="4">
        <f>ROUND(Source!R286,O300)</f>
        <v>444.81</v>
      </c>
      <c r="G300" s="4" t="s">
        <v>452</v>
      </c>
      <c r="H300" s="4" t="s">
        <v>453</v>
      </c>
      <c r="I300" s="4"/>
      <c r="J300" s="4"/>
      <c r="K300" s="4">
        <v>204</v>
      </c>
      <c r="L300" s="4">
        <v>13</v>
      </c>
      <c r="M300" s="4">
        <v>3</v>
      </c>
      <c r="N300" s="4" t="s">
        <v>6</v>
      </c>
      <c r="O300" s="4">
        <v>2</v>
      </c>
      <c r="P300" s="4"/>
      <c r="Q300" s="4"/>
      <c r="R300" s="4"/>
      <c r="S300" s="4"/>
      <c r="T300" s="4"/>
      <c r="U300" s="4"/>
      <c r="V300" s="4"/>
      <c r="W300" s="4"/>
    </row>
    <row r="301" spans="1:23" x14ac:dyDescent="0.2">
      <c r="A301" s="4">
        <v>50</v>
      </c>
      <c r="B301" s="4">
        <v>0</v>
      </c>
      <c r="C301" s="4">
        <v>0</v>
      </c>
      <c r="D301" s="4">
        <v>1</v>
      </c>
      <c r="E301" s="4">
        <v>205</v>
      </c>
      <c r="F301" s="4">
        <f>ROUND(Source!S286,O301)</f>
        <v>23614.83</v>
      </c>
      <c r="G301" s="4" t="s">
        <v>454</v>
      </c>
      <c r="H301" s="4" t="s">
        <v>455</v>
      </c>
      <c r="I301" s="4"/>
      <c r="J301" s="4"/>
      <c r="K301" s="4">
        <v>205</v>
      </c>
      <c r="L301" s="4">
        <v>14</v>
      </c>
      <c r="M301" s="4">
        <v>3</v>
      </c>
      <c r="N301" s="4" t="s">
        <v>6</v>
      </c>
      <c r="O301" s="4">
        <v>2</v>
      </c>
      <c r="P301" s="4"/>
      <c r="Q301" s="4"/>
      <c r="R301" s="4"/>
      <c r="S301" s="4"/>
      <c r="T301" s="4"/>
      <c r="U301" s="4"/>
      <c r="V301" s="4"/>
      <c r="W301" s="4"/>
    </row>
    <row r="302" spans="1:23" x14ac:dyDescent="0.2">
      <c r="A302" s="4">
        <v>50</v>
      </c>
      <c r="B302" s="4">
        <v>0</v>
      </c>
      <c r="C302" s="4">
        <v>0</v>
      </c>
      <c r="D302" s="4">
        <v>1</v>
      </c>
      <c r="E302" s="4">
        <v>232</v>
      </c>
      <c r="F302" s="4">
        <f>ROUND(Source!BC286,O302)</f>
        <v>0</v>
      </c>
      <c r="G302" s="4" t="s">
        <v>456</v>
      </c>
      <c r="H302" s="4" t="s">
        <v>457</v>
      </c>
      <c r="I302" s="4"/>
      <c r="J302" s="4"/>
      <c r="K302" s="4">
        <v>232</v>
      </c>
      <c r="L302" s="4">
        <v>15</v>
      </c>
      <c r="M302" s="4">
        <v>3</v>
      </c>
      <c r="N302" s="4" t="s">
        <v>6</v>
      </c>
      <c r="O302" s="4">
        <v>2</v>
      </c>
      <c r="P302" s="4"/>
      <c r="Q302" s="4"/>
      <c r="R302" s="4"/>
      <c r="S302" s="4"/>
      <c r="T302" s="4"/>
      <c r="U302" s="4"/>
      <c r="V302" s="4"/>
      <c r="W302" s="4"/>
    </row>
    <row r="303" spans="1:23" x14ac:dyDescent="0.2">
      <c r="A303" s="4">
        <v>50</v>
      </c>
      <c r="B303" s="4">
        <v>0</v>
      </c>
      <c r="C303" s="4">
        <v>0</v>
      </c>
      <c r="D303" s="4">
        <v>1</v>
      </c>
      <c r="E303" s="4">
        <v>214</v>
      </c>
      <c r="F303" s="4">
        <f>ROUND(Source!AS286,O303)</f>
        <v>417950.24</v>
      </c>
      <c r="G303" s="4" t="s">
        <v>458</v>
      </c>
      <c r="H303" s="4" t="s">
        <v>459</v>
      </c>
      <c r="I303" s="4"/>
      <c r="J303" s="4"/>
      <c r="K303" s="4">
        <v>214</v>
      </c>
      <c r="L303" s="4">
        <v>16</v>
      </c>
      <c r="M303" s="4">
        <v>3</v>
      </c>
      <c r="N303" s="4" t="s">
        <v>6</v>
      </c>
      <c r="O303" s="4">
        <v>2</v>
      </c>
      <c r="P303" s="4"/>
      <c r="Q303" s="4"/>
      <c r="R303" s="4"/>
      <c r="S303" s="4"/>
      <c r="T303" s="4"/>
      <c r="U303" s="4"/>
      <c r="V303" s="4"/>
      <c r="W303" s="4"/>
    </row>
    <row r="304" spans="1:23" x14ac:dyDescent="0.2">
      <c r="A304" s="4">
        <v>50</v>
      </c>
      <c r="B304" s="4">
        <v>0</v>
      </c>
      <c r="C304" s="4">
        <v>0</v>
      </c>
      <c r="D304" s="4">
        <v>1</v>
      </c>
      <c r="E304" s="4">
        <v>215</v>
      </c>
      <c r="F304" s="4">
        <f>ROUND(Source!AT286,O304)</f>
        <v>8380.5300000000007</v>
      </c>
      <c r="G304" s="4" t="s">
        <v>460</v>
      </c>
      <c r="H304" s="4" t="s">
        <v>461</v>
      </c>
      <c r="I304" s="4"/>
      <c r="J304" s="4"/>
      <c r="K304" s="4">
        <v>215</v>
      </c>
      <c r="L304" s="4">
        <v>17</v>
      </c>
      <c r="M304" s="4">
        <v>3</v>
      </c>
      <c r="N304" s="4" t="s">
        <v>6</v>
      </c>
      <c r="O304" s="4">
        <v>2</v>
      </c>
      <c r="P304" s="4"/>
      <c r="Q304" s="4"/>
      <c r="R304" s="4"/>
      <c r="S304" s="4"/>
      <c r="T304" s="4"/>
      <c r="U304" s="4"/>
      <c r="V304" s="4"/>
      <c r="W304" s="4"/>
    </row>
    <row r="305" spans="1:206" x14ac:dyDescent="0.2">
      <c r="A305" s="4">
        <v>50</v>
      </c>
      <c r="B305" s="4">
        <v>0</v>
      </c>
      <c r="C305" s="4">
        <v>0</v>
      </c>
      <c r="D305" s="4">
        <v>1</v>
      </c>
      <c r="E305" s="4">
        <v>217</v>
      </c>
      <c r="F305" s="4">
        <f>ROUND(Source!AU286,O305)</f>
        <v>0</v>
      </c>
      <c r="G305" s="4" t="s">
        <v>462</v>
      </c>
      <c r="H305" s="4" t="s">
        <v>463</v>
      </c>
      <c r="I305" s="4"/>
      <c r="J305" s="4"/>
      <c r="K305" s="4">
        <v>217</v>
      </c>
      <c r="L305" s="4">
        <v>18</v>
      </c>
      <c r="M305" s="4">
        <v>3</v>
      </c>
      <c r="N305" s="4" t="s">
        <v>6</v>
      </c>
      <c r="O305" s="4">
        <v>2</v>
      </c>
      <c r="P305" s="4"/>
      <c r="Q305" s="4"/>
      <c r="R305" s="4"/>
      <c r="S305" s="4"/>
      <c r="T305" s="4"/>
      <c r="U305" s="4"/>
      <c r="V305" s="4"/>
      <c r="W305" s="4"/>
    </row>
    <row r="306" spans="1:206" x14ac:dyDescent="0.2">
      <c r="A306" s="4">
        <v>50</v>
      </c>
      <c r="B306" s="4">
        <v>0</v>
      </c>
      <c r="C306" s="4">
        <v>0</v>
      </c>
      <c r="D306" s="4">
        <v>1</v>
      </c>
      <c r="E306" s="4">
        <v>230</v>
      </c>
      <c r="F306" s="4">
        <f>ROUND(Source!BA286,O306)</f>
        <v>0</v>
      </c>
      <c r="G306" s="4" t="s">
        <v>464</v>
      </c>
      <c r="H306" s="4" t="s">
        <v>465</v>
      </c>
      <c r="I306" s="4"/>
      <c r="J306" s="4"/>
      <c r="K306" s="4">
        <v>230</v>
      </c>
      <c r="L306" s="4">
        <v>19</v>
      </c>
      <c r="M306" s="4">
        <v>3</v>
      </c>
      <c r="N306" s="4" t="s">
        <v>6</v>
      </c>
      <c r="O306" s="4">
        <v>2</v>
      </c>
      <c r="P306" s="4"/>
      <c r="Q306" s="4"/>
      <c r="R306" s="4"/>
      <c r="S306" s="4"/>
      <c r="T306" s="4"/>
      <c r="U306" s="4"/>
      <c r="V306" s="4"/>
      <c r="W306" s="4"/>
    </row>
    <row r="307" spans="1:206" x14ac:dyDescent="0.2">
      <c r="A307" s="4">
        <v>50</v>
      </c>
      <c r="B307" s="4">
        <v>0</v>
      </c>
      <c r="C307" s="4">
        <v>0</v>
      </c>
      <c r="D307" s="4">
        <v>1</v>
      </c>
      <c r="E307" s="4">
        <v>206</v>
      </c>
      <c r="F307" s="4">
        <f>ROUND(Source!T286,O307)</f>
        <v>0</v>
      </c>
      <c r="G307" s="4" t="s">
        <v>466</v>
      </c>
      <c r="H307" s="4" t="s">
        <v>467</v>
      </c>
      <c r="I307" s="4"/>
      <c r="J307" s="4"/>
      <c r="K307" s="4">
        <v>206</v>
      </c>
      <c r="L307" s="4">
        <v>20</v>
      </c>
      <c r="M307" s="4">
        <v>3</v>
      </c>
      <c r="N307" s="4" t="s">
        <v>6</v>
      </c>
      <c r="O307" s="4">
        <v>2</v>
      </c>
      <c r="P307" s="4"/>
      <c r="Q307" s="4"/>
      <c r="R307" s="4"/>
      <c r="S307" s="4"/>
      <c r="T307" s="4"/>
      <c r="U307" s="4"/>
      <c r="V307" s="4"/>
      <c r="W307" s="4"/>
    </row>
    <row r="308" spans="1:206" x14ac:dyDescent="0.2">
      <c r="A308" s="4">
        <v>50</v>
      </c>
      <c r="B308" s="4">
        <v>0</v>
      </c>
      <c r="C308" s="4">
        <v>0</v>
      </c>
      <c r="D308" s="4">
        <v>1</v>
      </c>
      <c r="E308" s="4">
        <v>207</v>
      </c>
      <c r="F308" s="4">
        <f>Source!U286</f>
        <v>355.90541479999996</v>
      </c>
      <c r="G308" s="4" t="s">
        <v>468</v>
      </c>
      <c r="H308" s="4" t="s">
        <v>469</v>
      </c>
      <c r="I308" s="4"/>
      <c r="J308" s="4"/>
      <c r="K308" s="4">
        <v>207</v>
      </c>
      <c r="L308" s="4">
        <v>21</v>
      </c>
      <c r="M308" s="4">
        <v>3</v>
      </c>
      <c r="N308" s="4" t="s">
        <v>6</v>
      </c>
      <c r="O308" s="4">
        <v>-1</v>
      </c>
      <c r="P308" s="4"/>
      <c r="Q308" s="4"/>
      <c r="R308" s="4"/>
      <c r="S308" s="4"/>
      <c r="T308" s="4"/>
      <c r="U308" s="4"/>
      <c r="V308" s="4"/>
      <c r="W308" s="4"/>
    </row>
    <row r="309" spans="1:206" x14ac:dyDescent="0.2">
      <c r="A309" s="4">
        <v>50</v>
      </c>
      <c r="B309" s="4">
        <v>0</v>
      </c>
      <c r="C309" s="4">
        <v>0</v>
      </c>
      <c r="D309" s="4">
        <v>1</v>
      </c>
      <c r="E309" s="4">
        <v>208</v>
      </c>
      <c r="F309" s="4">
        <f>Source!V286</f>
        <v>5.1383772499999996</v>
      </c>
      <c r="G309" s="4" t="s">
        <v>470</v>
      </c>
      <c r="H309" s="4" t="s">
        <v>471</v>
      </c>
      <c r="I309" s="4"/>
      <c r="J309" s="4"/>
      <c r="K309" s="4">
        <v>208</v>
      </c>
      <c r="L309" s="4">
        <v>22</v>
      </c>
      <c r="M309" s="4">
        <v>3</v>
      </c>
      <c r="N309" s="4" t="s">
        <v>6</v>
      </c>
      <c r="O309" s="4">
        <v>-1</v>
      </c>
      <c r="P309" s="4"/>
      <c r="Q309" s="4"/>
      <c r="R309" s="4"/>
      <c r="S309" s="4"/>
      <c r="T309" s="4"/>
      <c r="U309" s="4"/>
      <c r="V309" s="4"/>
      <c r="W309" s="4"/>
    </row>
    <row r="310" spans="1:206" x14ac:dyDescent="0.2">
      <c r="A310" s="4">
        <v>50</v>
      </c>
      <c r="B310" s="4">
        <v>0</v>
      </c>
      <c r="C310" s="4">
        <v>0</v>
      </c>
      <c r="D310" s="4">
        <v>1</v>
      </c>
      <c r="E310" s="4">
        <v>209</v>
      </c>
      <c r="F310" s="4">
        <f>ROUND(Source!W286,O310)</f>
        <v>0</v>
      </c>
      <c r="G310" s="4" t="s">
        <v>472</v>
      </c>
      <c r="H310" s="4" t="s">
        <v>473</v>
      </c>
      <c r="I310" s="4"/>
      <c r="J310" s="4"/>
      <c r="K310" s="4">
        <v>209</v>
      </c>
      <c r="L310" s="4">
        <v>23</v>
      </c>
      <c r="M310" s="4">
        <v>3</v>
      </c>
      <c r="N310" s="4" t="s">
        <v>6</v>
      </c>
      <c r="O310" s="4">
        <v>2</v>
      </c>
      <c r="P310" s="4"/>
      <c r="Q310" s="4"/>
      <c r="R310" s="4"/>
      <c r="S310" s="4"/>
      <c r="T310" s="4"/>
      <c r="U310" s="4"/>
      <c r="V310" s="4"/>
      <c r="W310" s="4"/>
    </row>
    <row r="311" spans="1:206" x14ac:dyDescent="0.2">
      <c r="A311" s="4">
        <v>50</v>
      </c>
      <c r="B311" s="4">
        <v>0</v>
      </c>
      <c r="C311" s="4">
        <v>0</v>
      </c>
      <c r="D311" s="4">
        <v>1</v>
      </c>
      <c r="E311" s="4">
        <v>210</v>
      </c>
      <c r="F311" s="4">
        <f>ROUND(Source!X286,O311)</f>
        <v>26632.720000000001</v>
      </c>
      <c r="G311" s="4" t="s">
        <v>474</v>
      </c>
      <c r="H311" s="4" t="s">
        <v>475</v>
      </c>
      <c r="I311" s="4"/>
      <c r="J311" s="4"/>
      <c r="K311" s="4">
        <v>210</v>
      </c>
      <c r="L311" s="4">
        <v>24</v>
      </c>
      <c r="M311" s="4">
        <v>3</v>
      </c>
      <c r="N311" s="4" t="s">
        <v>6</v>
      </c>
      <c r="O311" s="4">
        <v>2</v>
      </c>
      <c r="P311" s="4"/>
      <c r="Q311" s="4"/>
      <c r="R311" s="4"/>
      <c r="S311" s="4"/>
      <c r="T311" s="4"/>
      <c r="U311" s="4"/>
      <c r="V311" s="4"/>
      <c r="W311" s="4"/>
    </row>
    <row r="312" spans="1:206" x14ac:dyDescent="0.2">
      <c r="A312" s="4">
        <v>50</v>
      </c>
      <c r="B312" s="4">
        <v>0</v>
      </c>
      <c r="C312" s="4">
        <v>0</v>
      </c>
      <c r="D312" s="4">
        <v>1</v>
      </c>
      <c r="E312" s="4">
        <v>211</v>
      </c>
      <c r="F312" s="4">
        <f>ROUND(Source!Y286,O312)</f>
        <v>16547.669999999998</v>
      </c>
      <c r="G312" s="4" t="s">
        <v>476</v>
      </c>
      <c r="H312" s="4" t="s">
        <v>477</v>
      </c>
      <c r="I312" s="4"/>
      <c r="J312" s="4"/>
      <c r="K312" s="4">
        <v>211</v>
      </c>
      <c r="L312" s="4">
        <v>25</v>
      </c>
      <c r="M312" s="4">
        <v>3</v>
      </c>
      <c r="N312" s="4" t="s">
        <v>6</v>
      </c>
      <c r="O312" s="4">
        <v>2</v>
      </c>
      <c r="P312" s="4"/>
      <c r="Q312" s="4"/>
      <c r="R312" s="4"/>
      <c r="S312" s="4"/>
      <c r="T312" s="4"/>
      <c r="U312" s="4"/>
      <c r="V312" s="4"/>
      <c r="W312" s="4"/>
    </row>
    <row r="313" spans="1:206" x14ac:dyDescent="0.2">
      <c r="A313" s="4">
        <v>50</v>
      </c>
      <c r="B313" s="4">
        <v>0</v>
      </c>
      <c r="C313" s="4">
        <v>0</v>
      </c>
      <c r="D313" s="4">
        <v>1</v>
      </c>
      <c r="E313" s="4">
        <v>0</v>
      </c>
      <c r="F313" s="4">
        <f>ROUND(Source!AR286,O313)</f>
        <v>426330.77</v>
      </c>
      <c r="G313" s="4" t="s">
        <v>478</v>
      </c>
      <c r="H313" s="4" t="s">
        <v>479</v>
      </c>
      <c r="I313" s="4"/>
      <c r="J313" s="4"/>
      <c r="K313" s="4">
        <v>224</v>
      </c>
      <c r="L313" s="4">
        <v>26</v>
      </c>
      <c r="M313" s="4">
        <v>3</v>
      </c>
      <c r="N313" s="4" t="s">
        <v>6</v>
      </c>
      <c r="O313" s="4">
        <v>2</v>
      </c>
      <c r="P313" s="4"/>
      <c r="Q313" s="4"/>
      <c r="R313" s="4"/>
      <c r="S313" s="4"/>
      <c r="T313" s="4"/>
      <c r="U313" s="4"/>
      <c r="V313" s="4"/>
      <c r="W313" s="4"/>
    </row>
    <row r="314" spans="1:206" x14ac:dyDescent="0.2">
      <c r="A314" s="4">
        <v>50</v>
      </c>
      <c r="B314" s="4">
        <v>1</v>
      </c>
      <c r="C314" s="4">
        <v>0</v>
      </c>
      <c r="D314" s="4">
        <v>2</v>
      </c>
      <c r="E314" s="4">
        <v>0</v>
      </c>
      <c r="F314" s="4">
        <f>ROUND(F313,O314)</f>
        <v>426330.77</v>
      </c>
      <c r="G314" s="4" t="s">
        <v>480</v>
      </c>
      <c r="H314" s="4" t="s">
        <v>478</v>
      </c>
      <c r="I314" s="4"/>
      <c r="J314" s="4"/>
      <c r="K314" s="4">
        <v>212</v>
      </c>
      <c r="L314" s="4">
        <v>27</v>
      </c>
      <c r="M314" s="4">
        <v>0</v>
      </c>
      <c r="N314" s="4" t="s">
        <v>6</v>
      </c>
      <c r="O314" s="4">
        <v>2</v>
      </c>
      <c r="P314" s="4"/>
      <c r="Q314" s="4"/>
      <c r="R314" s="4"/>
      <c r="S314" s="4"/>
      <c r="T314" s="4"/>
      <c r="U314" s="4"/>
      <c r="V314" s="4"/>
      <c r="W314" s="4"/>
    </row>
    <row r="315" spans="1:206" x14ac:dyDescent="0.2">
      <c r="A315" s="4">
        <v>50</v>
      </c>
      <c r="B315" s="4">
        <v>1</v>
      </c>
      <c r="C315" s="4">
        <v>0</v>
      </c>
      <c r="D315" s="4">
        <v>2</v>
      </c>
      <c r="E315" s="4">
        <v>0</v>
      </c>
      <c r="F315" s="4">
        <f>ROUND(F314*0.18,O315)</f>
        <v>76739.539999999994</v>
      </c>
      <c r="G315" s="4" t="s">
        <v>481</v>
      </c>
      <c r="H315" s="4" t="s">
        <v>482</v>
      </c>
      <c r="I315" s="4"/>
      <c r="J315" s="4"/>
      <c r="K315" s="4">
        <v>212</v>
      </c>
      <c r="L315" s="4">
        <v>28</v>
      </c>
      <c r="M315" s="4">
        <v>0</v>
      </c>
      <c r="N315" s="4" t="s">
        <v>6</v>
      </c>
      <c r="O315" s="4">
        <v>2</v>
      </c>
      <c r="P315" s="4"/>
      <c r="Q315" s="4"/>
      <c r="R315" s="4"/>
      <c r="S315" s="4"/>
      <c r="T315" s="4"/>
      <c r="U315" s="4"/>
      <c r="V315" s="4"/>
      <c r="W315" s="4"/>
    </row>
    <row r="316" spans="1:206" x14ac:dyDescent="0.2">
      <c r="A316" s="4">
        <v>50</v>
      </c>
      <c r="B316" s="4">
        <v>1</v>
      </c>
      <c r="C316" s="4">
        <v>0</v>
      </c>
      <c r="D316" s="4">
        <v>2</v>
      </c>
      <c r="E316" s="4">
        <v>224</v>
      </c>
      <c r="F316" s="4">
        <f>ROUND(F314+F315,O316)</f>
        <v>503070.31</v>
      </c>
      <c r="G316" s="4" t="s">
        <v>483</v>
      </c>
      <c r="H316" s="4" t="s">
        <v>484</v>
      </c>
      <c r="I316" s="4"/>
      <c r="J316" s="4"/>
      <c r="K316" s="4">
        <v>212</v>
      </c>
      <c r="L316" s="4">
        <v>29</v>
      </c>
      <c r="M316" s="4">
        <v>0</v>
      </c>
      <c r="N316" s="4" t="s">
        <v>6</v>
      </c>
      <c r="O316" s="4">
        <v>2</v>
      </c>
      <c r="P316" s="4"/>
      <c r="Q316" s="4"/>
      <c r="R316" s="4"/>
      <c r="S316" s="4"/>
      <c r="T316" s="4"/>
      <c r="U316" s="4"/>
      <c r="V316" s="4"/>
      <c r="W316" s="4"/>
    </row>
    <row r="318" spans="1:206" x14ac:dyDescent="0.2">
      <c r="A318" s="1">
        <v>4</v>
      </c>
      <c r="B318" s="1">
        <v>1</v>
      </c>
      <c r="C318" s="1"/>
      <c r="D318" s="1">
        <f>ROW(A358)</f>
        <v>358</v>
      </c>
      <c r="E318" s="1"/>
      <c r="F318" s="1" t="s">
        <v>13</v>
      </c>
      <c r="G318" s="1" t="s">
        <v>862</v>
      </c>
      <c r="H318" s="1" t="s">
        <v>6</v>
      </c>
      <c r="I318" s="1">
        <v>0</v>
      </c>
      <c r="J318" s="1"/>
      <c r="K318" s="1">
        <v>-1</v>
      </c>
      <c r="L318" s="1"/>
      <c r="M318" s="1"/>
      <c r="N318" s="1"/>
      <c r="O318" s="1"/>
      <c r="P318" s="1"/>
      <c r="Q318" s="1"/>
      <c r="R318" s="1"/>
      <c r="S318" s="1"/>
      <c r="T318" s="1"/>
      <c r="U318" s="1" t="s">
        <v>6</v>
      </c>
      <c r="V318" s="1">
        <v>0</v>
      </c>
      <c r="W318" s="1"/>
      <c r="X318" s="1"/>
      <c r="Y318" s="1"/>
      <c r="Z318" s="1"/>
      <c r="AA318" s="1"/>
      <c r="AB318" s="1" t="s">
        <v>6</v>
      </c>
      <c r="AC318" s="1" t="s">
        <v>6</v>
      </c>
      <c r="AD318" s="1" t="s">
        <v>6</v>
      </c>
      <c r="AE318" s="1" t="s">
        <v>6</v>
      </c>
      <c r="AF318" s="1" t="s">
        <v>6</v>
      </c>
      <c r="AG318" s="1" t="s">
        <v>6</v>
      </c>
      <c r="AH318" s="1"/>
      <c r="AI318" s="1"/>
      <c r="AJ318" s="1"/>
      <c r="AK318" s="1"/>
      <c r="AL318" s="1"/>
      <c r="AM318" s="1"/>
      <c r="AN318" s="1"/>
      <c r="AO318" s="1"/>
      <c r="AP318" s="1" t="s">
        <v>6</v>
      </c>
      <c r="AQ318" s="1" t="s">
        <v>6</v>
      </c>
      <c r="AR318" s="1" t="s">
        <v>6</v>
      </c>
      <c r="AS318" s="1"/>
      <c r="AT318" s="1"/>
      <c r="AU318" s="1"/>
      <c r="AV318" s="1"/>
      <c r="AW318" s="1"/>
      <c r="AX318" s="1"/>
      <c r="AY318" s="1"/>
      <c r="AZ318" s="1" t="s">
        <v>6</v>
      </c>
      <c r="BA318" s="1"/>
      <c r="BB318" s="1" t="s">
        <v>6</v>
      </c>
      <c r="BC318" s="1" t="s">
        <v>6</v>
      </c>
      <c r="BD318" s="1" t="s">
        <v>6</v>
      </c>
      <c r="BE318" s="1" t="s">
        <v>6</v>
      </c>
      <c r="BF318" s="1" t="s">
        <v>6</v>
      </c>
      <c r="BG318" s="1" t="s">
        <v>6</v>
      </c>
      <c r="BH318" s="1" t="s">
        <v>6</v>
      </c>
      <c r="BI318" s="1" t="s">
        <v>6</v>
      </c>
      <c r="BJ318" s="1" t="s">
        <v>6</v>
      </c>
      <c r="BK318" s="1" t="s">
        <v>6</v>
      </c>
      <c r="BL318" s="1" t="s">
        <v>6</v>
      </c>
      <c r="BM318" s="1" t="s">
        <v>6</v>
      </c>
      <c r="BN318" s="1" t="s">
        <v>6</v>
      </c>
      <c r="BO318" s="1" t="s">
        <v>6</v>
      </c>
      <c r="BP318" s="1" t="s">
        <v>6</v>
      </c>
      <c r="BQ318" s="1"/>
      <c r="BR318" s="1"/>
      <c r="BS318" s="1"/>
      <c r="BT318" s="1"/>
      <c r="BU318" s="1"/>
      <c r="BV318" s="1"/>
      <c r="BW318" s="1"/>
      <c r="BX318" s="1">
        <v>0</v>
      </c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>
        <v>0</v>
      </c>
    </row>
    <row r="320" spans="1:206" x14ac:dyDescent="0.2">
      <c r="A320" s="2">
        <v>52</v>
      </c>
      <c r="B320" s="2">
        <f t="shared" ref="B320:G320" si="292">B358</f>
        <v>1</v>
      </c>
      <c r="C320" s="2">
        <f t="shared" si="292"/>
        <v>4</v>
      </c>
      <c r="D320" s="2">
        <f t="shared" si="292"/>
        <v>318</v>
      </c>
      <c r="E320" s="2">
        <f t="shared" si="292"/>
        <v>0</v>
      </c>
      <c r="F320" s="2" t="str">
        <f t="shared" si="292"/>
        <v>Новый раздел</v>
      </c>
      <c r="G320" s="2" t="str">
        <f t="shared" si="292"/>
        <v>Внутренняя система канализации</v>
      </c>
      <c r="H320" s="2"/>
      <c r="I320" s="2"/>
      <c r="J320" s="2"/>
      <c r="K320" s="2"/>
      <c r="L320" s="2"/>
      <c r="M320" s="2"/>
      <c r="N320" s="2"/>
      <c r="O320" s="2">
        <f t="shared" ref="O320:AT320" si="293">O358</f>
        <v>71787.97</v>
      </c>
      <c r="P320" s="2">
        <f t="shared" si="293"/>
        <v>62666.98</v>
      </c>
      <c r="Q320" s="2">
        <f t="shared" si="293"/>
        <v>325.58</v>
      </c>
      <c r="R320" s="2">
        <f t="shared" si="293"/>
        <v>81.849999999999994</v>
      </c>
      <c r="S320" s="2">
        <f t="shared" si="293"/>
        <v>8795.41</v>
      </c>
      <c r="T320" s="2">
        <f t="shared" si="293"/>
        <v>0</v>
      </c>
      <c r="U320" s="2">
        <f t="shared" si="293"/>
        <v>138.16720199999997</v>
      </c>
      <c r="V320" s="2">
        <f t="shared" si="293"/>
        <v>0.91382250000000009</v>
      </c>
      <c r="W320" s="2">
        <f t="shared" si="293"/>
        <v>0</v>
      </c>
      <c r="X320" s="2">
        <f t="shared" si="293"/>
        <v>9297.7900000000009</v>
      </c>
      <c r="Y320" s="2">
        <f t="shared" si="293"/>
        <v>5833.19</v>
      </c>
      <c r="Z320" s="2">
        <f t="shared" si="293"/>
        <v>0</v>
      </c>
      <c r="AA320" s="2">
        <f t="shared" si="293"/>
        <v>0</v>
      </c>
      <c r="AB320" s="2">
        <f t="shared" si="293"/>
        <v>71787.97</v>
      </c>
      <c r="AC320" s="2">
        <f t="shared" si="293"/>
        <v>62666.98</v>
      </c>
      <c r="AD320" s="2">
        <f t="shared" si="293"/>
        <v>325.58</v>
      </c>
      <c r="AE320" s="2">
        <f t="shared" si="293"/>
        <v>81.849999999999994</v>
      </c>
      <c r="AF320" s="2">
        <f t="shared" si="293"/>
        <v>8795.41</v>
      </c>
      <c r="AG320" s="2">
        <f t="shared" si="293"/>
        <v>0</v>
      </c>
      <c r="AH320" s="2">
        <f t="shared" si="293"/>
        <v>138.16720199999997</v>
      </c>
      <c r="AI320" s="2">
        <f t="shared" si="293"/>
        <v>0.91382250000000009</v>
      </c>
      <c r="AJ320" s="2">
        <f t="shared" si="293"/>
        <v>0</v>
      </c>
      <c r="AK320" s="2">
        <f t="shared" si="293"/>
        <v>9297.7900000000009</v>
      </c>
      <c r="AL320" s="2">
        <f t="shared" si="293"/>
        <v>5833.19</v>
      </c>
      <c r="AM320" s="2">
        <f t="shared" si="293"/>
        <v>0</v>
      </c>
      <c r="AN320" s="2">
        <f t="shared" si="293"/>
        <v>0</v>
      </c>
      <c r="AO320" s="2">
        <f t="shared" si="293"/>
        <v>0</v>
      </c>
      <c r="AP320" s="2">
        <f t="shared" si="293"/>
        <v>0</v>
      </c>
      <c r="AQ320" s="2">
        <f t="shared" si="293"/>
        <v>0</v>
      </c>
      <c r="AR320" s="2">
        <f t="shared" si="293"/>
        <v>86918.95</v>
      </c>
      <c r="AS320" s="2">
        <f t="shared" si="293"/>
        <v>86918.95</v>
      </c>
      <c r="AT320" s="2">
        <f t="shared" si="293"/>
        <v>0</v>
      </c>
      <c r="AU320" s="2">
        <f t="shared" ref="AU320:BZ320" si="294">AU358</f>
        <v>0</v>
      </c>
      <c r="AV320" s="2">
        <f t="shared" si="294"/>
        <v>62666.98</v>
      </c>
      <c r="AW320" s="2">
        <f t="shared" si="294"/>
        <v>62666.98</v>
      </c>
      <c r="AX320" s="2">
        <f t="shared" si="294"/>
        <v>0</v>
      </c>
      <c r="AY320" s="2">
        <f t="shared" si="294"/>
        <v>62666.98</v>
      </c>
      <c r="AZ320" s="2">
        <f t="shared" si="294"/>
        <v>0</v>
      </c>
      <c r="BA320" s="2">
        <f t="shared" si="294"/>
        <v>0</v>
      </c>
      <c r="BB320" s="2">
        <f t="shared" si="294"/>
        <v>0</v>
      </c>
      <c r="BC320" s="2">
        <f t="shared" si="294"/>
        <v>0</v>
      </c>
      <c r="BD320" s="2">
        <f t="shared" si="294"/>
        <v>0</v>
      </c>
      <c r="BE320" s="2">
        <f t="shared" si="294"/>
        <v>0</v>
      </c>
      <c r="BF320" s="2">
        <f t="shared" si="294"/>
        <v>0</v>
      </c>
      <c r="BG320" s="2">
        <f t="shared" si="294"/>
        <v>0</v>
      </c>
      <c r="BH320" s="2">
        <f t="shared" si="294"/>
        <v>0</v>
      </c>
      <c r="BI320" s="2">
        <f t="shared" si="294"/>
        <v>0</v>
      </c>
      <c r="BJ320" s="2">
        <f t="shared" si="294"/>
        <v>0</v>
      </c>
      <c r="BK320" s="2">
        <f t="shared" si="294"/>
        <v>0</v>
      </c>
      <c r="BL320" s="2">
        <f t="shared" si="294"/>
        <v>0</v>
      </c>
      <c r="BM320" s="2">
        <f t="shared" si="294"/>
        <v>0</v>
      </c>
      <c r="BN320" s="2">
        <f t="shared" si="294"/>
        <v>0</v>
      </c>
      <c r="BO320" s="2">
        <f t="shared" si="294"/>
        <v>0</v>
      </c>
      <c r="BP320" s="2">
        <f t="shared" si="294"/>
        <v>0</v>
      </c>
      <c r="BQ320" s="2">
        <f t="shared" si="294"/>
        <v>0</v>
      </c>
      <c r="BR320" s="2">
        <f t="shared" si="294"/>
        <v>0</v>
      </c>
      <c r="BS320" s="2">
        <f t="shared" si="294"/>
        <v>0</v>
      </c>
      <c r="BT320" s="2">
        <f t="shared" si="294"/>
        <v>0</v>
      </c>
      <c r="BU320" s="2">
        <f t="shared" si="294"/>
        <v>0</v>
      </c>
      <c r="BV320" s="2">
        <f t="shared" si="294"/>
        <v>0</v>
      </c>
      <c r="BW320" s="2">
        <f t="shared" si="294"/>
        <v>0</v>
      </c>
      <c r="BX320" s="2">
        <f t="shared" si="294"/>
        <v>0</v>
      </c>
      <c r="BY320" s="2">
        <f t="shared" si="294"/>
        <v>0</v>
      </c>
      <c r="BZ320" s="2">
        <f t="shared" si="294"/>
        <v>0</v>
      </c>
      <c r="CA320" s="2">
        <f t="shared" ref="CA320:DF320" si="295">CA358</f>
        <v>86918.95</v>
      </c>
      <c r="CB320" s="2">
        <f t="shared" si="295"/>
        <v>86918.95</v>
      </c>
      <c r="CC320" s="2">
        <f t="shared" si="295"/>
        <v>0</v>
      </c>
      <c r="CD320" s="2">
        <f t="shared" si="295"/>
        <v>0</v>
      </c>
      <c r="CE320" s="2">
        <f t="shared" si="295"/>
        <v>62666.98</v>
      </c>
      <c r="CF320" s="2">
        <f t="shared" si="295"/>
        <v>62666.98</v>
      </c>
      <c r="CG320" s="2">
        <f t="shared" si="295"/>
        <v>0</v>
      </c>
      <c r="CH320" s="2">
        <f t="shared" si="295"/>
        <v>62666.98</v>
      </c>
      <c r="CI320" s="2">
        <f t="shared" si="295"/>
        <v>0</v>
      </c>
      <c r="CJ320" s="2">
        <f t="shared" si="295"/>
        <v>0</v>
      </c>
      <c r="CK320" s="2">
        <f t="shared" si="295"/>
        <v>0</v>
      </c>
      <c r="CL320" s="2">
        <f t="shared" si="295"/>
        <v>0</v>
      </c>
      <c r="CM320" s="2">
        <f t="shared" si="295"/>
        <v>0</v>
      </c>
      <c r="CN320" s="2">
        <f t="shared" si="295"/>
        <v>0</v>
      </c>
      <c r="CO320" s="2">
        <f t="shared" si="295"/>
        <v>0</v>
      </c>
      <c r="CP320" s="2">
        <f t="shared" si="295"/>
        <v>0</v>
      </c>
      <c r="CQ320" s="2">
        <f t="shared" si="295"/>
        <v>0</v>
      </c>
      <c r="CR320" s="2">
        <f t="shared" si="295"/>
        <v>0</v>
      </c>
      <c r="CS320" s="2">
        <f t="shared" si="295"/>
        <v>0</v>
      </c>
      <c r="CT320" s="2">
        <f t="shared" si="295"/>
        <v>0</v>
      </c>
      <c r="CU320" s="2">
        <f t="shared" si="295"/>
        <v>0</v>
      </c>
      <c r="CV320" s="2">
        <f t="shared" si="295"/>
        <v>0</v>
      </c>
      <c r="CW320" s="2">
        <f t="shared" si="295"/>
        <v>0</v>
      </c>
      <c r="CX320" s="2">
        <f t="shared" si="295"/>
        <v>0</v>
      </c>
      <c r="CY320" s="2">
        <f t="shared" si="295"/>
        <v>0</v>
      </c>
      <c r="CZ320" s="2">
        <f t="shared" si="295"/>
        <v>0</v>
      </c>
      <c r="DA320" s="2">
        <f t="shared" si="295"/>
        <v>0</v>
      </c>
      <c r="DB320" s="2">
        <f t="shared" si="295"/>
        <v>0</v>
      </c>
      <c r="DC320" s="2">
        <f t="shared" si="295"/>
        <v>0</v>
      </c>
      <c r="DD320" s="2">
        <f t="shared" si="295"/>
        <v>0</v>
      </c>
      <c r="DE320" s="2">
        <f t="shared" si="295"/>
        <v>0</v>
      </c>
      <c r="DF320" s="2">
        <f t="shared" si="295"/>
        <v>0</v>
      </c>
      <c r="DG320" s="3">
        <f t="shared" ref="DG320:EL320" si="296">DG358</f>
        <v>0</v>
      </c>
      <c r="DH320" s="3">
        <f t="shared" si="296"/>
        <v>0</v>
      </c>
      <c r="DI320" s="3">
        <f t="shared" si="296"/>
        <v>0</v>
      </c>
      <c r="DJ320" s="3">
        <f t="shared" si="296"/>
        <v>0</v>
      </c>
      <c r="DK320" s="3">
        <f t="shared" si="296"/>
        <v>0</v>
      </c>
      <c r="DL320" s="3">
        <f t="shared" si="296"/>
        <v>0</v>
      </c>
      <c r="DM320" s="3">
        <f t="shared" si="296"/>
        <v>0</v>
      </c>
      <c r="DN320" s="3">
        <f t="shared" si="296"/>
        <v>0</v>
      </c>
      <c r="DO320" s="3">
        <f t="shared" si="296"/>
        <v>0</v>
      </c>
      <c r="DP320" s="3">
        <f t="shared" si="296"/>
        <v>0</v>
      </c>
      <c r="DQ320" s="3">
        <f t="shared" si="296"/>
        <v>0</v>
      </c>
      <c r="DR320" s="3">
        <f t="shared" si="296"/>
        <v>0</v>
      </c>
      <c r="DS320" s="3">
        <f t="shared" si="296"/>
        <v>0</v>
      </c>
      <c r="DT320" s="3">
        <f t="shared" si="296"/>
        <v>0</v>
      </c>
      <c r="DU320" s="3">
        <f t="shared" si="296"/>
        <v>0</v>
      </c>
      <c r="DV320" s="3">
        <f t="shared" si="296"/>
        <v>0</v>
      </c>
      <c r="DW320" s="3">
        <f t="shared" si="296"/>
        <v>0</v>
      </c>
      <c r="DX320" s="3">
        <f t="shared" si="296"/>
        <v>0</v>
      </c>
      <c r="DY320" s="3">
        <f t="shared" si="296"/>
        <v>0</v>
      </c>
      <c r="DZ320" s="3">
        <f t="shared" si="296"/>
        <v>0</v>
      </c>
      <c r="EA320" s="3">
        <f t="shared" si="296"/>
        <v>0</v>
      </c>
      <c r="EB320" s="3">
        <f t="shared" si="296"/>
        <v>0</v>
      </c>
      <c r="EC320" s="3">
        <f t="shared" si="296"/>
        <v>0</v>
      </c>
      <c r="ED320" s="3">
        <f t="shared" si="296"/>
        <v>0</v>
      </c>
      <c r="EE320" s="3">
        <f t="shared" si="296"/>
        <v>0</v>
      </c>
      <c r="EF320" s="3">
        <f t="shared" si="296"/>
        <v>0</v>
      </c>
      <c r="EG320" s="3">
        <f t="shared" si="296"/>
        <v>0</v>
      </c>
      <c r="EH320" s="3">
        <f t="shared" si="296"/>
        <v>0</v>
      </c>
      <c r="EI320" s="3">
        <f t="shared" si="296"/>
        <v>0</v>
      </c>
      <c r="EJ320" s="3">
        <f t="shared" si="296"/>
        <v>0</v>
      </c>
      <c r="EK320" s="3">
        <f t="shared" si="296"/>
        <v>0</v>
      </c>
      <c r="EL320" s="3">
        <f t="shared" si="296"/>
        <v>0</v>
      </c>
      <c r="EM320" s="3">
        <f t="shared" ref="EM320:FR320" si="297">EM358</f>
        <v>0</v>
      </c>
      <c r="EN320" s="3">
        <f t="shared" si="297"/>
        <v>0</v>
      </c>
      <c r="EO320" s="3">
        <f t="shared" si="297"/>
        <v>0</v>
      </c>
      <c r="EP320" s="3">
        <f t="shared" si="297"/>
        <v>0</v>
      </c>
      <c r="EQ320" s="3">
        <f t="shared" si="297"/>
        <v>0</v>
      </c>
      <c r="ER320" s="3">
        <f t="shared" si="297"/>
        <v>0</v>
      </c>
      <c r="ES320" s="3">
        <f t="shared" si="297"/>
        <v>0</v>
      </c>
      <c r="ET320" s="3">
        <f t="shared" si="297"/>
        <v>0</v>
      </c>
      <c r="EU320" s="3">
        <f t="shared" si="297"/>
        <v>0</v>
      </c>
      <c r="EV320" s="3">
        <f t="shared" si="297"/>
        <v>0</v>
      </c>
      <c r="EW320" s="3">
        <f t="shared" si="297"/>
        <v>0</v>
      </c>
      <c r="EX320" s="3">
        <f t="shared" si="297"/>
        <v>0</v>
      </c>
      <c r="EY320" s="3">
        <f t="shared" si="297"/>
        <v>0</v>
      </c>
      <c r="EZ320" s="3">
        <f t="shared" si="297"/>
        <v>0</v>
      </c>
      <c r="FA320" s="3">
        <f t="shared" si="297"/>
        <v>0</v>
      </c>
      <c r="FB320" s="3">
        <f t="shared" si="297"/>
        <v>0</v>
      </c>
      <c r="FC320" s="3">
        <f t="shared" si="297"/>
        <v>0</v>
      </c>
      <c r="FD320" s="3">
        <f t="shared" si="297"/>
        <v>0</v>
      </c>
      <c r="FE320" s="3">
        <f t="shared" si="297"/>
        <v>0</v>
      </c>
      <c r="FF320" s="3">
        <f t="shared" si="297"/>
        <v>0</v>
      </c>
      <c r="FG320" s="3">
        <f t="shared" si="297"/>
        <v>0</v>
      </c>
      <c r="FH320" s="3">
        <f t="shared" si="297"/>
        <v>0</v>
      </c>
      <c r="FI320" s="3">
        <f t="shared" si="297"/>
        <v>0</v>
      </c>
      <c r="FJ320" s="3">
        <f t="shared" si="297"/>
        <v>0</v>
      </c>
      <c r="FK320" s="3">
        <f t="shared" si="297"/>
        <v>0</v>
      </c>
      <c r="FL320" s="3">
        <f t="shared" si="297"/>
        <v>0</v>
      </c>
      <c r="FM320" s="3">
        <f t="shared" si="297"/>
        <v>0</v>
      </c>
      <c r="FN320" s="3">
        <f t="shared" si="297"/>
        <v>0</v>
      </c>
      <c r="FO320" s="3">
        <f t="shared" si="297"/>
        <v>0</v>
      </c>
      <c r="FP320" s="3">
        <f t="shared" si="297"/>
        <v>0</v>
      </c>
      <c r="FQ320" s="3">
        <f t="shared" si="297"/>
        <v>0</v>
      </c>
      <c r="FR320" s="3">
        <f t="shared" si="297"/>
        <v>0</v>
      </c>
      <c r="FS320" s="3">
        <f t="shared" ref="FS320:GX320" si="298">FS358</f>
        <v>0</v>
      </c>
      <c r="FT320" s="3">
        <f t="shared" si="298"/>
        <v>0</v>
      </c>
      <c r="FU320" s="3">
        <f t="shared" si="298"/>
        <v>0</v>
      </c>
      <c r="FV320" s="3">
        <f t="shared" si="298"/>
        <v>0</v>
      </c>
      <c r="FW320" s="3">
        <f t="shared" si="298"/>
        <v>0</v>
      </c>
      <c r="FX320" s="3">
        <f t="shared" si="298"/>
        <v>0</v>
      </c>
      <c r="FY320" s="3">
        <f t="shared" si="298"/>
        <v>0</v>
      </c>
      <c r="FZ320" s="3">
        <f t="shared" si="298"/>
        <v>0</v>
      </c>
      <c r="GA320" s="3">
        <f t="shared" si="298"/>
        <v>0</v>
      </c>
      <c r="GB320" s="3">
        <f t="shared" si="298"/>
        <v>0</v>
      </c>
      <c r="GC320" s="3">
        <f t="shared" si="298"/>
        <v>0</v>
      </c>
      <c r="GD320" s="3">
        <f t="shared" si="298"/>
        <v>0</v>
      </c>
      <c r="GE320" s="3">
        <f t="shared" si="298"/>
        <v>0</v>
      </c>
      <c r="GF320" s="3">
        <f t="shared" si="298"/>
        <v>0</v>
      </c>
      <c r="GG320" s="3">
        <f t="shared" si="298"/>
        <v>0</v>
      </c>
      <c r="GH320" s="3">
        <f t="shared" si="298"/>
        <v>0</v>
      </c>
      <c r="GI320" s="3">
        <f t="shared" si="298"/>
        <v>0</v>
      </c>
      <c r="GJ320" s="3">
        <f t="shared" si="298"/>
        <v>0</v>
      </c>
      <c r="GK320" s="3">
        <f t="shared" si="298"/>
        <v>0</v>
      </c>
      <c r="GL320" s="3">
        <f t="shared" si="298"/>
        <v>0</v>
      </c>
      <c r="GM320" s="3">
        <f t="shared" si="298"/>
        <v>0</v>
      </c>
      <c r="GN320" s="3">
        <f t="shared" si="298"/>
        <v>0</v>
      </c>
      <c r="GO320" s="3">
        <f t="shared" si="298"/>
        <v>0</v>
      </c>
      <c r="GP320" s="3">
        <f t="shared" si="298"/>
        <v>0</v>
      </c>
      <c r="GQ320" s="3">
        <f t="shared" si="298"/>
        <v>0</v>
      </c>
      <c r="GR320" s="3">
        <f t="shared" si="298"/>
        <v>0</v>
      </c>
      <c r="GS320" s="3">
        <f t="shared" si="298"/>
        <v>0</v>
      </c>
      <c r="GT320" s="3">
        <f t="shared" si="298"/>
        <v>0</v>
      </c>
      <c r="GU320" s="3">
        <f t="shared" si="298"/>
        <v>0</v>
      </c>
      <c r="GV320" s="3">
        <f t="shared" si="298"/>
        <v>0</v>
      </c>
      <c r="GW320" s="3">
        <f t="shared" si="298"/>
        <v>0</v>
      </c>
      <c r="GX320" s="3">
        <f t="shared" si="298"/>
        <v>0</v>
      </c>
    </row>
    <row r="322" spans="1:245" x14ac:dyDescent="0.2">
      <c r="A322">
        <v>17</v>
      </c>
      <c r="B322">
        <v>1</v>
      </c>
      <c r="C322">
        <f>ROW(SmtRes!A651)</f>
        <v>651</v>
      </c>
      <c r="D322">
        <f>ROW(EtalonRes!A640)</f>
        <v>640</v>
      </c>
      <c r="E322" t="s">
        <v>863</v>
      </c>
      <c r="F322" t="s">
        <v>864</v>
      </c>
      <c r="G322" t="s">
        <v>865</v>
      </c>
      <c r="H322" t="s">
        <v>57</v>
      </c>
      <c r="I322">
        <f>ROUND(22.2/100,9)</f>
        <v>0.222</v>
      </c>
      <c r="J322">
        <v>0</v>
      </c>
      <c r="O322">
        <f t="shared" ref="O322:O356" si="299">ROUND(CP322,2)</f>
        <v>929.21</v>
      </c>
      <c r="P322">
        <f t="shared" ref="P322:P356" si="300">ROUND(CQ322*I322,2)</f>
        <v>0</v>
      </c>
      <c r="Q322">
        <f t="shared" ref="Q322:Q356" si="301">ROUND(CR322*I322,2)</f>
        <v>7.91</v>
      </c>
      <c r="R322">
        <f t="shared" ref="R322:R356" si="302">ROUND(CS322*I322,2)</f>
        <v>3.42</v>
      </c>
      <c r="S322">
        <f t="shared" ref="S322:S356" si="303">ROUND(CT322*I322,2)</f>
        <v>921.3</v>
      </c>
      <c r="T322">
        <f t="shared" ref="T322:T356" si="304">ROUND(CU322*I322,2)</f>
        <v>0</v>
      </c>
      <c r="U322">
        <f t="shared" ref="U322:U356" si="305">CV322*I322</f>
        <v>15.2736</v>
      </c>
      <c r="V322">
        <f t="shared" ref="V322:V356" si="306">CW322*I322</f>
        <v>3.5520000000000003E-2</v>
      </c>
      <c r="W322">
        <f t="shared" ref="W322:W356" si="307">ROUND(CX322*I322,2)</f>
        <v>0</v>
      </c>
      <c r="X322">
        <f t="shared" ref="X322:X356" si="308">ROUND(CY322,2)</f>
        <v>684.29</v>
      </c>
      <c r="Y322">
        <f t="shared" ref="Y322:Y356" si="309">ROUND(CZ322,2)</f>
        <v>462.36</v>
      </c>
      <c r="AA322">
        <v>16630606</v>
      </c>
      <c r="AB322">
        <f t="shared" ref="AB322:AB356" si="310">ROUND((AC322+AD322+AF322),2)</f>
        <v>587.04999999999995</v>
      </c>
      <c r="AC322">
        <f t="shared" ref="AC322:AC356" si="311">ROUND((ES322),2)</f>
        <v>0</v>
      </c>
      <c r="AD322">
        <f t="shared" ref="AD322:AD330" si="312">ROUND((((ET322)-(EU322))+AE322),2)</f>
        <v>5</v>
      </c>
      <c r="AE322">
        <f t="shared" ref="AE322:AE330" si="313">ROUND((EU322),2)</f>
        <v>2.16</v>
      </c>
      <c r="AF322">
        <f t="shared" ref="AF322:AF330" si="314">ROUND((EV322),2)</f>
        <v>582.04999999999995</v>
      </c>
      <c r="AG322">
        <f t="shared" ref="AG322:AG356" si="315">ROUND((AP322),2)</f>
        <v>0</v>
      </c>
      <c r="AH322">
        <f t="shared" ref="AH322:AH330" si="316">(EW322)</f>
        <v>68.8</v>
      </c>
      <c r="AI322">
        <f t="shared" ref="AI322:AI330" si="317">(EX322)</f>
        <v>0.16</v>
      </c>
      <c r="AJ322">
        <f t="shared" ref="AJ322:AJ356" si="318">(AS322)</f>
        <v>0</v>
      </c>
      <c r="AK322">
        <v>587.04999999999995</v>
      </c>
      <c r="AL322">
        <v>0</v>
      </c>
      <c r="AM322">
        <v>5</v>
      </c>
      <c r="AN322">
        <v>2.16</v>
      </c>
      <c r="AO322">
        <v>582.04999999999995</v>
      </c>
      <c r="AP322">
        <v>0</v>
      </c>
      <c r="AQ322">
        <v>68.8</v>
      </c>
      <c r="AR322">
        <v>0.16</v>
      </c>
      <c r="AS322">
        <v>0</v>
      </c>
      <c r="AT322">
        <v>74</v>
      </c>
      <c r="AU322">
        <v>50</v>
      </c>
      <c r="AV322">
        <v>1</v>
      </c>
      <c r="AW322">
        <v>1</v>
      </c>
      <c r="AZ322">
        <v>7.13</v>
      </c>
      <c r="BA322">
        <v>7.13</v>
      </c>
      <c r="BB322">
        <v>7.13</v>
      </c>
      <c r="BC322">
        <v>7.13</v>
      </c>
      <c r="BD322" t="s">
        <v>6</v>
      </c>
      <c r="BE322" t="s">
        <v>6</v>
      </c>
      <c r="BF322" t="s">
        <v>6</v>
      </c>
      <c r="BG322" t="s">
        <v>6</v>
      </c>
      <c r="BH322">
        <v>0</v>
      </c>
      <c r="BI322">
        <v>1</v>
      </c>
      <c r="BJ322" t="s">
        <v>866</v>
      </c>
      <c r="BM322">
        <v>65001</v>
      </c>
      <c r="BN322">
        <v>0</v>
      </c>
      <c r="BO322" t="s">
        <v>6</v>
      </c>
      <c r="BP322">
        <v>0</v>
      </c>
      <c r="BQ322">
        <v>6</v>
      </c>
      <c r="BR322">
        <v>0</v>
      </c>
      <c r="BS322">
        <v>7.13</v>
      </c>
      <c r="BT322">
        <v>1</v>
      </c>
      <c r="BU322">
        <v>1</v>
      </c>
      <c r="BV322">
        <v>1</v>
      </c>
      <c r="BW322">
        <v>1</v>
      </c>
      <c r="BX322">
        <v>1</v>
      </c>
      <c r="BY322" t="s">
        <v>6</v>
      </c>
      <c r="BZ322">
        <v>74</v>
      </c>
      <c r="CA322">
        <v>50</v>
      </c>
      <c r="CE322">
        <v>0</v>
      </c>
      <c r="CF322">
        <v>0</v>
      </c>
      <c r="CG322">
        <v>0</v>
      </c>
      <c r="CM322">
        <v>0</v>
      </c>
      <c r="CN322" t="s">
        <v>6</v>
      </c>
      <c r="CO322">
        <v>0</v>
      </c>
      <c r="CP322">
        <f t="shared" ref="CP322:CP356" si="319">(P322+Q322+S322)</f>
        <v>929.20999999999992</v>
      </c>
      <c r="CQ322">
        <f t="shared" ref="CQ322:CQ356" si="320">AC322*BC322</f>
        <v>0</v>
      </c>
      <c r="CR322">
        <f t="shared" ref="CR322:CR356" si="321">AD322*BB322</f>
        <v>35.65</v>
      </c>
      <c r="CS322">
        <f t="shared" ref="CS322:CS356" si="322">AE322*BS322</f>
        <v>15.4008</v>
      </c>
      <c r="CT322">
        <f t="shared" ref="CT322:CT356" si="323">AF322*BA322</f>
        <v>4150.0164999999997</v>
      </c>
      <c r="CU322">
        <f t="shared" ref="CU322:CU356" si="324">AG322</f>
        <v>0</v>
      </c>
      <c r="CV322">
        <f t="shared" ref="CV322:CV356" si="325">AH322</f>
        <v>68.8</v>
      </c>
      <c r="CW322">
        <f t="shared" ref="CW322:CW356" si="326">AI322</f>
        <v>0.16</v>
      </c>
      <c r="CX322">
        <f t="shared" ref="CX322:CX356" si="327">AJ322</f>
        <v>0</v>
      </c>
      <c r="CY322">
        <f t="shared" ref="CY322:CY356" si="328">(((S322+R322)*AT322)/100)</f>
        <v>684.29279999999994</v>
      </c>
      <c r="CZ322">
        <f t="shared" ref="CZ322:CZ356" si="329">(((S322+R322)*AU322)/100)</f>
        <v>462.3599999999999</v>
      </c>
      <c r="DC322" t="s">
        <v>6</v>
      </c>
      <c r="DD322" t="s">
        <v>6</v>
      </c>
      <c r="DE322" t="s">
        <v>6</v>
      </c>
      <c r="DF322" t="s">
        <v>6</v>
      </c>
      <c r="DG322" t="s">
        <v>6</v>
      </c>
      <c r="DH322" t="s">
        <v>6</v>
      </c>
      <c r="DI322" t="s">
        <v>6</v>
      </c>
      <c r="DJ322" t="s">
        <v>6</v>
      </c>
      <c r="DK322" t="s">
        <v>6</v>
      </c>
      <c r="DL322" t="s">
        <v>6</v>
      </c>
      <c r="DM322" t="s">
        <v>6</v>
      </c>
      <c r="DN322">
        <v>0</v>
      </c>
      <c r="DO322">
        <v>0</v>
      </c>
      <c r="DP322">
        <v>1</v>
      </c>
      <c r="DQ322">
        <v>1</v>
      </c>
      <c r="DU322">
        <v>1003</v>
      </c>
      <c r="DV322" t="s">
        <v>57</v>
      </c>
      <c r="DW322" t="s">
        <v>57</v>
      </c>
      <c r="DX322">
        <v>100</v>
      </c>
      <c r="EE322">
        <v>16609190</v>
      </c>
      <c r="EF322">
        <v>6</v>
      </c>
      <c r="EG322" t="s">
        <v>39</v>
      </c>
      <c r="EH322">
        <v>0</v>
      </c>
      <c r="EI322" t="s">
        <v>6</v>
      </c>
      <c r="EJ322">
        <v>1</v>
      </c>
      <c r="EK322">
        <v>65001</v>
      </c>
      <c r="EL322" t="s">
        <v>713</v>
      </c>
      <c r="EM322" t="s">
        <v>714</v>
      </c>
      <c r="EO322" t="s">
        <v>6</v>
      </c>
      <c r="EQ322">
        <v>131072</v>
      </c>
      <c r="ER322">
        <v>587.04999999999995</v>
      </c>
      <c r="ES322">
        <v>0</v>
      </c>
      <c r="ET322">
        <v>5</v>
      </c>
      <c r="EU322">
        <v>2.16</v>
      </c>
      <c r="EV322">
        <v>582.04999999999995</v>
      </c>
      <c r="EW322">
        <v>68.8</v>
      </c>
      <c r="EX322">
        <v>0.16</v>
      </c>
      <c r="EY322">
        <v>0</v>
      </c>
      <c r="FQ322">
        <v>0</v>
      </c>
      <c r="FR322">
        <f t="shared" ref="FR322:FR356" si="330">ROUND(IF(AND(BH322=3,BI322=3),P322,0),2)</f>
        <v>0</v>
      </c>
      <c r="FS322">
        <v>0</v>
      </c>
      <c r="FX322">
        <v>74</v>
      </c>
      <c r="FY322">
        <v>50</v>
      </c>
      <c r="GA322" t="s">
        <v>6</v>
      </c>
      <c r="GD322">
        <v>0</v>
      </c>
      <c r="GF322">
        <v>786114150</v>
      </c>
      <c r="GG322">
        <v>1</v>
      </c>
      <c r="GH322">
        <v>1</v>
      </c>
      <c r="GI322">
        <v>4</v>
      </c>
      <c r="GJ322">
        <v>0</v>
      </c>
      <c r="GK322">
        <f>ROUND(R322*(R12)/100,2)</f>
        <v>0</v>
      </c>
      <c r="GL322">
        <f t="shared" ref="GL322:GL356" si="331">ROUND(IF(AND(BH322=3,BI322=3,FS322&lt;&gt;0),P322,0),2)</f>
        <v>0</v>
      </c>
      <c r="GM322">
        <f t="shared" ref="GM322:GM356" si="332">ROUND(O322+X322+Y322+GK322,2)+GX322</f>
        <v>2075.86</v>
      </c>
      <c r="GN322">
        <f t="shared" ref="GN322:GN356" si="333">IF(OR(BI322=0,BI322=1),ROUND(O322+X322+Y322+GK322,2),0)</f>
        <v>2075.86</v>
      </c>
      <c r="GO322">
        <f t="shared" ref="GO322:GO356" si="334">IF(BI322=2,ROUND(O322+X322+Y322+GK322,2),0)</f>
        <v>0</v>
      </c>
      <c r="GP322">
        <f t="shared" ref="GP322:GP356" si="335">IF(BI322=4,ROUND(O322+X322+Y322+GK322,2)+GX322,0)</f>
        <v>0</v>
      </c>
      <c r="GR322">
        <v>0</v>
      </c>
      <c r="GS322">
        <v>3</v>
      </c>
      <c r="GT322">
        <v>0</v>
      </c>
      <c r="GU322" t="s">
        <v>6</v>
      </c>
      <c r="GV322">
        <f t="shared" ref="GV322:GV356" si="336">ROUND((GT322),2)</f>
        <v>0</v>
      </c>
      <c r="GW322">
        <v>1</v>
      </c>
      <c r="GX322">
        <f t="shared" ref="GX322:GX356" si="337">ROUND(HC322*I322,2)</f>
        <v>0</v>
      </c>
      <c r="HA322">
        <v>0</v>
      </c>
      <c r="HB322">
        <v>0</v>
      </c>
      <c r="HC322">
        <f t="shared" ref="HC322:HC356" si="338">GV322*GW322</f>
        <v>0</v>
      </c>
      <c r="IK322">
        <v>0</v>
      </c>
    </row>
    <row r="323" spans="1:245" x14ac:dyDescent="0.2">
      <c r="A323">
        <v>17</v>
      </c>
      <c r="B323">
        <v>1</v>
      </c>
      <c r="C323">
        <f>ROW(SmtRes!A654)</f>
        <v>654</v>
      </c>
      <c r="D323">
        <f>ROW(EtalonRes!A644)</f>
        <v>644</v>
      </c>
      <c r="E323" t="s">
        <v>867</v>
      </c>
      <c r="F323" t="s">
        <v>868</v>
      </c>
      <c r="G323" t="s">
        <v>869</v>
      </c>
      <c r="H323" t="s">
        <v>57</v>
      </c>
      <c r="I323">
        <f>ROUND(9.7/100,9)</f>
        <v>9.7000000000000003E-2</v>
      </c>
      <c r="J323">
        <v>0</v>
      </c>
      <c r="O323">
        <f t="shared" si="299"/>
        <v>506.01</v>
      </c>
      <c r="P323">
        <f t="shared" si="300"/>
        <v>0</v>
      </c>
      <c r="Q323">
        <f t="shared" si="301"/>
        <v>6.92</v>
      </c>
      <c r="R323">
        <f t="shared" si="302"/>
        <v>2.99</v>
      </c>
      <c r="S323">
        <f t="shared" si="303"/>
        <v>499.09</v>
      </c>
      <c r="T323">
        <f t="shared" si="304"/>
        <v>0</v>
      </c>
      <c r="U323">
        <f t="shared" si="305"/>
        <v>8.2741000000000007</v>
      </c>
      <c r="V323">
        <f t="shared" si="306"/>
        <v>3.1040000000000002E-2</v>
      </c>
      <c r="W323">
        <f t="shared" si="307"/>
        <v>0</v>
      </c>
      <c r="X323">
        <f t="shared" si="308"/>
        <v>371.54</v>
      </c>
      <c r="Y323">
        <f t="shared" si="309"/>
        <v>251.04</v>
      </c>
      <c r="AA323">
        <v>16630606</v>
      </c>
      <c r="AB323">
        <f t="shared" si="310"/>
        <v>731.64</v>
      </c>
      <c r="AC323">
        <f t="shared" si="311"/>
        <v>0</v>
      </c>
      <c r="AD323">
        <f t="shared" si="312"/>
        <v>10</v>
      </c>
      <c r="AE323">
        <f t="shared" si="313"/>
        <v>4.32</v>
      </c>
      <c r="AF323">
        <f t="shared" si="314"/>
        <v>721.64</v>
      </c>
      <c r="AG323">
        <f t="shared" si="315"/>
        <v>0</v>
      </c>
      <c r="AH323">
        <f t="shared" si="316"/>
        <v>85.3</v>
      </c>
      <c r="AI323">
        <f t="shared" si="317"/>
        <v>0.32</v>
      </c>
      <c r="AJ323">
        <f t="shared" si="318"/>
        <v>0</v>
      </c>
      <c r="AK323">
        <v>731.64</v>
      </c>
      <c r="AL323">
        <v>0</v>
      </c>
      <c r="AM323">
        <v>10</v>
      </c>
      <c r="AN323">
        <v>4.32</v>
      </c>
      <c r="AO323">
        <v>721.64</v>
      </c>
      <c r="AP323">
        <v>0</v>
      </c>
      <c r="AQ323">
        <v>85.3</v>
      </c>
      <c r="AR323">
        <v>0.32</v>
      </c>
      <c r="AS323">
        <v>0</v>
      </c>
      <c r="AT323">
        <v>74</v>
      </c>
      <c r="AU323">
        <v>50</v>
      </c>
      <c r="AV323">
        <v>1</v>
      </c>
      <c r="AW323">
        <v>1</v>
      </c>
      <c r="AZ323">
        <v>7.13</v>
      </c>
      <c r="BA323">
        <v>7.13</v>
      </c>
      <c r="BB323">
        <v>7.13</v>
      </c>
      <c r="BC323">
        <v>7.13</v>
      </c>
      <c r="BD323" t="s">
        <v>6</v>
      </c>
      <c r="BE323" t="s">
        <v>6</v>
      </c>
      <c r="BF323" t="s">
        <v>6</v>
      </c>
      <c r="BG323" t="s">
        <v>6</v>
      </c>
      <c r="BH323">
        <v>0</v>
      </c>
      <c r="BI323">
        <v>1</v>
      </c>
      <c r="BJ323" t="s">
        <v>870</v>
      </c>
      <c r="BM323">
        <v>65001</v>
      </c>
      <c r="BN323">
        <v>0</v>
      </c>
      <c r="BO323" t="s">
        <v>6</v>
      </c>
      <c r="BP323">
        <v>0</v>
      </c>
      <c r="BQ323">
        <v>6</v>
      </c>
      <c r="BR323">
        <v>0</v>
      </c>
      <c r="BS323">
        <v>7.13</v>
      </c>
      <c r="BT323">
        <v>1</v>
      </c>
      <c r="BU323">
        <v>1</v>
      </c>
      <c r="BV323">
        <v>1</v>
      </c>
      <c r="BW323">
        <v>1</v>
      </c>
      <c r="BX323">
        <v>1</v>
      </c>
      <c r="BY323" t="s">
        <v>6</v>
      </c>
      <c r="BZ323">
        <v>74</v>
      </c>
      <c r="CA323">
        <v>50</v>
      </c>
      <c r="CE323">
        <v>0</v>
      </c>
      <c r="CF323">
        <v>0</v>
      </c>
      <c r="CG323">
        <v>0</v>
      </c>
      <c r="CM323">
        <v>0</v>
      </c>
      <c r="CN323" t="s">
        <v>6</v>
      </c>
      <c r="CO323">
        <v>0</v>
      </c>
      <c r="CP323">
        <f t="shared" si="319"/>
        <v>506.01</v>
      </c>
      <c r="CQ323">
        <f t="shared" si="320"/>
        <v>0</v>
      </c>
      <c r="CR323">
        <f t="shared" si="321"/>
        <v>71.3</v>
      </c>
      <c r="CS323">
        <f t="shared" si="322"/>
        <v>30.801600000000001</v>
      </c>
      <c r="CT323">
        <f t="shared" si="323"/>
        <v>5145.2932000000001</v>
      </c>
      <c r="CU323">
        <f t="shared" si="324"/>
        <v>0</v>
      </c>
      <c r="CV323">
        <f t="shared" si="325"/>
        <v>85.3</v>
      </c>
      <c r="CW323">
        <f t="shared" si="326"/>
        <v>0.32</v>
      </c>
      <c r="CX323">
        <f t="shared" si="327"/>
        <v>0</v>
      </c>
      <c r="CY323">
        <f t="shared" si="328"/>
        <v>371.53919999999999</v>
      </c>
      <c r="CZ323">
        <f t="shared" si="329"/>
        <v>251.04</v>
      </c>
      <c r="DC323" t="s">
        <v>6</v>
      </c>
      <c r="DD323" t="s">
        <v>6</v>
      </c>
      <c r="DE323" t="s">
        <v>6</v>
      </c>
      <c r="DF323" t="s">
        <v>6</v>
      </c>
      <c r="DG323" t="s">
        <v>6</v>
      </c>
      <c r="DH323" t="s">
        <v>6</v>
      </c>
      <c r="DI323" t="s">
        <v>6</v>
      </c>
      <c r="DJ323" t="s">
        <v>6</v>
      </c>
      <c r="DK323" t="s">
        <v>6</v>
      </c>
      <c r="DL323" t="s">
        <v>6</v>
      </c>
      <c r="DM323" t="s">
        <v>6</v>
      </c>
      <c r="DN323">
        <v>0</v>
      </c>
      <c r="DO323">
        <v>0</v>
      </c>
      <c r="DP323">
        <v>1</v>
      </c>
      <c r="DQ323">
        <v>1</v>
      </c>
      <c r="DU323">
        <v>1003</v>
      </c>
      <c r="DV323" t="s">
        <v>57</v>
      </c>
      <c r="DW323" t="s">
        <v>57</v>
      </c>
      <c r="DX323">
        <v>100</v>
      </c>
      <c r="EE323">
        <v>16609190</v>
      </c>
      <c r="EF323">
        <v>6</v>
      </c>
      <c r="EG323" t="s">
        <v>39</v>
      </c>
      <c r="EH323">
        <v>0</v>
      </c>
      <c r="EI323" t="s">
        <v>6</v>
      </c>
      <c r="EJ323">
        <v>1</v>
      </c>
      <c r="EK323">
        <v>65001</v>
      </c>
      <c r="EL323" t="s">
        <v>713</v>
      </c>
      <c r="EM323" t="s">
        <v>714</v>
      </c>
      <c r="EO323" t="s">
        <v>6</v>
      </c>
      <c r="EQ323">
        <v>131072</v>
      </c>
      <c r="ER323">
        <v>731.64</v>
      </c>
      <c r="ES323">
        <v>0</v>
      </c>
      <c r="ET323">
        <v>10</v>
      </c>
      <c r="EU323">
        <v>4.32</v>
      </c>
      <c r="EV323">
        <v>721.64</v>
      </c>
      <c r="EW323">
        <v>85.3</v>
      </c>
      <c r="EX323">
        <v>0.32</v>
      </c>
      <c r="EY323">
        <v>0</v>
      </c>
      <c r="FQ323">
        <v>0</v>
      </c>
      <c r="FR323">
        <f t="shared" si="330"/>
        <v>0</v>
      </c>
      <c r="FS323">
        <v>0</v>
      </c>
      <c r="FX323">
        <v>74</v>
      </c>
      <c r="FY323">
        <v>50</v>
      </c>
      <c r="GA323" t="s">
        <v>6</v>
      </c>
      <c r="GD323">
        <v>0</v>
      </c>
      <c r="GF323">
        <v>226447820</v>
      </c>
      <c r="GG323">
        <v>1</v>
      </c>
      <c r="GH323">
        <v>1</v>
      </c>
      <c r="GI323">
        <v>4</v>
      </c>
      <c r="GJ323">
        <v>0</v>
      </c>
      <c r="GK323">
        <f>ROUND(R323*(R12)/100,2)</f>
        <v>0</v>
      </c>
      <c r="GL323">
        <f t="shared" si="331"/>
        <v>0</v>
      </c>
      <c r="GM323">
        <f t="shared" si="332"/>
        <v>1128.5899999999999</v>
      </c>
      <c r="GN323">
        <f t="shared" si="333"/>
        <v>1128.5899999999999</v>
      </c>
      <c r="GO323">
        <f t="shared" si="334"/>
        <v>0</v>
      </c>
      <c r="GP323">
        <f t="shared" si="335"/>
        <v>0</v>
      </c>
      <c r="GR323">
        <v>0</v>
      </c>
      <c r="GS323">
        <v>3</v>
      </c>
      <c r="GT323">
        <v>0</v>
      </c>
      <c r="GU323" t="s">
        <v>6</v>
      </c>
      <c r="GV323">
        <f t="shared" si="336"/>
        <v>0</v>
      </c>
      <c r="GW323">
        <v>1</v>
      </c>
      <c r="GX323">
        <f t="shared" si="337"/>
        <v>0</v>
      </c>
      <c r="HA323">
        <v>0</v>
      </c>
      <c r="HB323">
        <v>0</v>
      </c>
      <c r="HC323">
        <f t="shared" si="338"/>
        <v>0</v>
      </c>
      <c r="IK323">
        <v>0</v>
      </c>
    </row>
    <row r="324" spans="1:245" x14ac:dyDescent="0.2">
      <c r="A324">
        <v>17</v>
      </c>
      <c r="B324">
        <v>1</v>
      </c>
      <c r="C324">
        <f>ROW(SmtRes!A661)</f>
        <v>661</v>
      </c>
      <c r="D324">
        <f>ROW(EtalonRes!A651)</f>
        <v>651</v>
      </c>
      <c r="E324" t="s">
        <v>871</v>
      </c>
      <c r="F324" t="s">
        <v>872</v>
      </c>
      <c r="G324" t="s">
        <v>873</v>
      </c>
      <c r="H324" t="s">
        <v>27</v>
      </c>
      <c r="I324">
        <v>0.01</v>
      </c>
      <c r="J324">
        <v>0</v>
      </c>
      <c r="O324">
        <f t="shared" si="299"/>
        <v>83.05</v>
      </c>
      <c r="P324">
        <f t="shared" si="300"/>
        <v>18.690000000000001</v>
      </c>
      <c r="Q324">
        <f t="shared" si="301"/>
        <v>2.2799999999999998</v>
      </c>
      <c r="R324">
        <f t="shared" si="302"/>
        <v>0.59</v>
      </c>
      <c r="S324">
        <f t="shared" si="303"/>
        <v>62.08</v>
      </c>
      <c r="T324">
        <f t="shared" si="304"/>
        <v>0</v>
      </c>
      <c r="U324">
        <f t="shared" si="305"/>
        <v>0.96</v>
      </c>
      <c r="V324">
        <f t="shared" si="306"/>
        <v>6.6000000000000008E-3</v>
      </c>
      <c r="W324">
        <f t="shared" si="307"/>
        <v>0</v>
      </c>
      <c r="X324">
        <f t="shared" si="308"/>
        <v>64.55</v>
      </c>
      <c r="Y324">
        <f t="shared" si="309"/>
        <v>37.6</v>
      </c>
      <c r="AA324">
        <v>16630606</v>
      </c>
      <c r="AB324">
        <f t="shared" si="310"/>
        <v>1164.9100000000001</v>
      </c>
      <c r="AC324">
        <f t="shared" si="311"/>
        <v>262.19</v>
      </c>
      <c r="AD324">
        <f t="shared" si="312"/>
        <v>32</v>
      </c>
      <c r="AE324">
        <f t="shared" si="313"/>
        <v>8.2899999999999991</v>
      </c>
      <c r="AF324">
        <f t="shared" si="314"/>
        <v>870.72</v>
      </c>
      <c r="AG324">
        <f t="shared" si="315"/>
        <v>0</v>
      </c>
      <c r="AH324">
        <f t="shared" si="316"/>
        <v>96</v>
      </c>
      <c r="AI324">
        <f t="shared" si="317"/>
        <v>0.66</v>
      </c>
      <c r="AJ324">
        <f t="shared" si="318"/>
        <v>0</v>
      </c>
      <c r="AK324">
        <v>1164.9100000000001</v>
      </c>
      <c r="AL324">
        <v>262.19</v>
      </c>
      <c r="AM324">
        <v>32</v>
      </c>
      <c r="AN324">
        <v>8.2899999999999991</v>
      </c>
      <c r="AO324">
        <v>870.72</v>
      </c>
      <c r="AP324">
        <v>0</v>
      </c>
      <c r="AQ324">
        <v>96</v>
      </c>
      <c r="AR324">
        <v>0.66</v>
      </c>
      <c r="AS324">
        <v>0</v>
      </c>
      <c r="AT324">
        <v>103</v>
      </c>
      <c r="AU324">
        <v>60</v>
      </c>
      <c r="AV324">
        <v>1</v>
      </c>
      <c r="AW324">
        <v>1</v>
      </c>
      <c r="AZ324">
        <v>7.13</v>
      </c>
      <c r="BA324">
        <v>7.13</v>
      </c>
      <c r="BB324">
        <v>7.13</v>
      </c>
      <c r="BC324">
        <v>7.13</v>
      </c>
      <c r="BD324" t="s">
        <v>6</v>
      </c>
      <c r="BE324" t="s">
        <v>6</v>
      </c>
      <c r="BF324" t="s">
        <v>6</v>
      </c>
      <c r="BG324" t="s">
        <v>6</v>
      </c>
      <c r="BH324">
        <v>0</v>
      </c>
      <c r="BI324">
        <v>1</v>
      </c>
      <c r="BJ324" t="s">
        <v>874</v>
      </c>
      <c r="BM324">
        <v>65007</v>
      </c>
      <c r="BN324">
        <v>0</v>
      </c>
      <c r="BO324" t="s">
        <v>6</v>
      </c>
      <c r="BP324">
        <v>0</v>
      </c>
      <c r="BQ324">
        <v>6</v>
      </c>
      <c r="BR324">
        <v>0</v>
      </c>
      <c r="BS324">
        <v>7.13</v>
      </c>
      <c r="BT324">
        <v>1</v>
      </c>
      <c r="BU324">
        <v>1</v>
      </c>
      <c r="BV324">
        <v>1</v>
      </c>
      <c r="BW324">
        <v>1</v>
      </c>
      <c r="BX324">
        <v>1</v>
      </c>
      <c r="BY324" t="s">
        <v>6</v>
      </c>
      <c r="BZ324">
        <v>103</v>
      </c>
      <c r="CA324">
        <v>60</v>
      </c>
      <c r="CE324">
        <v>0</v>
      </c>
      <c r="CF324">
        <v>0</v>
      </c>
      <c r="CG324">
        <v>0</v>
      </c>
      <c r="CM324">
        <v>0</v>
      </c>
      <c r="CN324" t="s">
        <v>6</v>
      </c>
      <c r="CO324">
        <v>0</v>
      </c>
      <c r="CP324">
        <f t="shared" si="319"/>
        <v>83.05</v>
      </c>
      <c r="CQ324">
        <f t="shared" si="320"/>
        <v>1869.4147</v>
      </c>
      <c r="CR324">
        <f t="shared" si="321"/>
        <v>228.16</v>
      </c>
      <c r="CS324">
        <f t="shared" si="322"/>
        <v>59.107699999999994</v>
      </c>
      <c r="CT324">
        <f t="shared" si="323"/>
        <v>6208.2336000000005</v>
      </c>
      <c r="CU324">
        <f t="shared" si="324"/>
        <v>0</v>
      </c>
      <c r="CV324">
        <f t="shared" si="325"/>
        <v>96</v>
      </c>
      <c r="CW324">
        <f t="shared" si="326"/>
        <v>0.66</v>
      </c>
      <c r="CX324">
        <f t="shared" si="327"/>
        <v>0</v>
      </c>
      <c r="CY324">
        <f t="shared" si="328"/>
        <v>64.5501</v>
      </c>
      <c r="CZ324">
        <f t="shared" si="329"/>
        <v>37.602000000000004</v>
      </c>
      <c r="DC324" t="s">
        <v>6</v>
      </c>
      <c r="DD324" t="s">
        <v>6</v>
      </c>
      <c r="DE324" t="s">
        <v>6</v>
      </c>
      <c r="DF324" t="s">
        <v>6</v>
      </c>
      <c r="DG324" t="s">
        <v>6</v>
      </c>
      <c r="DH324" t="s">
        <v>6</v>
      </c>
      <c r="DI324" t="s">
        <v>6</v>
      </c>
      <c r="DJ324" t="s">
        <v>6</v>
      </c>
      <c r="DK324" t="s">
        <v>6</v>
      </c>
      <c r="DL324" t="s">
        <v>6</v>
      </c>
      <c r="DM324" t="s">
        <v>6</v>
      </c>
      <c r="DN324">
        <v>0</v>
      </c>
      <c r="DO324">
        <v>0</v>
      </c>
      <c r="DP324">
        <v>1</v>
      </c>
      <c r="DQ324">
        <v>1</v>
      </c>
      <c r="DU324">
        <v>1013</v>
      </c>
      <c r="DV324" t="s">
        <v>27</v>
      </c>
      <c r="DW324" t="s">
        <v>27</v>
      </c>
      <c r="DX324">
        <v>1</v>
      </c>
      <c r="EE324">
        <v>16609196</v>
      </c>
      <c r="EF324">
        <v>6</v>
      </c>
      <c r="EG324" t="s">
        <v>39</v>
      </c>
      <c r="EH324">
        <v>0</v>
      </c>
      <c r="EI324" t="s">
        <v>6</v>
      </c>
      <c r="EJ324">
        <v>1</v>
      </c>
      <c r="EK324">
        <v>65007</v>
      </c>
      <c r="EL324" t="s">
        <v>761</v>
      </c>
      <c r="EM324" t="s">
        <v>714</v>
      </c>
      <c r="EO324" t="s">
        <v>6</v>
      </c>
      <c r="EQ324">
        <v>131072</v>
      </c>
      <c r="ER324">
        <v>1164.9100000000001</v>
      </c>
      <c r="ES324">
        <v>262.19</v>
      </c>
      <c r="ET324">
        <v>32</v>
      </c>
      <c r="EU324">
        <v>8.2899999999999991</v>
      </c>
      <c r="EV324">
        <v>870.72</v>
      </c>
      <c r="EW324">
        <v>96</v>
      </c>
      <c r="EX324">
        <v>0.66</v>
      </c>
      <c r="EY324">
        <v>0</v>
      </c>
      <c r="FQ324">
        <v>0</v>
      </c>
      <c r="FR324">
        <f t="shared" si="330"/>
        <v>0</v>
      </c>
      <c r="FS324">
        <v>0</v>
      </c>
      <c r="FX324">
        <v>103</v>
      </c>
      <c r="FY324">
        <v>60</v>
      </c>
      <c r="GA324" t="s">
        <v>6</v>
      </c>
      <c r="GD324">
        <v>0</v>
      </c>
      <c r="GF324">
        <v>-2020630599</v>
      </c>
      <c r="GG324">
        <v>1</v>
      </c>
      <c r="GH324">
        <v>1</v>
      </c>
      <c r="GI324">
        <v>4</v>
      </c>
      <c r="GJ324">
        <v>0</v>
      </c>
      <c r="GK324">
        <f>ROUND(R324*(R12)/100,2)</f>
        <v>0</v>
      </c>
      <c r="GL324">
        <f t="shared" si="331"/>
        <v>0</v>
      </c>
      <c r="GM324">
        <f t="shared" si="332"/>
        <v>185.2</v>
      </c>
      <c r="GN324">
        <f t="shared" si="333"/>
        <v>185.2</v>
      </c>
      <c r="GO324">
        <f t="shared" si="334"/>
        <v>0</v>
      </c>
      <c r="GP324">
        <f t="shared" si="335"/>
        <v>0</v>
      </c>
      <c r="GR324">
        <v>0</v>
      </c>
      <c r="GS324">
        <v>3</v>
      </c>
      <c r="GT324">
        <v>0</v>
      </c>
      <c r="GU324" t="s">
        <v>6</v>
      </c>
      <c r="GV324">
        <f t="shared" si="336"/>
        <v>0</v>
      </c>
      <c r="GW324">
        <v>1</v>
      </c>
      <c r="GX324">
        <f t="shared" si="337"/>
        <v>0</v>
      </c>
      <c r="HA324">
        <v>0</v>
      </c>
      <c r="HB324">
        <v>0</v>
      </c>
      <c r="HC324">
        <f t="shared" si="338"/>
        <v>0</v>
      </c>
      <c r="IK324">
        <v>0</v>
      </c>
    </row>
    <row r="325" spans="1:245" x14ac:dyDescent="0.2">
      <c r="A325">
        <v>18</v>
      </c>
      <c r="B325">
        <v>1</v>
      </c>
      <c r="C325">
        <v>661</v>
      </c>
      <c r="E325" t="s">
        <v>875</v>
      </c>
      <c r="F325" t="s">
        <v>876</v>
      </c>
      <c r="G325" t="s">
        <v>877</v>
      </c>
      <c r="H325" t="s">
        <v>132</v>
      </c>
      <c r="I325">
        <f>I324*J325</f>
        <v>1</v>
      </c>
      <c r="J325">
        <v>100</v>
      </c>
      <c r="O325">
        <f t="shared" si="299"/>
        <v>863.51</v>
      </c>
      <c r="P325">
        <f t="shared" si="300"/>
        <v>863.51</v>
      </c>
      <c r="Q325">
        <f t="shared" si="301"/>
        <v>0</v>
      </c>
      <c r="R325">
        <f t="shared" si="302"/>
        <v>0</v>
      </c>
      <c r="S325">
        <f t="shared" si="303"/>
        <v>0</v>
      </c>
      <c r="T325">
        <f t="shared" si="304"/>
        <v>0</v>
      </c>
      <c r="U325">
        <f t="shared" si="305"/>
        <v>0</v>
      </c>
      <c r="V325">
        <f t="shared" si="306"/>
        <v>0</v>
      </c>
      <c r="W325">
        <f t="shared" si="307"/>
        <v>0</v>
      </c>
      <c r="X325">
        <f t="shared" si="308"/>
        <v>0</v>
      </c>
      <c r="Y325">
        <f t="shared" si="309"/>
        <v>0</v>
      </c>
      <c r="AA325">
        <v>16630606</v>
      </c>
      <c r="AB325">
        <f t="shared" si="310"/>
        <v>121.11</v>
      </c>
      <c r="AC325">
        <f t="shared" si="311"/>
        <v>121.11</v>
      </c>
      <c r="AD325">
        <f t="shared" si="312"/>
        <v>0</v>
      </c>
      <c r="AE325">
        <f t="shared" si="313"/>
        <v>0</v>
      </c>
      <c r="AF325">
        <f t="shared" si="314"/>
        <v>0</v>
      </c>
      <c r="AG325">
        <f t="shared" si="315"/>
        <v>0</v>
      </c>
      <c r="AH325">
        <f t="shared" si="316"/>
        <v>0</v>
      </c>
      <c r="AI325">
        <f t="shared" si="317"/>
        <v>0</v>
      </c>
      <c r="AJ325">
        <f t="shared" si="318"/>
        <v>0</v>
      </c>
      <c r="AK325">
        <v>121.11</v>
      </c>
      <c r="AL325">
        <v>121.11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103</v>
      </c>
      <c r="AU325">
        <v>60</v>
      </c>
      <c r="AV325">
        <v>1</v>
      </c>
      <c r="AW325">
        <v>1</v>
      </c>
      <c r="AZ325">
        <v>7.13</v>
      </c>
      <c r="BA325">
        <v>1</v>
      </c>
      <c r="BB325">
        <v>1</v>
      </c>
      <c r="BC325">
        <v>7.13</v>
      </c>
      <c r="BD325" t="s">
        <v>6</v>
      </c>
      <c r="BE325" t="s">
        <v>6</v>
      </c>
      <c r="BF325" t="s">
        <v>6</v>
      </c>
      <c r="BG325" t="s">
        <v>6</v>
      </c>
      <c r="BH325">
        <v>3</v>
      </c>
      <c r="BI325">
        <v>1</v>
      </c>
      <c r="BJ325" t="s">
        <v>878</v>
      </c>
      <c r="BM325">
        <v>65007</v>
      </c>
      <c r="BN325">
        <v>0</v>
      </c>
      <c r="BO325" t="s">
        <v>6</v>
      </c>
      <c r="BP325">
        <v>0</v>
      </c>
      <c r="BQ325">
        <v>6</v>
      </c>
      <c r="BR325">
        <v>0</v>
      </c>
      <c r="BS325">
        <v>1</v>
      </c>
      <c r="BT325">
        <v>1</v>
      </c>
      <c r="BU325">
        <v>1</v>
      </c>
      <c r="BV325">
        <v>1</v>
      </c>
      <c r="BW325">
        <v>1</v>
      </c>
      <c r="BX325">
        <v>1</v>
      </c>
      <c r="BY325" t="s">
        <v>6</v>
      </c>
      <c r="BZ325">
        <v>103</v>
      </c>
      <c r="CA325">
        <v>60</v>
      </c>
      <c r="CE325">
        <v>0</v>
      </c>
      <c r="CF325">
        <v>0</v>
      </c>
      <c r="CG325">
        <v>0</v>
      </c>
      <c r="CM325">
        <v>0</v>
      </c>
      <c r="CN325" t="s">
        <v>6</v>
      </c>
      <c r="CO325">
        <v>0</v>
      </c>
      <c r="CP325">
        <f t="shared" si="319"/>
        <v>863.51</v>
      </c>
      <c r="CQ325">
        <f t="shared" si="320"/>
        <v>863.51429999999993</v>
      </c>
      <c r="CR325">
        <f t="shared" si="321"/>
        <v>0</v>
      </c>
      <c r="CS325">
        <f t="shared" si="322"/>
        <v>0</v>
      </c>
      <c r="CT325">
        <f t="shared" si="323"/>
        <v>0</v>
      </c>
      <c r="CU325">
        <f t="shared" si="324"/>
        <v>0</v>
      </c>
      <c r="CV325">
        <f t="shared" si="325"/>
        <v>0</v>
      </c>
      <c r="CW325">
        <f t="shared" si="326"/>
        <v>0</v>
      </c>
      <c r="CX325">
        <f t="shared" si="327"/>
        <v>0</v>
      </c>
      <c r="CY325">
        <f t="shared" si="328"/>
        <v>0</v>
      </c>
      <c r="CZ325">
        <f t="shared" si="329"/>
        <v>0</v>
      </c>
      <c r="DC325" t="s">
        <v>6</v>
      </c>
      <c r="DD325" t="s">
        <v>6</v>
      </c>
      <c r="DE325" t="s">
        <v>6</v>
      </c>
      <c r="DF325" t="s">
        <v>6</v>
      </c>
      <c r="DG325" t="s">
        <v>6</v>
      </c>
      <c r="DH325" t="s">
        <v>6</v>
      </c>
      <c r="DI325" t="s">
        <v>6</v>
      </c>
      <c r="DJ325" t="s">
        <v>6</v>
      </c>
      <c r="DK325" t="s">
        <v>6</v>
      </c>
      <c r="DL325" t="s">
        <v>6</v>
      </c>
      <c r="DM325" t="s">
        <v>6</v>
      </c>
      <c r="DN325">
        <v>0</v>
      </c>
      <c r="DO325">
        <v>0</v>
      </c>
      <c r="DP325">
        <v>1</v>
      </c>
      <c r="DQ325">
        <v>1</v>
      </c>
      <c r="DU325">
        <v>1010</v>
      </c>
      <c r="DV325" t="s">
        <v>132</v>
      </c>
      <c r="DW325" t="s">
        <v>132</v>
      </c>
      <c r="DX325">
        <v>1</v>
      </c>
      <c r="EE325">
        <v>16609196</v>
      </c>
      <c r="EF325">
        <v>6</v>
      </c>
      <c r="EG325" t="s">
        <v>39</v>
      </c>
      <c r="EH325">
        <v>0</v>
      </c>
      <c r="EI325" t="s">
        <v>6</v>
      </c>
      <c r="EJ325">
        <v>1</v>
      </c>
      <c r="EK325">
        <v>65007</v>
      </c>
      <c r="EL325" t="s">
        <v>761</v>
      </c>
      <c r="EM325" t="s">
        <v>714</v>
      </c>
      <c r="EO325" t="s">
        <v>6</v>
      </c>
      <c r="EQ325">
        <v>0</v>
      </c>
      <c r="ER325">
        <v>121.11</v>
      </c>
      <c r="ES325">
        <v>121.11</v>
      </c>
      <c r="ET325">
        <v>0</v>
      </c>
      <c r="EU325">
        <v>0</v>
      </c>
      <c r="EV325">
        <v>0</v>
      </c>
      <c r="EW325">
        <v>0</v>
      </c>
      <c r="EX325">
        <v>0</v>
      </c>
      <c r="FQ325">
        <v>0</v>
      </c>
      <c r="FR325">
        <f t="shared" si="330"/>
        <v>0</v>
      </c>
      <c r="FS325">
        <v>0</v>
      </c>
      <c r="FX325">
        <v>103</v>
      </c>
      <c r="FY325">
        <v>60</v>
      </c>
      <c r="GA325" t="s">
        <v>6</v>
      </c>
      <c r="GD325">
        <v>0</v>
      </c>
      <c r="GF325">
        <v>-2058586104</v>
      </c>
      <c r="GG325">
        <v>1</v>
      </c>
      <c r="GH325">
        <v>1</v>
      </c>
      <c r="GI325">
        <v>4</v>
      </c>
      <c r="GJ325">
        <v>0</v>
      </c>
      <c r="GK325">
        <f>ROUND(R325*(R12)/100,2)</f>
        <v>0</v>
      </c>
      <c r="GL325">
        <f t="shared" si="331"/>
        <v>0</v>
      </c>
      <c r="GM325">
        <f t="shared" si="332"/>
        <v>863.51</v>
      </c>
      <c r="GN325">
        <f t="shared" si="333"/>
        <v>863.51</v>
      </c>
      <c r="GO325">
        <f t="shared" si="334"/>
        <v>0</v>
      </c>
      <c r="GP325">
        <f t="shared" si="335"/>
        <v>0</v>
      </c>
      <c r="GR325">
        <v>0</v>
      </c>
      <c r="GS325">
        <v>3</v>
      </c>
      <c r="GT325">
        <v>0</v>
      </c>
      <c r="GU325" t="s">
        <v>6</v>
      </c>
      <c r="GV325">
        <f t="shared" si="336"/>
        <v>0</v>
      </c>
      <c r="GW325">
        <v>1</v>
      </c>
      <c r="GX325">
        <f t="shared" si="337"/>
        <v>0</v>
      </c>
      <c r="HA325">
        <v>0</v>
      </c>
      <c r="HB325">
        <v>0</v>
      </c>
      <c r="HC325">
        <f t="shared" si="338"/>
        <v>0</v>
      </c>
      <c r="IK325">
        <v>0</v>
      </c>
    </row>
    <row r="326" spans="1:245" x14ac:dyDescent="0.2">
      <c r="A326">
        <v>17</v>
      </c>
      <c r="B326">
        <v>1</v>
      </c>
      <c r="C326">
        <f>ROW(SmtRes!A664)</f>
        <v>664</v>
      </c>
      <c r="D326">
        <f>ROW(EtalonRes!A655)</f>
        <v>655</v>
      </c>
      <c r="E326" t="s">
        <v>879</v>
      </c>
      <c r="F326" t="s">
        <v>880</v>
      </c>
      <c r="G326" t="s">
        <v>881</v>
      </c>
      <c r="H326" t="s">
        <v>27</v>
      </c>
      <c r="I326">
        <v>0.01</v>
      </c>
      <c r="J326">
        <v>0</v>
      </c>
      <c r="O326">
        <f t="shared" si="299"/>
        <v>184.06</v>
      </c>
      <c r="P326">
        <f t="shared" si="300"/>
        <v>0</v>
      </c>
      <c r="Q326">
        <f t="shared" si="301"/>
        <v>5.86</v>
      </c>
      <c r="R326">
        <f t="shared" si="302"/>
        <v>2.5299999999999998</v>
      </c>
      <c r="S326">
        <f t="shared" si="303"/>
        <v>178.2</v>
      </c>
      <c r="T326">
        <f t="shared" si="304"/>
        <v>0</v>
      </c>
      <c r="U326">
        <f t="shared" si="305"/>
        <v>2.93</v>
      </c>
      <c r="V326">
        <f t="shared" si="306"/>
        <v>2.63E-2</v>
      </c>
      <c r="W326">
        <f t="shared" si="307"/>
        <v>0</v>
      </c>
      <c r="X326">
        <f t="shared" si="308"/>
        <v>133.74</v>
      </c>
      <c r="Y326">
        <f t="shared" si="309"/>
        <v>90.37</v>
      </c>
      <c r="AA326">
        <v>16630606</v>
      </c>
      <c r="AB326">
        <f t="shared" si="310"/>
        <v>2581.5</v>
      </c>
      <c r="AC326">
        <f t="shared" si="311"/>
        <v>0</v>
      </c>
      <c r="AD326">
        <f t="shared" si="312"/>
        <v>82.21</v>
      </c>
      <c r="AE326">
        <f t="shared" si="313"/>
        <v>35.51</v>
      </c>
      <c r="AF326">
        <f t="shared" si="314"/>
        <v>2499.29</v>
      </c>
      <c r="AG326">
        <f t="shared" si="315"/>
        <v>0</v>
      </c>
      <c r="AH326">
        <f t="shared" si="316"/>
        <v>293</v>
      </c>
      <c r="AI326">
        <f t="shared" si="317"/>
        <v>2.63</v>
      </c>
      <c r="AJ326">
        <f t="shared" si="318"/>
        <v>0</v>
      </c>
      <c r="AK326">
        <v>2581.5</v>
      </c>
      <c r="AL326">
        <v>0</v>
      </c>
      <c r="AM326">
        <v>82.21</v>
      </c>
      <c r="AN326">
        <v>35.51</v>
      </c>
      <c r="AO326">
        <v>2499.29</v>
      </c>
      <c r="AP326">
        <v>0</v>
      </c>
      <c r="AQ326">
        <v>293</v>
      </c>
      <c r="AR326">
        <v>2.63</v>
      </c>
      <c r="AS326">
        <v>0</v>
      </c>
      <c r="AT326">
        <v>74</v>
      </c>
      <c r="AU326">
        <v>50</v>
      </c>
      <c r="AV326">
        <v>1</v>
      </c>
      <c r="AW326">
        <v>1</v>
      </c>
      <c r="AZ326">
        <v>7.13</v>
      </c>
      <c r="BA326">
        <v>7.13</v>
      </c>
      <c r="BB326">
        <v>7.13</v>
      </c>
      <c r="BC326">
        <v>7.13</v>
      </c>
      <c r="BD326" t="s">
        <v>6</v>
      </c>
      <c r="BE326" t="s">
        <v>6</v>
      </c>
      <c r="BF326" t="s">
        <v>6</v>
      </c>
      <c r="BG326" t="s">
        <v>6</v>
      </c>
      <c r="BH326">
        <v>0</v>
      </c>
      <c r="BI326">
        <v>1</v>
      </c>
      <c r="BJ326" t="s">
        <v>882</v>
      </c>
      <c r="BM326">
        <v>65001</v>
      </c>
      <c r="BN326">
        <v>0</v>
      </c>
      <c r="BO326" t="s">
        <v>6</v>
      </c>
      <c r="BP326">
        <v>0</v>
      </c>
      <c r="BQ326">
        <v>6</v>
      </c>
      <c r="BR326">
        <v>0</v>
      </c>
      <c r="BS326">
        <v>7.13</v>
      </c>
      <c r="BT326">
        <v>1</v>
      </c>
      <c r="BU326">
        <v>1</v>
      </c>
      <c r="BV326">
        <v>1</v>
      </c>
      <c r="BW326">
        <v>1</v>
      </c>
      <c r="BX326">
        <v>1</v>
      </c>
      <c r="BY326" t="s">
        <v>6</v>
      </c>
      <c r="BZ326">
        <v>74</v>
      </c>
      <c r="CA326">
        <v>50</v>
      </c>
      <c r="CE326">
        <v>0</v>
      </c>
      <c r="CF326">
        <v>0</v>
      </c>
      <c r="CG326">
        <v>0</v>
      </c>
      <c r="CM326">
        <v>0</v>
      </c>
      <c r="CN326" t="s">
        <v>6</v>
      </c>
      <c r="CO326">
        <v>0</v>
      </c>
      <c r="CP326">
        <f t="shared" si="319"/>
        <v>184.06</v>
      </c>
      <c r="CQ326">
        <f t="shared" si="320"/>
        <v>0</v>
      </c>
      <c r="CR326">
        <f t="shared" si="321"/>
        <v>586.15729999999996</v>
      </c>
      <c r="CS326">
        <f t="shared" si="322"/>
        <v>253.18629999999999</v>
      </c>
      <c r="CT326">
        <f t="shared" si="323"/>
        <v>17819.937699999999</v>
      </c>
      <c r="CU326">
        <f t="shared" si="324"/>
        <v>0</v>
      </c>
      <c r="CV326">
        <f t="shared" si="325"/>
        <v>293</v>
      </c>
      <c r="CW326">
        <f t="shared" si="326"/>
        <v>2.63</v>
      </c>
      <c r="CX326">
        <f t="shared" si="327"/>
        <v>0</v>
      </c>
      <c r="CY326">
        <f t="shared" si="328"/>
        <v>133.74019999999999</v>
      </c>
      <c r="CZ326">
        <f t="shared" si="329"/>
        <v>90.364999999999995</v>
      </c>
      <c r="DC326" t="s">
        <v>6</v>
      </c>
      <c r="DD326" t="s">
        <v>6</v>
      </c>
      <c r="DE326" t="s">
        <v>6</v>
      </c>
      <c r="DF326" t="s">
        <v>6</v>
      </c>
      <c r="DG326" t="s">
        <v>6</v>
      </c>
      <c r="DH326" t="s">
        <v>6</v>
      </c>
      <c r="DI326" t="s">
        <v>6</v>
      </c>
      <c r="DJ326" t="s">
        <v>6</v>
      </c>
      <c r="DK326" t="s">
        <v>6</v>
      </c>
      <c r="DL326" t="s">
        <v>6</v>
      </c>
      <c r="DM326" t="s">
        <v>6</v>
      </c>
      <c r="DN326">
        <v>0</v>
      </c>
      <c r="DO326">
        <v>0</v>
      </c>
      <c r="DP326">
        <v>1</v>
      </c>
      <c r="DQ326">
        <v>1</v>
      </c>
      <c r="DU326">
        <v>1013</v>
      </c>
      <c r="DV326" t="s">
        <v>27</v>
      </c>
      <c r="DW326" t="s">
        <v>27</v>
      </c>
      <c r="DX326">
        <v>1</v>
      </c>
      <c r="EE326">
        <v>16609190</v>
      </c>
      <c r="EF326">
        <v>6</v>
      </c>
      <c r="EG326" t="s">
        <v>39</v>
      </c>
      <c r="EH326">
        <v>0</v>
      </c>
      <c r="EI326" t="s">
        <v>6</v>
      </c>
      <c r="EJ326">
        <v>1</v>
      </c>
      <c r="EK326">
        <v>65001</v>
      </c>
      <c r="EL326" t="s">
        <v>713</v>
      </c>
      <c r="EM326" t="s">
        <v>714</v>
      </c>
      <c r="EO326" t="s">
        <v>6</v>
      </c>
      <c r="EQ326">
        <v>131072</v>
      </c>
      <c r="ER326">
        <v>2581.5</v>
      </c>
      <c r="ES326">
        <v>0</v>
      </c>
      <c r="ET326">
        <v>82.21</v>
      </c>
      <c r="EU326">
        <v>35.51</v>
      </c>
      <c r="EV326">
        <v>2499.29</v>
      </c>
      <c r="EW326">
        <v>293</v>
      </c>
      <c r="EX326">
        <v>2.63</v>
      </c>
      <c r="EY326">
        <v>0</v>
      </c>
      <c r="FQ326">
        <v>0</v>
      </c>
      <c r="FR326">
        <f t="shared" si="330"/>
        <v>0</v>
      </c>
      <c r="FS326">
        <v>0</v>
      </c>
      <c r="FX326">
        <v>74</v>
      </c>
      <c r="FY326">
        <v>50</v>
      </c>
      <c r="GA326" t="s">
        <v>6</v>
      </c>
      <c r="GD326">
        <v>0</v>
      </c>
      <c r="GF326">
        <v>1629054882</v>
      </c>
      <c r="GG326">
        <v>1</v>
      </c>
      <c r="GH326">
        <v>1</v>
      </c>
      <c r="GI326">
        <v>4</v>
      </c>
      <c r="GJ326">
        <v>0</v>
      </c>
      <c r="GK326">
        <f>ROUND(R326*(R12)/100,2)</f>
        <v>0</v>
      </c>
      <c r="GL326">
        <f t="shared" si="331"/>
        <v>0</v>
      </c>
      <c r="GM326">
        <f t="shared" si="332"/>
        <v>408.17</v>
      </c>
      <c r="GN326">
        <f t="shared" si="333"/>
        <v>408.17</v>
      </c>
      <c r="GO326">
        <f t="shared" si="334"/>
        <v>0</v>
      </c>
      <c r="GP326">
        <f t="shared" si="335"/>
        <v>0</v>
      </c>
      <c r="GR326">
        <v>0</v>
      </c>
      <c r="GS326">
        <v>3</v>
      </c>
      <c r="GT326">
        <v>0</v>
      </c>
      <c r="GU326" t="s">
        <v>6</v>
      </c>
      <c r="GV326">
        <f t="shared" si="336"/>
        <v>0</v>
      </c>
      <c r="GW326">
        <v>1</v>
      </c>
      <c r="GX326">
        <f t="shared" si="337"/>
        <v>0</v>
      </c>
      <c r="HA326">
        <v>0</v>
      </c>
      <c r="HB326">
        <v>0</v>
      </c>
      <c r="HC326">
        <f t="shared" si="338"/>
        <v>0</v>
      </c>
      <c r="IK326">
        <v>0</v>
      </c>
    </row>
    <row r="327" spans="1:245" x14ac:dyDescent="0.2">
      <c r="A327">
        <v>17</v>
      </c>
      <c r="B327">
        <v>1</v>
      </c>
      <c r="C327">
        <f>ROW(SmtRes!A667)</f>
        <v>667</v>
      </c>
      <c r="D327">
        <f>ROW(EtalonRes!A659)</f>
        <v>659</v>
      </c>
      <c r="E327" t="s">
        <v>883</v>
      </c>
      <c r="F327" t="s">
        <v>884</v>
      </c>
      <c r="G327" t="s">
        <v>885</v>
      </c>
      <c r="H327" t="s">
        <v>27</v>
      </c>
      <c r="I327">
        <f>ROUND(5/100,9)</f>
        <v>0.05</v>
      </c>
      <c r="J327">
        <v>0</v>
      </c>
      <c r="O327">
        <f t="shared" si="299"/>
        <v>320.81</v>
      </c>
      <c r="P327">
        <f t="shared" si="300"/>
        <v>0</v>
      </c>
      <c r="Q327">
        <f t="shared" si="301"/>
        <v>8.81</v>
      </c>
      <c r="R327">
        <f t="shared" si="302"/>
        <v>3.8</v>
      </c>
      <c r="S327">
        <f t="shared" si="303"/>
        <v>312</v>
      </c>
      <c r="T327">
        <f t="shared" si="304"/>
        <v>0</v>
      </c>
      <c r="U327">
        <f t="shared" si="305"/>
        <v>5.13</v>
      </c>
      <c r="V327">
        <f t="shared" si="306"/>
        <v>3.9500000000000007E-2</v>
      </c>
      <c r="W327">
        <f t="shared" si="307"/>
        <v>0</v>
      </c>
      <c r="X327">
        <f t="shared" si="308"/>
        <v>233.69</v>
      </c>
      <c r="Y327">
        <f t="shared" si="309"/>
        <v>157.9</v>
      </c>
      <c r="AA327">
        <v>16630606</v>
      </c>
      <c r="AB327">
        <f t="shared" si="310"/>
        <v>899.88</v>
      </c>
      <c r="AC327">
        <f t="shared" si="311"/>
        <v>0</v>
      </c>
      <c r="AD327">
        <f t="shared" si="312"/>
        <v>24.7</v>
      </c>
      <c r="AE327">
        <f t="shared" si="313"/>
        <v>10.67</v>
      </c>
      <c r="AF327">
        <f t="shared" si="314"/>
        <v>875.18</v>
      </c>
      <c r="AG327">
        <f t="shared" si="315"/>
        <v>0</v>
      </c>
      <c r="AH327">
        <f t="shared" si="316"/>
        <v>102.6</v>
      </c>
      <c r="AI327">
        <f t="shared" si="317"/>
        <v>0.79</v>
      </c>
      <c r="AJ327">
        <f t="shared" si="318"/>
        <v>0</v>
      </c>
      <c r="AK327">
        <v>899.88</v>
      </c>
      <c r="AL327">
        <v>0</v>
      </c>
      <c r="AM327">
        <v>24.7</v>
      </c>
      <c r="AN327">
        <v>10.67</v>
      </c>
      <c r="AO327">
        <v>875.18</v>
      </c>
      <c r="AP327">
        <v>0</v>
      </c>
      <c r="AQ327">
        <v>102.6</v>
      </c>
      <c r="AR327">
        <v>0.79</v>
      </c>
      <c r="AS327">
        <v>0</v>
      </c>
      <c r="AT327">
        <v>74</v>
      </c>
      <c r="AU327">
        <v>50</v>
      </c>
      <c r="AV327">
        <v>1</v>
      </c>
      <c r="AW327">
        <v>1</v>
      </c>
      <c r="AZ327">
        <v>7.13</v>
      </c>
      <c r="BA327">
        <v>7.13</v>
      </c>
      <c r="BB327">
        <v>7.13</v>
      </c>
      <c r="BC327">
        <v>7.13</v>
      </c>
      <c r="BD327" t="s">
        <v>6</v>
      </c>
      <c r="BE327" t="s">
        <v>6</v>
      </c>
      <c r="BF327" t="s">
        <v>6</v>
      </c>
      <c r="BG327" t="s">
        <v>6</v>
      </c>
      <c r="BH327">
        <v>0</v>
      </c>
      <c r="BI327">
        <v>1</v>
      </c>
      <c r="BJ327" t="s">
        <v>886</v>
      </c>
      <c r="BM327">
        <v>65001</v>
      </c>
      <c r="BN327">
        <v>0</v>
      </c>
      <c r="BO327" t="s">
        <v>6</v>
      </c>
      <c r="BP327">
        <v>0</v>
      </c>
      <c r="BQ327">
        <v>6</v>
      </c>
      <c r="BR327">
        <v>0</v>
      </c>
      <c r="BS327">
        <v>7.13</v>
      </c>
      <c r="BT327">
        <v>1</v>
      </c>
      <c r="BU327">
        <v>1</v>
      </c>
      <c r="BV327">
        <v>1</v>
      </c>
      <c r="BW327">
        <v>1</v>
      </c>
      <c r="BX327">
        <v>1</v>
      </c>
      <c r="BY327" t="s">
        <v>6</v>
      </c>
      <c r="BZ327">
        <v>74</v>
      </c>
      <c r="CA327">
        <v>50</v>
      </c>
      <c r="CE327">
        <v>0</v>
      </c>
      <c r="CF327">
        <v>0</v>
      </c>
      <c r="CG327">
        <v>0</v>
      </c>
      <c r="CM327">
        <v>0</v>
      </c>
      <c r="CN327" t="s">
        <v>6</v>
      </c>
      <c r="CO327">
        <v>0</v>
      </c>
      <c r="CP327">
        <f t="shared" si="319"/>
        <v>320.81</v>
      </c>
      <c r="CQ327">
        <f t="shared" si="320"/>
        <v>0</v>
      </c>
      <c r="CR327">
        <f t="shared" si="321"/>
        <v>176.11099999999999</v>
      </c>
      <c r="CS327">
        <f t="shared" si="322"/>
        <v>76.077100000000002</v>
      </c>
      <c r="CT327">
        <f t="shared" si="323"/>
        <v>6240.0333999999993</v>
      </c>
      <c r="CU327">
        <f t="shared" si="324"/>
        <v>0</v>
      </c>
      <c r="CV327">
        <f t="shared" si="325"/>
        <v>102.6</v>
      </c>
      <c r="CW327">
        <f t="shared" si="326"/>
        <v>0.79</v>
      </c>
      <c r="CX327">
        <f t="shared" si="327"/>
        <v>0</v>
      </c>
      <c r="CY327">
        <f t="shared" si="328"/>
        <v>233.69200000000001</v>
      </c>
      <c r="CZ327">
        <f t="shared" si="329"/>
        <v>157.9</v>
      </c>
      <c r="DC327" t="s">
        <v>6</v>
      </c>
      <c r="DD327" t="s">
        <v>6</v>
      </c>
      <c r="DE327" t="s">
        <v>6</v>
      </c>
      <c r="DF327" t="s">
        <v>6</v>
      </c>
      <c r="DG327" t="s">
        <v>6</v>
      </c>
      <c r="DH327" t="s">
        <v>6</v>
      </c>
      <c r="DI327" t="s">
        <v>6</v>
      </c>
      <c r="DJ327" t="s">
        <v>6</v>
      </c>
      <c r="DK327" t="s">
        <v>6</v>
      </c>
      <c r="DL327" t="s">
        <v>6</v>
      </c>
      <c r="DM327" t="s">
        <v>6</v>
      </c>
      <c r="DN327">
        <v>0</v>
      </c>
      <c r="DO327">
        <v>0</v>
      </c>
      <c r="DP327">
        <v>1</v>
      </c>
      <c r="DQ327">
        <v>1</v>
      </c>
      <c r="DU327">
        <v>1013</v>
      </c>
      <c r="DV327" t="s">
        <v>27</v>
      </c>
      <c r="DW327" t="s">
        <v>27</v>
      </c>
      <c r="DX327">
        <v>1</v>
      </c>
      <c r="EE327">
        <v>16609190</v>
      </c>
      <c r="EF327">
        <v>6</v>
      </c>
      <c r="EG327" t="s">
        <v>39</v>
      </c>
      <c r="EH327">
        <v>0</v>
      </c>
      <c r="EI327" t="s">
        <v>6</v>
      </c>
      <c r="EJ327">
        <v>1</v>
      </c>
      <c r="EK327">
        <v>65001</v>
      </c>
      <c r="EL327" t="s">
        <v>713</v>
      </c>
      <c r="EM327" t="s">
        <v>714</v>
      </c>
      <c r="EO327" t="s">
        <v>6</v>
      </c>
      <c r="EQ327">
        <v>131072</v>
      </c>
      <c r="ER327">
        <v>899.88</v>
      </c>
      <c r="ES327">
        <v>0</v>
      </c>
      <c r="ET327">
        <v>24.7</v>
      </c>
      <c r="EU327">
        <v>10.67</v>
      </c>
      <c r="EV327">
        <v>875.18</v>
      </c>
      <c r="EW327">
        <v>102.6</v>
      </c>
      <c r="EX327">
        <v>0.79</v>
      </c>
      <c r="EY327">
        <v>0</v>
      </c>
      <c r="FQ327">
        <v>0</v>
      </c>
      <c r="FR327">
        <f t="shared" si="330"/>
        <v>0</v>
      </c>
      <c r="FS327">
        <v>0</v>
      </c>
      <c r="FX327">
        <v>74</v>
      </c>
      <c r="FY327">
        <v>50</v>
      </c>
      <c r="GA327" t="s">
        <v>6</v>
      </c>
      <c r="GD327">
        <v>0</v>
      </c>
      <c r="GF327">
        <v>484186267</v>
      </c>
      <c r="GG327">
        <v>1</v>
      </c>
      <c r="GH327">
        <v>1</v>
      </c>
      <c r="GI327">
        <v>4</v>
      </c>
      <c r="GJ327">
        <v>0</v>
      </c>
      <c r="GK327">
        <f>ROUND(R327*(R12)/100,2)</f>
        <v>0</v>
      </c>
      <c r="GL327">
        <f t="shared" si="331"/>
        <v>0</v>
      </c>
      <c r="GM327">
        <f t="shared" si="332"/>
        <v>712.4</v>
      </c>
      <c r="GN327">
        <f t="shared" si="333"/>
        <v>712.4</v>
      </c>
      <c r="GO327">
        <f t="shared" si="334"/>
        <v>0</v>
      </c>
      <c r="GP327">
        <f t="shared" si="335"/>
        <v>0</v>
      </c>
      <c r="GR327">
        <v>0</v>
      </c>
      <c r="GS327">
        <v>3</v>
      </c>
      <c r="GT327">
        <v>0</v>
      </c>
      <c r="GU327" t="s">
        <v>6</v>
      </c>
      <c r="GV327">
        <f t="shared" si="336"/>
        <v>0</v>
      </c>
      <c r="GW327">
        <v>1</v>
      </c>
      <c r="GX327">
        <f t="shared" si="337"/>
        <v>0</v>
      </c>
      <c r="HA327">
        <v>0</v>
      </c>
      <c r="HB327">
        <v>0</v>
      </c>
      <c r="HC327">
        <f t="shared" si="338"/>
        <v>0</v>
      </c>
      <c r="IK327">
        <v>0</v>
      </c>
    </row>
    <row r="328" spans="1:245" x14ac:dyDescent="0.2">
      <c r="A328">
        <v>17</v>
      </c>
      <c r="B328">
        <v>1</v>
      </c>
      <c r="C328">
        <f>ROW(SmtRes!A670)</f>
        <v>670</v>
      </c>
      <c r="D328">
        <f>ROW(EtalonRes!A663)</f>
        <v>663</v>
      </c>
      <c r="E328" t="s">
        <v>887</v>
      </c>
      <c r="F328" t="s">
        <v>888</v>
      </c>
      <c r="G328" t="s">
        <v>889</v>
      </c>
      <c r="H328" t="s">
        <v>27</v>
      </c>
      <c r="I328">
        <f>ROUND(3/100,9)</f>
        <v>0.03</v>
      </c>
      <c r="J328">
        <v>0</v>
      </c>
      <c r="O328">
        <f t="shared" si="299"/>
        <v>95.34</v>
      </c>
      <c r="P328">
        <f t="shared" si="300"/>
        <v>0</v>
      </c>
      <c r="Q328">
        <f t="shared" si="301"/>
        <v>1.74</v>
      </c>
      <c r="R328">
        <f t="shared" si="302"/>
        <v>0.75</v>
      </c>
      <c r="S328">
        <f t="shared" si="303"/>
        <v>93.6</v>
      </c>
      <c r="T328">
        <f t="shared" si="304"/>
        <v>0</v>
      </c>
      <c r="U328">
        <f t="shared" si="305"/>
        <v>1.5389999999999999</v>
      </c>
      <c r="V328">
        <f t="shared" si="306"/>
        <v>7.7999999999999996E-3</v>
      </c>
      <c r="W328">
        <f t="shared" si="307"/>
        <v>0</v>
      </c>
      <c r="X328">
        <f t="shared" si="308"/>
        <v>69.819999999999993</v>
      </c>
      <c r="Y328">
        <f t="shared" si="309"/>
        <v>47.18</v>
      </c>
      <c r="AA328">
        <v>16630606</v>
      </c>
      <c r="AB328">
        <f t="shared" si="310"/>
        <v>445.72</v>
      </c>
      <c r="AC328">
        <f t="shared" si="311"/>
        <v>0</v>
      </c>
      <c r="AD328">
        <f t="shared" si="312"/>
        <v>8.1300000000000008</v>
      </c>
      <c r="AE328">
        <f t="shared" si="313"/>
        <v>3.51</v>
      </c>
      <c r="AF328">
        <f t="shared" si="314"/>
        <v>437.59</v>
      </c>
      <c r="AG328">
        <f t="shared" si="315"/>
        <v>0</v>
      </c>
      <c r="AH328">
        <f t="shared" si="316"/>
        <v>51.3</v>
      </c>
      <c r="AI328">
        <f t="shared" si="317"/>
        <v>0.26</v>
      </c>
      <c r="AJ328">
        <f t="shared" si="318"/>
        <v>0</v>
      </c>
      <c r="AK328">
        <v>445.72</v>
      </c>
      <c r="AL328">
        <v>0</v>
      </c>
      <c r="AM328">
        <v>8.1300000000000008</v>
      </c>
      <c r="AN328">
        <v>3.51</v>
      </c>
      <c r="AO328">
        <v>437.59</v>
      </c>
      <c r="AP328">
        <v>0</v>
      </c>
      <c r="AQ328">
        <v>51.3</v>
      </c>
      <c r="AR328">
        <v>0.26</v>
      </c>
      <c r="AS328">
        <v>0</v>
      </c>
      <c r="AT328">
        <v>74</v>
      </c>
      <c r="AU328">
        <v>50</v>
      </c>
      <c r="AV328">
        <v>1</v>
      </c>
      <c r="AW328">
        <v>1</v>
      </c>
      <c r="AZ328">
        <v>7.13</v>
      </c>
      <c r="BA328">
        <v>7.13</v>
      </c>
      <c r="BB328">
        <v>7.13</v>
      </c>
      <c r="BC328">
        <v>7.13</v>
      </c>
      <c r="BD328" t="s">
        <v>6</v>
      </c>
      <c r="BE328" t="s">
        <v>6</v>
      </c>
      <c r="BF328" t="s">
        <v>6</v>
      </c>
      <c r="BG328" t="s">
        <v>6</v>
      </c>
      <c r="BH328">
        <v>0</v>
      </c>
      <c r="BI328">
        <v>1</v>
      </c>
      <c r="BJ328" t="s">
        <v>890</v>
      </c>
      <c r="BM328">
        <v>65001</v>
      </c>
      <c r="BN328">
        <v>0</v>
      </c>
      <c r="BO328" t="s">
        <v>6</v>
      </c>
      <c r="BP328">
        <v>0</v>
      </c>
      <c r="BQ328">
        <v>6</v>
      </c>
      <c r="BR328">
        <v>0</v>
      </c>
      <c r="BS328">
        <v>7.13</v>
      </c>
      <c r="BT328">
        <v>1</v>
      </c>
      <c r="BU328">
        <v>1</v>
      </c>
      <c r="BV328">
        <v>1</v>
      </c>
      <c r="BW328">
        <v>1</v>
      </c>
      <c r="BX328">
        <v>1</v>
      </c>
      <c r="BY328" t="s">
        <v>6</v>
      </c>
      <c r="BZ328">
        <v>74</v>
      </c>
      <c r="CA328">
        <v>50</v>
      </c>
      <c r="CE328">
        <v>0</v>
      </c>
      <c r="CF328">
        <v>0</v>
      </c>
      <c r="CG328">
        <v>0</v>
      </c>
      <c r="CM328">
        <v>0</v>
      </c>
      <c r="CN328" t="s">
        <v>6</v>
      </c>
      <c r="CO328">
        <v>0</v>
      </c>
      <c r="CP328">
        <f t="shared" si="319"/>
        <v>95.339999999999989</v>
      </c>
      <c r="CQ328">
        <f t="shared" si="320"/>
        <v>0</v>
      </c>
      <c r="CR328">
        <f t="shared" si="321"/>
        <v>57.966900000000003</v>
      </c>
      <c r="CS328">
        <f t="shared" si="322"/>
        <v>25.026299999999999</v>
      </c>
      <c r="CT328">
        <f t="shared" si="323"/>
        <v>3120.0166999999997</v>
      </c>
      <c r="CU328">
        <f t="shared" si="324"/>
        <v>0</v>
      </c>
      <c r="CV328">
        <f t="shared" si="325"/>
        <v>51.3</v>
      </c>
      <c r="CW328">
        <f t="shared" si="326"/>
        <v>0.26</v>
      </c>
      <c r="CX328">
        <f t="shared" si="327"/>
        <v>0</v>
      </c>
      <c r="CY328">
        <f t="shared" si="328"/>
        <v>69.819000000000003</v>
      </c>
      <c r="CZ328">
        <f t="shared" si="329"/>
        <v>47.174999999999997</v>
      </c>
      <c r="DC328" t="s">
        <v>6</v>
      </c>
      <c r="DD328" t="s">
        <v>6</v>
      </c>
      <c r="DE328" t="s">
        <v>6</v>
      </c>
      <c r="DF328" t="s">
        <v>6</v>
      </c>
      <c r="DG328" t="s">
        <v>6</v>
      </c>
      <c r="DH328" t="s">
        <v>6</v>
      </c>
      <c r="DI328" t="s">
        <v>6</v>
      </c>
      <c r="DJ328" t="s">
        <v>6</v>
      </c>
      <c r="DK328" t="s">
        <v>6</v>
      </c>
      <c r="DL328" t="s">
        <v>6</v>
      </c>
      <c r="DM328" t="s">
        <v>6</v>
      </c>
      <c r="DN328">
        <v>0</v>
      </c>
      <c r="DO328">
        <v>0</v>
      </c>
      <c r="DP328">
        <v>1</v>
      </c>
      <c r="DQ328">
        <v>1</v>
      </c>
      <c r="DU328">
        <v>1013</v>
      </c>
      <c r="DV328" t="s">
        <v>27</v>
      </c>
      <c r="DW328" t="s">
        <v>27</v>
      </c>
      <c r="DX328">
        <v>1</v>
      </c>
      <c r="EE328">
        <v>16609190</v>
      </c>
      <c r="EF328">
        <v>6</v>
      </c>
      <c r="EG328" t="s">
        <v>39</v>
      </c>
      <c r="EH328">
        <v>0</v>
      </c>
      <c r="EI328" t="s">
        <v>6</v>
      </c>
      <c r="EJ328">
        <v>1</v>
      </c>
      <c r="EK328">
        <v>65001</v>
      </c>
      <c r="EL328" t="s">
        <v>713</v>
      </c>
      <c r="EM328" t="s">
        <v>714</v>
      </c>
      <c r="EO328" t="s">
        <v>6</v>
      </c>
      <c r="EQ328">
        <v>0</v>
      </c>
      <c r="ER328">
        <v>445.72</v>
      </c>
      <c r="ES328">
        <v>0</v>
      </c>
      <c r="ET328">
        <v>8.1300000000000008</v>
      </c>
      <c r="EU328">
        <v>3.51</v>
      </c>
      <c r="EV328">
        <v>437.59</v>
      </c>
      <c r="EW328">
        <v>51.3</v>
      </c>
      <c r="EX328">
        <v>0.26</v>
      </c>
      <c r="EY328">
        <v>0</v>
      </c>
      <c r="FQ328">
        <v>0</v>
      </c>
      <c r="FR328">
        <f t="shared" si="330"/>
        <v>0</v>
      </c>
      <c r="FS328">
        <v>0</v>
      </c>
      <c r="FX328">
        <v>74</v>
      </c>
      <c r="FY328">
        <v>50</v>
      </c>
      <c r="GA328" t="s">
        <v>6</v>
      </c>
      <c r="GD328">
        <v>0</v>
      </c>
      <c r="GF328">
        <v>-869396583</v>
      </c>
      <c r="GG328">
        <v>1</v>
      </c>
      <c r="GH328">
        <v>1</v>
      </c>
      <c r="GI328">
        <v>4</v>
      </c>
      <c r="GJ328">
        <v>0</v>
      </c>
      <c r="GK328">
        <f>ROUND(R328*(R12)/100,2)</f>
        <v>0</v>
      </c>
      <c r="GL328">
        <f t="shared" si="331"/>
        <v>0</v>
      </c>
      <c r="GM328">
        <f t="shared" si="332"/>
        <v>212.34</v>
      </c>
      <c r="GN328">
        <f t="shared" si="333"/>
        <v>212.34</v>
      </c>
      <c r="GO328">
        <f t="shared" si="334"/>
        <v>0</v>
      </c>
      <c r="GP328">
        <f t="shared" si="335"/>
        <v>0</v>
      </c>
      <c r="GR328">
        <v>0</v>
      </c>
      <c r="GS328">
        <v>3</v>
      </c>
      <c r="GT328">
        <v>0</v>
      </c>
      <c r="GU328" t="s">
        <v>6</v>
      </c>
      <c r="GV328">
        <f t="shared" si="336"/>
        <v>0</v>
      </c>
      <c r="GW328">
        <v>1</v>
      </c>
      <c r="GX328">
        <f t="shared" si="337"/>
        <v>0</v>
      </c>
      <c r="HA328">
        <v>0</v>
      </c>
      <c r="HB328">
        <v>0</v>
      </c>
      <c r="HC328">
        <f t="shared" si="338"/>
        <v>0</v>
      </c>
      <c r="IK328">
        <v>0</v>
      </c>
    </row>
    <row r="329" spans="1:245" x14ac:dyDescent="0.2">
      <c r="A329">
        <v>17</v>
      </c>
      <c r="B329">
        <v>1</v>
      </c>
      <c r="C329">
        <f>ROW(SmtRes!A673)</f>
        <v>673</v>
      </c>
      <c r="D329">
        <f>ROW(EtalonRes!A667)</f>
        <v>667</v>
      </c>
      <c r="E329" t="s">
        <v>891</v>
      </c>
      <c r="F329" t="s">
        <v>892</v>
      </c>
      <c r="G329" t="s">
        <v>893</v>
      </c>
      <c r="H329" t="s">
        <v>27</v>
      </c>
      <c r="I329">
        <f>ROUND(3/100,9)</f>
        <v>0.03</v>
      </c>
      <c r="J329">
        <v>0</v>
      </c>
      <c r="O329">
        <f t="shared" si="299"/>
        <v>118.42</v>
      </c>
      <c r="P329">
        <f t="shared" si="300"/>
        <v>0</v>
      </c>
      <c r="Q329">
        <f t="shared" si="301"/>
        <v>1.94</v>
      </c>
      <c r="R329">
        <f t="shared" si="302"/>
        <v>0.84</v>
      </c>
      <c r="S329">
        <f t="shared" si="303"/>
        <v>116.48</v>
      </c>
      <c r="T329">
        <f t="shared" si="304"/>
        <v>0</v>
      </c>
      <c r="U329">
        <f t="shared" si="305"/>
        <v>1.9152</v>
      </c>
      <c r="V329">
        <f t="shared" si="306"/>
        <v>8.6999999999999994E-3</v>
      </c>
      <c r="W329">
        <f t="shared" si="307"/>
        <v>0</v>
      </c>
      <c r="X329">
        <f t="shared" si="308"/>
        <v>86.82</v>
      </c>
      <c r="Y329">
        <f t="shared" si="309"/>
        <v>58.66</v>
      </c>
      <c r="AA329">
        <v>16630606</v>
      </c>
      <c r="AB329">
        <f t="shared" si="310"/>
        <v>553.63</v>
      </c>
      <c r="AC329">
        <f t="shared" si="311"/>
        <v>0</v>
      </c>
      <c r="AD329">
        <f t="shared" si="312"/>
        <v>9.07</v>
      </c>
      <c r="AE329">
        <f t="shared" si="313"/>
        <v>3.92</v>
      </c>
      <c r="AF329">
        <f t="shared" si="314"/>
        <v>544.55999999999995</v>
      </c>
      <c r="AG329">
        <f t="shared" si="315"/>
        <v>0</v>
      </c>
      <c r="AH329">
        <f t="shared" si="316"/>
        <v>63.84</v>
      </c>
      <c r="AI329">
        <f t="shared" si="317"/>
        <v>0.28999999999999998</v>
      </c>
      <c r="AJ329">
        <f t="shared" si="318"/>
        <v>0</v>
      </c>
      <c r="AK329">
        <v>553.63</v>
      </c>
      <c r="AL329">
        <v>0</v>
      </c>
      <c r="AM329">
        <v>9.07</v>
      </c>
      <c r="AN329">
        <v>3.92</v>
      </c>
      <c r="AO329">
        <v>544.55999999999995</v>
      </c>
      <c r="AP329">
        <v>0</v>
      </c>
      <c r="AQ329">
        <v>63.84</v>
      </c>
      <c r="AR329">
        <v>0.28999999999999998</v>
      </c>
      <c r="AS329">
        <v>0</v>
      </c>
      <c r="AT329">
        <v>74</v>
      </c>
      <c r="AU329">
        <v>50</v>
      </c>
      <c r="AV329">
        <v>1</v>
      </c>
      <c r="AW329">
        <v>1</v>
      </c>
      <c r="AZ329">
        <v>7.13</v>
      </c>
      <c r="BA329">
        <v>7.13</v>
      </c>
      <c r="BB329">
        <v>7.13</v>
      </c>
      <c r="BC329">
        <v>7.13</v>
      </c>
      <c r="BD329" t="s">
        <v>6</v>
      </c>
      <c r="BE329" t="s">
        <v>6</v>
      </c>
      <c r="BF329" t="s">
        <v>6</v>
      </c>
      <c r="BG329" t="s">
        <v>6</v>
      </c>
      <c r="BH329">
        <v>0</v>
      </c>
      <c r="BI329">
        <v>1</v>
      </c>
      <c r="BJ329" t="s">
        <v>894</v>
      </c>
      <c r="BM329">
        <v>65001</v>
      </c>
      <c r="BN329">
        <v>0</v>
      </c>
      <c r="BO329" t="s">
        <v>6</v>
      </c>
      <c r="BP329">
        <v>0</v>
      </c>
      <c r="BQ329">
        <v>6</v>
      </c>
      <c r="BR329">
        <v>0</v>
      </c>
      <c r="BS329">
        <v>7.13</v>
      </c>
      <c r="BT329">
        <v>1</v>
      </c>
      <c r="BU329">
        <v>1</v>
      </c>
      <c r="BV329">
        <v>1</v>
      </c>
      <c r="BW329">
        <v>1</v>
      </c>
      <c r="BX329">
        <v>1</v>
      </c>
      <c r="BY329" t="s">
        <v>6</v>
      </c>
      <c r="BZ329">
        <v>74</v>
      </c>
      <c r="CA329">
        <v>50</v>
      </c>
      <c r="CE329">
        <v>0</v>
      </c>
      <c r="CF329">
        <v>0</v>
      </c>
      <c r="CG329">
        <v>0</v>
      </c>
      <c r="CM329">
        <v>0</v>
      </c>
      <c r="CN329" t="s">
        <v>6</v>
      </c>
      <c r="CO329">
        <v>0</v>
      </c>
      <c r="CP329">
        <f t="shared" si="319"/>
        <v>118.42</v>
      </c>
      <c r="CQ329">
        <f t="shared" si="320"/>
        <v>0</v>
      </c>
      <c r="CR329">
        <f t="shared" si="321"/>
        <v>64.6691</v>
      </c>
      <c r="CS329">
        <f t="shared" si="322"/>
        <v>27.9496</v>
      </c>
      <c r="CT329">
        <f t="shared" si="323"/>
        <v>3882.7127999999993</v>
      </c>
      <c r="CU329">
        <f t="shared" si="324"/>
        <v>0</v>
      </c>
      <c r="CV329">
        <f t="shared" si="325"/>
        <v>63.84</v>
      </c>
      <c r="CW329">
        <f t="shared" si="326"/>
        <v>0.28999999999999998</v>
      </c>
      <c r="CX329">
        <f t="shared" si="327"/>
        <v>0</v>
      </c>
      <c r="CY329">
        <f t="shared" si="328"/>
        <v>86.816800000000001</v>
      </c>
      <c r="CZ329">
        <f t="shared" si="329"/>
        <v>58.66</v>
      </c>
      <c r="DC329" t="s">
        <v>6</v>
      </c>
      <c r="DD329" t="s">
        <v>6</v>
      </c>
      <c r="DE329" t="s">
        <v>6</v>
      </c>
      <c r="DF329" t="s">
        <v>6</v>
      </c>
      <c r="DG329" t="s">
        <v>6</v>
      </c>
      <c r="DH329" t="s">
        <v>6</v>
      </c>
      <c r="DI329" t="s">
        <v>6</v>
      </c>
      <c r="DJ329" t="s">
        <v>6</v>
      </c>
      <c r="DK329" t="s">
        <v>6</v>
      </c>
      <c r="DL329" t="s">
        <v>6</v>
      </c>
      <c r="DM329" t="s">
        <v>6</v>
      </c>
      <c r="DN329">
        <v>0</v>
      </c>
      <c r="DO329">
        <v>0</v>
      </c>
      <c r="DP329">
        <v>1</v>
      </c>
      <c r="DQ329">
        <v>1</v>
      </c>
      <c r="DU329">
        <v>1013</v>
      </c>
      <c r="DV329" t="s">
        <v>27</v>
      </c>
      <c r="DW329" t="s">
        <v>27</v>
      </c>
      <c r="DX329">
        <v>1</v>
      </c>
      <c r="EE329">
        <v>16609190</v>
      </c>
      <c r="EF329">
        <v>6</v>
      </c>
      <c r="EG329" t="s">
        <v>39</v>
      </c>
      <c r="EH329">
        <v>0</v>
      </c>
      <c r="EI329" t="s">
        <v>6</v>
      </c>
      <c r="EJ329">
        <v>1</v>
      </c>
      <c r="EK329">
        <v>65001</v>
      </c>
      <c r="EL329" t="s">
        <v>713</v>
      </c>
      <c r="EM329" t="s">
        <v>714</v>
      </c>
      <c r="EO329" t="s">
        <v>6</v>
      </c>
      <c r="EQ329">
        <v>131072</v>
      </c>
      <c r="ER329">
        <v>553.63</v>
      </c>
      <c r="ES329">
        <v>0</v>
      </c>
      <c r="ET329">
        <v>9.07</v>
      </c>
      <c r="EU329">
        <v>3.92</v>
      </c>
      <c r="EV329">
        <v>544.55999999999995</v>
      </c>
      <c r="EW329">
        <v>63.84</v>
      </c>
      <c r="EX329">
        <v>0.28999999999999998</v>
      </c>
      <c r="EY329">
        <v>0</v>
      </c>
      <c r="FQ329">
        <v>0</v>
      </c>
      <c r="FR329">
        <f t="shared" si="330"/>
        <v>0</v>
      </c>
      <c r="FS329">
        <v>0</v>
      </c>
      <c r="FX329">
        <v>74</v>
      </c>
      <c r="FY329">
        <v>50</v>
      </c>
      <c r="GA329" t="s">
        <v>6</v>
      </c>
      <c r="GD329">
        <v>0</v>
      </c>
      <c r="GF329">
        <v>-1948414181</v>
      </c>
      <c r="GG329">
        <v>1</v>
      </c>
      <c r="GH329">
        <v>1</v>
      </c>
      <c r="GI329">
        <v>4</v>
      </c>
      <c r="GJ329">
        <v>0</v>
      </c>
      <c r="GK329">
        <f>ROUND(R329*(R12)/100,2)</f>
        <v>0</v>
      </c>
      <c r="GL329">
        <f t="shared" si="331"/>
        <v>0</v>
      </c>
      <c r="GM329">
        <f t="shared" si="332"/>
        <v>263.89999999999998</v>
      </c>
      <c r="GN329">
        <f t="shared" si="333"/>
        <v>263.89999999999998</v>
      </c>
      <c r="GO329">
        <f t="shared" si="334"/>
        <v>0</v>
      </c>
      <c r="GP329">
        <f t="shared" si="335"/>
        <v>0</v>
      </c>
      <c r="GR329">
        <v>0</v>
      </c>
      <c r="GS329">
        <v>3</v>
      </c>
      <c r="GT329">
        <v>0</v>
      </c>
      <c r="GU329" t="s">
        <v>6</v>
      </c>
      <c r="GV329">
        <f t="shared" si="336"/>
        <v>0</v>
      </c>
      <c r="GW329">
        <v>1</v>
      </c>
      <c r="GX329">
        <f t="shared" si="337"/>
        <v>0</v>
      </c>
      <c r="HA329">
        <v>0</v>
      </c>
      <c r="HB329">
        <v>0</v>
      </c>
      <c r="HC329">
        <f t="shared" si="338"/>
        <v>0</v>
      </c>
      <c r="IK329">
        <v>0</v>
      </c>
    </row>
    <row r="330" spans="1:245" x14ac:dyDescent="0.2">
      <c r="A330">
        <v>17</v>
      </c>
      <c r="B330">
        <v>1</v>
      </c>
      <c r="C330">
        <f>ROW(SmtRes!A676)</f>
        <v>676</v>
      </c>
      <c r="D330">
        <f>ROW(EtalonRes!A671)</f>
        <v>671</v>
      </c>
      <c r="E330" t="s">
        <v>895</v>
      </c>
      <c r="F330" t="s">
        <v>896</v>
      </c>
      <c r="G330" t="s">
        <v>897</v>
      </c>
      <c r="H330" t="s">
        <v>27</v>
      </c>
      <c r="I330">
        <f>ROUND(3/100,9)</f>
        <v>0.03</v>
      </c>
      <c r="J330">
        <v>0</v>
      </c>
      <c r="O330">
        <f t="shared" si="299"/>
        <v>69.760000000000005</v>
      </c>
      <c r="P330">
        <f t="shared" si="300"/>
        <v>0</v>
      </c>
      <c r="Q330">
        <f t="shared" si="301"/>
        <v>1.74</v>
      </c>
      <c r="R330">
        <f t="shared" si="302"/>
        <v>0.75</v>
      </c>
      <c r="S330">
        <f t="shared" si="303"/>
        <v>68.02</v>
      </c>
      <c r="T330">
        <f t="shared" si="304"/>
        <v>0</v>
      </c>
      <c r="U330">
        <f t="shared" si="305"/>
        <v>1.1184000000000001</v>
      </c>
      <c r="V330">
        <f t="shared" si="306"/>
        <v>7.7999999999999996E-3</v>
      </c>
      <c r="W330">
        <f t="shared" si="307"/>
        <v>0</v>
      </c>
      <c r="X330">
        <f t="shared" si="308"/>
        <v>50.89</v>
      </c>
      <c r="Y330">
        <f t="shared" si="309"/>
        <v>34.39</v>
      </c>
      <c r="AA330">
        <v>16630606</v>
      </c>
      <c r="AB330">
        <f t="shared" si="310"/>
        <v>326.13</v>
      </c>
      <c r="AC330">
        <f t="shared" si="311"/>
        <v>0</v>
      </c>
      <c r="AD330">
        <f t="shared" si="312"/>
        <v>8.1300000000000008</v>
      </c>
      <c r="AE330">
        <f t="shared" si="313"/>
        <v>3.51</v>
      </c>
      <c r="AF330">
        <f t="shared" si="314"/>
        <v>318</v>
      </c>
      <c r="AG330">
        <f t="shared" si="315"/>
        <v>0</v>
      </c>
      <c r="AH330">
        <f t="shared" si="316"/>
        <v>37.28</v>
      </c>
      <c r="AI330">
        <f t="shared" si="317"/>
        <v>0.26</v>
      </c>
      <c r="AJ330">
        <f t="shared" si="318"/>
        <v>0</v>
      </c>
      <c r="AK330">
        <v>326.13</v>
      </c>
      <c r="AL330">
        <v>0</v>
      </c>
      <c r="AM330">
        <v>8.1300000000000008</v>
      </c>
      <c r="AN330">
        <v>3.51</v>
      </c>
      <c r="AO330">
        <v>318</v>
      </c>
      <c r="AP330">
        <v>0</v>
      </c>
      <c r="AQ330">
        <v>37.28</v>
      </c>
      <c r="AR330">
        <v>0.26</v>
      </c>
      <c r="AS330">
        <v>0</v>
      </c>
      <c r="AT330">
        <v>74</v>
      </c>
      <c r="AU330">
        <v>50</v>
      </c>
      <c r="AV330">
        <v>1</v>
      </c>
      <c r="AW330">
        <v>1</v>
      </c>
      <c r="AZ330">
        <v>7.13</v>
      </c>
      <c r="BA330">
        <v>7.13</v>
      </c>
      <c r="BB330">
        <v>7.13</v>
      </c>
      <c r="BC330">
        <v>7.13</v>
      </c>
      <c r="BD330" t="s">
        <v>6</v>
      </c>
      <c r="BE330" t="s">
        <v>6</v>
      </c>
      <c r="BF330" t="s">
        <v>6</v>
      </c>
      <c r="BG330" t="s">
        <v>6</v>
      </c>
      <c r="BH330">
        <v>0</v>
      </c>
      <c r="BI330">
        <v>1</v>
      </c>
      <c r="BJ330" t="s">
        <v>898</v>
      </c>
      <c r="BM330">
        <v>65001</v>
      </c>
      <c r="BN330">
        <v>0</v>
      </c>
      <c r="BO330" t="s">
        <v>6</v>
      </c>
      <c r="BP330">
        <v>0</v>
      </c>
      <c r="BQ330">
        <v>6</v>
      </c>
      <c r="BR330">
        <v>0</v>
      </c>
      <c r="BS330">
        <v>7.13</v>
      </c>
      <c r="BT330">
        <v>1</v>
      </c>
      <c r="BU330">
        <v>1</v>
      </c>
      <c r="BV330">
        <v>1</v>
      </c>
      <c r="BW330">
        <v>1</v>
      </c>
      <c r="BX330">
        <v>1</v>
      </c>
      <c r="BY330" t="s">
        <v>6</v>
      </c>
      <c r="BZ330">
        <v>74</v>
      </c>
      <c r="CA330">
        <v>50</v>
      </c>
      <c r="CE330">
        <v>0</v>
      </c>
      <c r="CF330">
        <v>0</v>
      </c>
      <c r="CG330">
        <v>0</v>
      </c>
      <c r="CM330">
        <v>0</v>
      </c>
      <c r="CN330" t="s">
        <v>6</v>
      </c>
      <c r="CO330">
        <v>0</v>
      </c>
      <c r="CP330">
        <f t="shared" si="319"/>
        <v>69.759999999999991</v>
      </c>
      <c r="CQ330">
        <f t="shared" si="320"/>
        <v>0</v>
      </c>
      <c r="CR330">
        <f t="shared" si="321"/>
        <v>57.966900000000003</v>
      </c>
      <c r="CS330">
        <f t="shared" si="322"/>
        <v>25.026299999999999</v>
      </c>
      <c r="CT330">
        <f t="shared" si="323"/>
        <v>2267.34</v>
      </c>
      <c r="CU330">
        <f t="shared" si="324"/>
        <v>0</v>
      </c>
      <c r="CV330">
        <f t="shared" si="325"/>
        <v>37.28</v>
      </c>
      <c r="CW330">
        <f t="shared" si="326"/>
        <v>0.26</v>
      </c>
      <c r="CX330">
        <f t="shared" si="327"/>
        <v>0</v>
      </c>
      <c r="CY330">
        <f t="shared" si="328"/>
        <v>50.889799999999994</v>
      </c>
      <c r="CZ330">
        <f t="shared" si="329"/>
        <v>34.384999999999998</v>
      </c>
      <c r="DC330" t="s">
        <v>6</v>
      </c>
      <c r="DD330" t="s">
        <v>6</v>
      </c>
      <c r="DE330" t="s">
        <v>6</v>
      </c>
      <c r="DF330" t="s">
        <v>6</v>
      </c>
      <c r="DG330" t="s">
        <v>6</v>
      </c>
      <c r="DH330" t="s">
        <v>6</v>
      </c>
      <c r="DI330" t="s">
        <v>6</v>
      </c>
      <c r="DJ330" t="s">
        <v>6</v>
      </c>
      <c r="DK330" t="s">
        <v>6</v>
      </c>
      <c r="DL330" t="s">
        <v>6</v>
      </c>
      <c r="DM330" t="s">
        <v>6</v>
      </c>
      <c r="DN330">
        <v>0</v>
      </c>
      <c r="DO330">
        <v>0</v>
      </c>
      <c r="DP330">
        <v>1</v>
      </c>
      <c r="DQ330">
        <v>1</v>
      </c>
      <c r="DU330">
        <v>1013</v>
      </c>
      <c r="DV330" t="s">
        <v>27</v>
      </c>
      <c r="DW330" t="s">
        <v>27</v>
      </c>
      <c r="DX330">
        <v>1</v>
      </c>
      <c r="EE330">
        <v>16609190</v>
      </c>
      <c r="EF330">
        <v>6</v>
      </c>
      <c r="EG330" t="s">
        <v>39</v>
      </c>
      <c r="EH330">
        <v>0</v>
      </c>
      <c r="EI330" t="s">
        <v>6</v>
      </c>
      <c r="EJ330">
        <v>1</v>
      </c>
      <c r="EK330">
        <v>65001</v>
      </c>
      <c r="EL330" t="s">
        <v>713</v>
      </c>
      <c r="EM330" t="s">
        <v>714</v>
      </c>
      <c r="EO330" t="s">
        <v>6</v>
      </c>
      <c r="EQ330">
        <v>131072</v>
      </c>
      <c r="ER330">
        <v>326.13</v>
      </c>
      <c r="ES330">
        <v>0</v>
      </c>
      <c r="ET330">
        <v>8.1300000000000008</v>
      </c>
      <c r="EU330">
        <v>3.51</v>
      </c>
      <c r="EV330">
        <v>318</v>
      </c>
      <c r="EW330">
        <v>37.28</v>
      </c>
      <c r="EX330">
        <v>0.26</v>
      </c>
      <c r="EY330">
        <v>0</v>
      </c>
      <c r="FQ330">
        <v>0</v>
      </c>
      <c r="FR330">
        <f t="shared" si="330"/>
        <v>0</v>
      </c>
      <c r="FS330">
        <v>0</v>
      </c>
      <c r="FX330">
        <v>74</v>
      </c>
      <c r="FY330">
        <v>50</v>
      </c>
      <c r="GA330" t="s">
        <v>6</v>
      </c>
      <c r="GD330">
        <v>0</v>
      </c>
      <c r="GF330">
        <v>-762354741</v>
      </c>
      <c r="GG330">
        <v>1</v>
      </c>
      <c r="GH330">
        <v>1</v>
      </c>
      <c r="GI330">
        <v>4</v>
      </c>
      <c r="GJ330">
        <v>0</v>
      </c>
      <c r="GK330">
        <f>ROUND(R330*(R12)/100,2)</f>
        <v>0</v>
      </c>
      <c r="GL330">
        <f t="shared" si="331"/>
        <v>0</v>
      </c>
      <c r="GM330">
        <f t="shared" si="332"/>
        <v>155.04</v>
      </c>
      <c r="GN330">
        <f t="shared" si="333"/>
        <v>155.04</v>
      </c>
      <c r="GO330">
        <f t="shared" si="334"/>
        <v>0</v>
      </c>
      <c r="GP330">
        <f t="shared" si="335"/>
        <v>0</v>
      </c>
      <c r="GR330">
        <v>0</v>
      </c>
      <c r="GS330">
        <v>3</v>
      </c>
      <c r="GT330">
        <v>0</v>
      </c>
      <c r="GU330" t="s">
        <v>6</v>
      </c>
      <c r="GV330">
        <f t="shared" si="336"/>
        <v>0</v>
      </c>
      <c r="GW330">
        <v>1</v>
      </c>
      <c r="GX330">
        <f t="shared" si="337"/>
        <v>0</v>
      </c>
      <c r="HA330">
        <v>0</v>
      </c>
      <c r="HB330">
        <v>0</v>
      </c>
      <c r="HC330">
        <f t="shared" si="338"/>
        <v>0</v>
      </c>
      <c r="IK330">
        <v>0</v>
      </c>
    </row>
    <row r="331" spans="1:245" x14ac:dyDescent="0.2">
      <c r="A331">
        <v>17</v>
      </c>
      <c r="B331">
        <v>1</v>
      </c>
      <c r="C331">
        <f>ROW(SmtRes!A688)</f>
        <v>688</v>
      </c>
      <c r="D331">
        <f>ROW(EtalonRes!A682)</f>
        <v>682</v>
      </c>
      <c r="E331" t="s">
        <v>899</v>
      </c>
      <c r="F331" t="s">
        <v>900</v>
      </c>
      <c r="G331" t="s">
        <v>901</v>
      </c>
      <c r="H331" t="s">
        <v>57</v>
      </c>
      <c r="I331">
        <f>ROUND(22.2/100,9)</f>
        <v>0.222</v>
      </c>
      <c r="J331">
        <v>0</v>
      </c>
      <c r="O331">
        <f t="shared" si="299"/>
        <v>1252.8599999999999</v>
      </c>
      <c r="P331">
        <f t="shared" si="300"/>
        <v>87.64</v>
      </c>
      <c r="Q331">
        <f t="shared" si="301"/>
        <v>5.22</v>
      </c>
      <c r="R331">
        <f t="shared" si="302"/>
        <v>0.79</v>
      </c>
      <c r="S331">
        <f t="shared" si="303"/>
        <v>1160</v>
      </c>
      <c r="T331">
        <f t="shared" si="304"/>
        <v>0</v>
      </c>
      <c r="U331">
        <f t="shared" si="305"/>
        <v>16.400471999999997</v>
      </c>
      <c r="V331">
        <f t="shared" si="306"/>
        <v>8.3249999999999991E-3</v>
      </c>
      <c r="W331">
        <f t="shared" si="307"/>
        <v>0</v>
      </c>
      <c r="X331">
        <f t="shared" si="308"/>
        <v>1334.91</v>
      </c>
      <c r="Y331">
        <f t="shared" si="309"/>
        <v>824.16</v>
      </c>
      <c r="AA331">
        <v>16630606</v>
      </c>
      <c r="AB331">
        <f t="shared" si="310"/>
        <v>791.52</v>
      </c>
      <c r="AC331">
        <f t="shared" si="311"/>
        <v>55.37</v>
      </c>
      <c r="AD331">
        <f>ROUND(((((ET331*1.25))-((EU331*1.25)))+AE331),2)</f>
        <v>3.3</v>
      </c>
      <c r="AE331">
        <f>ROUND(((EU331*1.25)),2)</f>
        <v>0.5</v>
      </c>
      <c r="AF331">
        <f>ROUND(((EV331*1.15)),2)</f>
        <v>732.85</v>
      </c>
      <c r="AG331">
        <f t="shared" si="315"/>
        <v>0</v>
      </c>
      <c r="AH331">
        <f>((EW331*1.15))</f>
        <v>73.875999999999991</v>
      </c>
      <c r="AI331">
        <f>((EX331*1.25))</f>
        <v>3.7499999999999999E-2</v>
      </c>
      <c r="AJ331">
        <f t="shared" si="318"/>
        <v>0</v>
      </c>
      <c r="AK331">
        <v>695.27</v>
      </c>
      <c r="AL331">
        <v>55.37</v>
      </c>
      <c r="AM331">
        <v>2.64</v>
      </c>
      <c r="AN331">
        <v>0.4</v>
      </c>
      <c r="AO331">
        <v>637.26</v>
      </c>
      <c r="AP331">
        <v>0</v>
      </c>
      <c r="AQ331">
        <v>64.239999999999995</v>
      </c>
      <c r="AR331">
        <v>0.03</v>
      </c>
      <c r="AS331">
        <v>0</v>
      </c>
      <c r="AT331">
        <v>115</v>
      </c>
      <c r="AU331">
        <v>71</v>
      </c>
      <c r="AV331">
        <v>1</v>
      </c>
      <c r="AW331">
        <v>1</v>
      </c>
      <c r="AZ331">
        <v>7.13</v>
      </c>
      <c r="BA331">
        <v>7.13</v>
      </c>
      <c r="BB331">
        <v>7.13</v>
      </c>
      <c r="BC331">
        <v>7.13</v>
      </c>
      <c r="BD331" t="s">
        <v>6</v>
      </c>
      <c r="BE331" t="s">
        <v>6</v>
      </c>
      <c r="BF331" t="s">
        <v>6</v>
      </c>
      <c r="BG331" t="s">
        <v>6</v>
      </c>
      <c r="BH331">
        <v>0</v>
      </c>
      <c r="BI331">
        <v>1</v>
      </c>
      <c r="BJ331" t="s">
        <v>902</v>
      </c>
      <c r="BM331">
        <v>16001</v>
      </c>
      <c r="BN331">
        <v>0</v>
      </c>
      <c r="BO331" t="s">
        <v>6</v>
      </c>
      <c r="BP331">
        <v>0</v>
      </c>
      <c r="BQ331">
        <v>2</v>
      </c>
      <c r="BR331">
        <v>0</v>
      </c>
      <c r="BS331">
        <v>7.13</v>
      </c>
      <c r="BT331">
        <v>1</v>
      </c>
      <c r="BU331">
        <v>1</v>
      </c>
      <c r="BV331">
        <v>1</v>
      </c>
      <c r="BW331">
        <v>1</v>
      </c>
      <c r="BX331">
        <v>1</v>
      </c>
      <c r="BY331" t="s">
        <v>6</v>
      </c>
      <c r="BZ331">
        <v>128</v>
      </c>
      <c r="CA331">
        <v>83</v>
      </c>
      <c r="CE331">
        <v>0</v>
      </c>
      <c r="CF331">
        <v>0</v>
      </c>
      <c r="CG331">
        <v>0</v>
      </c>
      <c r="CM331">
        <v>0</v>
      </c>
      <c r="CN331" t="s">
        <v>1758</v>
      </c>
      <c r="CO331">
        <v>0</v>
      </c>
      <c r="CP331">
        <f t="shared" si="319"/>
        <v>1252.8599999999999</v>
      </c>
      <c r="CQ331">
        <f t="shared" si="320"/>
        <v>394.78809999999999</v>
      </c>
      <c r="CR331">
        <f t="shared" si="321"/>
        <v>23.529</v>
      </c>
      <c r="CS331">
        <f t="shared" si="322"/>
        <v>3.5649999999999999</v>
      </c>
      <c r="CT331">
        <f t="shared" si="323"/>
        <v>5225.2205000000004</v>
      </c>
      <c r="CU331">
        <f t="shared" si="324"/>
        <v>0</v>
      </c>
      <c r="CV331">
        <f t="shared" si="325"/>
        <v>73.875999999999991</v>
      </c>
      <c r="CW331">
        <f t="shared" si="326"/>
        <v>3.7499999999999999E-2</v>
      </c>
      <c r="CX331">
        <f t="shared" si="327"/>
        <v>0</v>
      </c>
      <c r="CY331">
        <f t="shared" si="328"/>
        <v>1334.9085</v>
      </c>
      <c r="CZ331">
        <f t="shared" si="329"/>
        <v>824.16089999999997</v>
      </c>
      <c r="DC331" t="s">
        <v>6</v>
      </c>
      <c r="DD331" t="s">
        <v>6</v>
      </c>
      <c r="DE331" t="s">
        <v>81</v>
      </c>
      <c r="DF331" t="s">
        <v>81</v>
      </c>
      <c r="DG331" t="s">
        <v>82</v>
      </c>
      <c r="DH331" t="s">
        <v>6</v>
      </c>
      <c r="DI331" t="s">
        <v>82</v>
      </c>
      <c r="DJ331" t="s">
        <v>81</v>
      </c>
      <c r="DK331" t="s">
        <v>6</v>
      </c>
      <c r="DL331" t="s">
        <v>6</v>
      </c>
      <c r="DM331" t="s">
        <v>6</v>
      </c>
      <c r="DN331">
        <v>0</v>
      </c>
      <c r="DO331">
        <v>0</v>
      </c>
      <c r="DP331">
        <v>1</v>
      </c>
      <c r="DQ331">
        <v>1</v>
      </c>
      <c r="DU331">
        <v>1003</v>
      </c>
      <c r="DV331" t="s">
        <v>57</v>
      </c>
      <c r="DW331" t="s">
        <v>57</v>
      </c>
      <c r="DX331">
        <v>100</v>
      </c>
      <c r="EE331">
        <v>16609131</v>
      </c>
      <c r="EF331">
        <v>2</v>
      </c>
      <c r="EG331" t="s">
        <v>14</v>
      </c>
      <c r="EH331">
        <v>0</v>
      </c>
      <c r="EI331" t="s">
        <v>6</v>
      </c>
      <c r="EJ331">
        <v>1</v>
      </c>
      <c r="EK331">
        <v>16001</v>
      </c>
      <c r="EL331" t="s">
        <v>730</v>
      </c>
      <c r="EM331" t="s">
        <v>731</v>
      </c>
      <c r="EO331" t="s">
        <v>83</v>
      </c>
      <c r="EQ331">
        <v>131072</v>
      </c>
      <c r="ER331">
        <v>695.27</v>
      </c>
      <c r="ES331">
        <v>55.37</v>
      </c>
      <c r="ET331">
        <v>2.64</v>
      </c>
      <c r="EU331">
        <v>0.4</v>
      </c>
      <c r="EV331">
        <v>637.26</v>
      </c>
      <c r="EW331">
        <v>64.239999999999995</v>
      </c>
      <c r="EX331">
        <v>0.03</v>
      </c>
      <c r="EY331">
        <v>0</v>
      </c>
      <c r="FQ331">
        <v>0</v>
      </c>
      <c r="FR331">
        <f t="shared" si="330"/>
        <v>0</v>
      </c>
      <c r="FS331">
        <v>0</v>
      </c>
      <c r="FT331" t="s">
        <v>22</v>
      </c>
      <c r="FU331" t="s">
        <v>23</v>
      </c>
      <c r="FX331">
        <v>115.2</v>
      </c>
      <c r="FY331">
        <v>70.55</v>
      </c>
      <c r="GA331" t="s">
        <v>6</v>
      </c>
      <c r="GD331">
        <v>0</v>
      </c>
      <c r="GF331">
        <v>77844681</v>
      </c>
      <c r="GG331">
        <v>1</v>
      </c>
      <c r="GH331">
        <v>1</v>
      </c>
      <c r="GI331">
        <v>4</v>
      </c>
      <c r="GJ331">
        <v>0</v>
      </c>
      <c r="GK331">
        <f>ROUND(R331*(R12)/100,2)</f>
        <v>0</v>
      </c>
      <c r="GL331">
        <f t="shared" si="331"/>
        <v>0</v>
      </c>
      <c r="GM331">
        <f t="shared" si="332"/>
        <v>3411.93</v>
      </c>
      <c r="GN331">
        <f t="shared" si="333"/>
        <v>3411.93</v>
      </c>
      <c r="GO331">
        <f t="shared" si="334"/>
        <v>0</v>
      </c>
      <c r="GP331">
        <f t="shared" si="335"/>
        <v>0</v>
      </c>
      <c r="GR331">
        <v>0</v>
      </c>
      <c r="GS331">
        <v>3</v>
      </c>
      <c r="GT331">
        <v>0</v>
      </c>
      <c r="GU331" t="s">
        <v>6</v>
      </c>
      <c r="GV331">
        <f t="shared" si="336"/>
        <v>0</v>
      </c>
      <c r="GW331">
        <v>1</v>
      </c>
      <c r="GX331">
        <f t="shared" si="337"/>
        <v>0</v>
      </c>
      <c r="HA331">
        <v>0</v>
      </c>
      <c r="HB331">
        <v>0</v>
      </c>
      <c r="HC331">
        <f t="shared" si="338"/>
        <v>0</v>
      </c>
      <c r="IK331">
        <v>0</v>
      </c>
    </row>
    <row r="332" spans="1:245" x14ac:dyDescent="0.2">
      <c r="A332">
        <v>18</v>
      </c>
      <c r="B332">
        <v>1</v>
      </c>
      <c r="C332">
        <v>685</v>
      </c>
      <c r="E332" t="s">
        <v>903</v>
      </c>
      <c r="F332" t="s">
        <v>904</v>
      </c>
      <c r="G332" t="s">
        <v>905</v>
      </c>
      <c r="H332" t="s">
        <v>98</v>
      </c>
      <c r="I332">
        <f>I331*J332</f>
        <v>7.1610000000000007E-3</v>
      </c>
      <c r="J332">
        <v>3.2256756756756759E-2</v>
      </c>
      <c r="O332">
        <f t="shared" si="299"/>
        <v>1364.75</v>
      </c>
      <c r="P332">
        <f t="shared" si="300"/>
        <v>1364.75</v>
      </c>
      <c r="Q332">
        <f t="shared" si="301"/>
        <v>0</v>
      </c>
      <c r="R332">
        <f t="shared" si="302"/>
        <v>0</v>
      </c>
      <c r="S332">
        <f t="shared" si="303"/>
        <v>0</v>
      </c>
      <c r="T332">
        <f t="shared" si="304"/>
        <v>0</v>
      </c>
      <c r="U332">
        <f t="shared" si="305"/>
        <v>0</v>
      </c>
      <c r="V332">
        <f t="shared" si="306"/>
        <v>0</v>
      </c>
      <c r="W332">
        <f t="shared" si="307"/>
        <v>0</v>
      </c>
      <c r="X332">
        <f t="shared" si="308"/>
        <v>0</v>
      </c>
      <c r="Y332">
        <f t="shared" si="309"/>
        <v>0</v>
      </c>
      <c r="AA332">
        <v>16630606</v>
      </c>
      <c r="AB332">
        <f t="shared" si="310"/>
        <v>26729.37</v>
      </c>
      <c r="AC332">
        <f t="shared" si="311"/>
        <v>26729.37</v>
      </c>
      <c r="AD332">
        <f>ROUND((((ET332)-(EU332))+AE332),2)</f>
        <v>0</v>
      </c>
      <c r="AE332">
        <f t="shared" ref="AE332:AF335" si="339">ROUND((EU332),2)</f>
        <v>0</v>
      </c>
      <c r="AF332">
        <f t="shared" si="339"/>
        <v>0</v>
      </c>
      <c r="AG332">
        <f t="shared" si="315"/>
        <v>0</v>
      </c>
      <c r="AH332">
        <f t="shared" ref="AH332:AI335" si="340">(EW332)</f>
        <v>0</v>
      </c>
      <c r="AI332">
        <f t="shared" si="340"/>
        <v>0</v>
      </c>
      <c r="AJ332">
        <f t="shared" si="318"/>
        <v>0</v>
      </c>
      <c r="AK332">
        <v>26729.37</v>
      </c>
      <c r="AL332">
        <v>26729.37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115</v>
      </c>
      <c r="AU332">
        <v>71</v>
      </c>
      <c r="AV332">
        <v>1</v>
      </c>
      <c r="AW332">
        <v>1</v>
      </c>
      <c r="AZ332">
        <v>7.13</v>
      </c>
      <c r="BA332">
        <v>1</v>
      </c>
      <c r="BB332">
        <v>1</v>
      </c>
      <c r="BC332">
        <v>7.13</v>
      </c>
      <c r="BD332" t="s">
        <v>6</v>
      </c>
      <c r="BE332" t="s">
        <v>6</v>
      </c>
      <c r="BF332" t="s">
        <v>6</v>
      </c>
      <c r="BG332" t="s">
        <v>6</v>
      </c>
      <c r="BH332">
        <v>3</v>
      </c>
      <c r="BI332">
        <v>1</v>
      </c>
      <c r="BJ332" t="s">
        <v>906</v>
      </c>
      <c r="BM332">
        <v>16001</v>
      </c>
      <c r="BN332">
        <v>0</v>
      </c>
      <c r="BO332" t="s">
        <v>6</v>
      </c>
      <c r="BP332">
        <v>0</v>
      </c>
      <c r="BQ332">
        <v>2</v>
      </c>
      <c r="BR332">
        <v>0</v>
      </c>
      <c r="BS332">
        <v>1</v>
      </c>
      <c r="BT332">
        <v>1</v>
      </c>
      <c r="BU332">
        <v>1</v>
      </c>
      <c r="BV332">
        <v>1</v>
      </c>
      <c r="BW332">
        <v>1</v>
      </c>
      <c r="BX332">
        <v>1</v>
      </c>
      <c r="BY332" t="s">
        <v>6</v>
      </c>
      <c r="BZ332">
        <v>128</v>
      </c>
      <c r="CA332">
        <v>83</v>
      </c>
      <c r="CE332">
        <v>0</v>
      </c>
      <c r="CF332">
        <v>0</v>
      </c>
      <c r="CG332">
        <v>0</v>
      </c>
      <c r="CM332">
        <v>0</v>
      </c>
      <c r="CN332" t="s">
        <v>6</v>
      </c>
      <c r="CO332">
        <v>0</v>
      </c>
      <c r="CP332">
        <f t="shared" si="319"/>
        <v>1364.75</v>
      </c>
      <c r="CQ332">
        <f t="shared" si="320"/>
        <v>190580.4081</v>
      </c>
      <c r="CR332">
        <f t="shared" si="321"/>
        <v>0</v>
      </c>
      <c r="CS332">
        <f t="shared" si="322"/>
        <v>0</v>
      </c>
      <c r="CT332">
        <f t="shared" si="323"/>
        <v>0</v>
      </c>
      <c r="CU332">
        <f t="shared" si="324"/>
        <v>0</v>
      </c>
      <c r="CV332">
        <f t="shared" si="325"/>
        <v>0</v>
      </c>
      <c r="CW332">
        <f t="shared" si="326"/>
        <v>0</v>
      </c>
      <c r="CX332">
        <f t="shared" si="327"/>
        <v>0</v>
      </c>
      <c r="CY332">
        <f t="shared" si="328"/>
        <v>0</v>
      </c>
      <c r="CZ332">
        <f t="shared" si="329"/>
        <v>0</v>
      </c>
      <c r="DC332" t="s">
        <v>6</v>
      </c>
      <c r="DD332" t="s">
        <v>6</v>
      </c>
      <c r="DE332" t="s">
        <v>6</v>
      </c>
      <c r="DF332" t="s">
        <v>6</v>
      </c>
      <c r="DG332" t="s">
        <v>6</v>
      </c>
      <c r="DH332" t="s">
        <v>6</v>
      </c>
      <c r="DI332" t="s">
        <v>6</v>
      </c>
      <c r="DJ332" t="s">
        <v>6</v>
      </c>
      <c r="DK332" t="s">
        <v>6</v>
      </c>
      <c r="DL332" t="s">
        <v>6</v>
      </c>
      <c r="DM332" t="s">
        <v>6</v>
      </c>
      <c r="DN332">
        <v>0</v>
      </c>
      <c r="DO332">
        <v>0</v>
      </c>
      <c r="DP332">
        <v>1</v>
      </c>
      <c r="DQ332">
        <v>1</v>
      </c>
      <c r="DU332">
        <v>1009</v>
      </c>
      <c r="DV332" t="s">
        <v>98</v>
      </c>
      <c r="DW332" t="s">
        <v>98</v>
      </c>
      <c r="DX332">
        <v>1000</v>
      </c>
      <c r="EE332">
        <v>16609131</v>
      </c>
      <c r="EF332">
        <v>2</v>
      </c>
      <c r="EG332" t="s">
        <v>14</v>
      </c>
      <c r="EH332">
        <v>0</v>
      </c>
      <c r="EI332" t="s">
        <v>6</v>
      </c>
      <c r="EJ332">
        <v>1</v>
      </c>
      <c r="EK332">
        <v>16001</v>
      </c>
      <c r="EL332" t="s">
        <v>730</v>
      </c>
      <c r="EM332" t="s">
        <v>731</v>
      </c>
      <c r="EO332" t="s">
        <v>6</v>
      </c>
      <c r="EQ332">
        <v>0</v>
      </c>
      <c r="ER332">
        <v>26729.37</v>
      </c>
      <c r="ES332">
        <v>26729.37</v>
      </c>
      <c r="ET332">
        <v>0</v>
      </c>
      <c r="EU332">
        <v>0</v>
      </c>
      <c r="EV332">
        <v>0</v>
      </c>
      <c r="EW332">
        <v>0</v>
      </c>
      <c r="EX332">
        <v>0</v>
      </c>
      <c r="FQ332">
        <v>0</v>
      </c>
      <c r="FR332">
        <f t="shared" si="330"/>
        <v>0</v>
      </c>
      <c r="FS332">
        <v>0</v>
      </c>
      <c r="FT332" t="s">
        <v>22</v>
      </c>
      <c r="FU332" t="s">
        <v>23</v>
      </c>
      <c r="FX332">
        <v>115.2</v>
      </c>
      <c r="FY332">
        <v>70.55</v>
      </c>
      <c r="GA332" t="s">
        <v>6</v>
      </c>
      <c r="GD332">
        <v>0</v>
      </c>
      <c r="GF332">
        <v>-1558467010</v>
      </c>
      <c r="GG332">
        <v>1</v>
      </c>
      <c r="GH332">
        <v>1</v>
      </c>
      <c r="GI332">
        <v>4</v>
      </c>
      <c r="GJ332">
        <v>0</v>
      </c>
      <c r="GK332">
        <f>ROUND(R332*(R12)/100,2)</f>
        <v>0</v>
      </c>
      <c r="GL332">
        <f t="shared" si="331"/>
        <v>0</v>
      </c>
      <c r="GM332">
        <f t="shared" si="332"/>
        <v>1364.75</v>
      </c>
      <c r="GN332">
        <f t="shared" si="333"/>
        <v>1364.75</v>
      </c>
      <c r="GO332">
        <f t="shared" si="334"/>
        <v>0</v>
      </c>
      <c r="GP332">
        <f t="shared" si="335"/>
        <v>0</v>
      </c>
      <c r="GR332">
        <v>0</v>
      </c>
      <c r="GS332">
        <v>3</v>
      </c>
      <c r="GT332">
        <v>0</v>
      </c>
      <c r="GU332" t="s">
        <v>6</v>
      </c>
      <c r="GV332">
        <f t="shared" si="336"/>
        <v>0</v>
      </c>
      <c r="GW332">
        <v>1</v>
      </c>
      <c r="GX332">
        <f t="shared" si="337"/>
        <v>0</v>
      </c>
      <c r="HA332">
        <v>0</v>
      </c>
      <c r="HB332">
        <v>0</v>
      </c>
      <c r="HC332">
        <f t="shared" si="338"/>
        <v>0</v>
      </c>
      <c r="IK332">
        <v>0</v>
      </c>
    </row>
    <row r="333" spans="1:245" x14ac:dyDescent="0.2">
      <c r="A333">
        <v>18</v>
      </c>
      <c r="B333">
        <v>1</v>
      </c>
      <c r="C333">
        <v>686</v>
      </c>
      <c r="E333" t="s">
        <v>907</v>
      </c>
      <c r="F333" t="s">
        <v>908</v>
      </c>
      <c r="G333" t="s">
        <v>909</v>
      </c>
      <c r="H333" t="s">
        <v>150</v>
      </c>
      <c r="I333">
        <f>I331*J333</f>
        <v>22.2</v>
      </c>
      <c r="J333">
        <v>100</v>
      </c>
      <c r="O333">
        <f t="shared" si="299"/>
        <v>1643.01</v>
      </c>
      <c r="P333">
        <f t="shared" si="300"/>
        <v>1643.01</v>
      </c>
      <c r="Q333">
        <f t="shared" si="301"/>
        <v>0</v>
      </c>
      <c r="R333">
        <f t="shared" si="302"/>
        <v>0</v>
      </c>
      <c r="S333">
        <f t="shared" si="303"/>
        <v>0</v>
      </c>
      <c r="T333">
        <f t="shared" si="304"/>
        <v>0</v>
      </c>
      <c r="U333">
        <f t="shared" si="305"/>
        <v>0</v>
      </c>
      <c r="V333">
        <f t="shared" si="306"/>
        <v>0</v>
      </c>
      <c r="W333">
        <f t="shared" si="307"/>
        <v>0</v>
      </c>
      <c r="X333">
        <f t="shared" si="308"/>
        <v>0</v>
      </c>
      <c r="Y333">
        <f t="shared" si="309"/>
        <v>0</v>
      </c>
      <c r="AA333">
        <v>16630606</v>
      </c>
      <c r="AB333">
        <f t="shared" si="310"/>
        <v>10.38</v>
      </c>
      <c r="AC333">
        <f t="shared" si="311"/>
        <v>10.38</v>
      </c>
      <c r="AD333">
        <f>ROUND((((ET333)-(EU333))+AE333),2)</f>
        <v>0</v>
      </c>
      <c r="AE333">
        <f t="shared" si="339"/>
        <v>0</v>
      </c>
      <c r="AF333">
        <f t="shared" si="339"/>
        <v>0</v>
      </c>
      <c r="AG333">
        <f t="shared" si="315"/>
        <v>0</v>
      </c>
      <c r="AH333">
        <f t="shared" si="340"/>
        <v>0</v>
      </c>
      <c r="AI333">
        <f t="shared" si="340"/>
        <v>0</v>
      </c>
      <c r="AJ333">
        <f t="shared" si="318"/>
        <v>0</v>
      </c>
      <c r="AK333">
        <v>10.38</v>
      </c>
      <c r="AL333">
        <v>10.38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115</v>
      </c>
      <c r="AU333">
        <v>71</v>
      </c>
      <c r="AV333">
        <v>1</v>
      </c>
      <c r="AW333">
        <v>1</v>
      </c>
      <c r="AZ333">
        <v>7.13</v>
      </c>
      <c r="BA333">
        <v>1</v>
      </c>
      <c r="BB333">
        <v>1</v>
      </c>
      <c r="BC333">
        <v>7.13</v>
      </c>
      <c r="BD333" t="s">
        <v>6</v>
      </c>
      <c r="BE333" t="s">
        <v>6</v>
      </c>
      <c r="BF333" t="s">
        <v>6</v>
      </c>
      <c r="BG333" t="s">
        <v>6</v>
      </c>
      <c r="BH333">
        <v>3</v>
      </c>
      <c r="BI333">
        <v>1</v>
      </c>
      <c r="BJ333" t="s">
        <v>910</v>
      </c>
      <c r="BM333">
        <v>16001</v>
      </c>
      <c r="BN333">
        <v>0</v>
      </c>
      <c r="BO333" t="s">
        <v>6</v>
      </c>
      <c r="BP333">
        <v>0</v>
      </c>
      <c r="BQ333">
        <v>2</v>
      </c>
      <c r="BR333">
        <v>0</v>
      </c>
      <c r="BS333">
        <v>1</v>
      </c>
      <c r="BT333">
        <v>1</v>
      </c>
      <c r="BU333">
        <v>1</v>
      </c>
      <c r="BV333">
        <v>1</v>
      </c>
      <c r="BW333">
        <v>1</v>
      </c>
      <c r="BX333">
        <v>1</v>
      </c>
      <c r="BY333" t="s">
        <v>6</v>
      </c>
      <c r="BZ333">
        <v>128</v>
      </c>
      <c r="CA333">
        <v>83</v>
      </c>
      <c r="CE333">
        <v>0</v>
      </c>
      <c r="CF333">
        <v>0</v>
      </c>
      <c r="CG333">
        <v>0</v>
      </c>
      <c r="CM333">
        <v>0</v>
      </c>
      <c r="CN333" t="s">
        <v>6</v>
      </c>
      <c r="CO333">
        <v>0</v>
      </c>
      <c r="CP333">
        <f t="shared" si="319"/>
        <v>1643.01</v>
      </c>
      <c r="CQ333">
        <f t="shared" si="320"/>
        <v>74.009399999999999</v>
      </c>
      <c r="CR333">
        <f t="shared" si="321"/>
        <v>0</v>
      </c>
      <c r="CS333">
        <f t="shared" si="322"/>
        <v>0</v>
      </c>
      <c r="CT333">
        <f t="shared" si="323"/>
        <v>0</v>
      </c>
      <c r="CU333">
        <f t="shared" si="324"/>
        <v>0</v>
      </c>
      <c r="CV333">
        <f t="shared" si="325"/>
        <v>0</v>
      </c>
      <c r="CW333">
        <f t="shared" si="326"/>
        <v>0</v>
      </c>
      <c r="CX333">
        <f t="shared" si="327"/>
        <v>0</v>
      </c>
      <c r="CY333">
        <f t="shared" si="328"/>
        <v>0</v>
      </c>
      <c r="CZ333">
        <f t="shared" si="329"/>
        <v>0</v>
      </c>
      <c r="DC333" t="s">
        <v>6</v>
      </c>
      <c r="DD333" t="s">
        <v>6</v>
      </c>
      <c r="DE333" t="s">
        <v>6</v>
      </c>
      <c r="DF333" t="s">
        <v>6</v>
      </c>
      <c r="DG333" t="s">
        <v>6</v>
      </c>
      <c r="DH333" t="s">
        <v>6</v>
      </c>
      <c r="DI333" t="s">
        <v>6</v>
      </c>
      <c r="DJ333" t="s">
        <v>6</v>
      </c>
      <c r="DK333" t="s">
        <v>6</v>
      </c>
      <c r="DL333" t="s">
        <v>6</v>
      </c>
      <c r="DM333" t="s">
        <v>6</v>
      </c>
      <c r="DN333">
        <v>0</v>
      </c>
      <c r="DO333">
        <v>0</v>
      </c>
      <c r="DP333">
        <v>1</v>
      </c>
      <c r="DQ333">
        <v>1</v>
      </c>
      <c r="DU333">
        <v>1003</v>
      </c>
      <c r="DV333" t="s">
        <v>150</v>
      </c>
      <c r="DW333" t="s">
        <v>150</v>
      </c>
      <c r="DX333">
        <v>1</v>
      </c>
      <c r="EE333">
        <v>16609131</v>
      </c>
      <c r="EF333">
        <v>2</v>
      </c>
      <c r="EG333" t="s">
        <v>14</v>
      </c>
      <c r="EH333">
        <v>0</v>
      </c>
      <c r="EI333" t="s">
        <v>6</v>
      </c>
      <c r="EJ333">
        <v>1</v>
      </c>
      <c r="EK333">
        <v>16001</v>
      </c>
      <c r="EL333" t="s">
        <v>730</v>
      </c>
      <c r="EM333" t="s">
        <v>731</v>
      </c>
      <c r="EO333" t="s">
        <v>6</v>
      </c>
      <c r="EQ333">
        <v>0</v>
      </c>
      <c r="ER333">
        <v>10.38</v>
      </c>
      <c r="ES333">
        <v>10.38</v>
      </c>
      <c r="ET333">
        <v>0</v>
      </c>
      <c r="EU333">
        <v>0</v>
      </c>
      <c r="EV333">
        <v>0</v>
      </c>
      <c r="EW333">
        <v>0</v>
      </c>
      <c r="EX333">
        <v>0</v>
      </c>
      <c r="FQ333">
        <v>0</v>
      </c>
      <c r="FR333">
        <f t="shared" si="330"/>
        <v>0</v>
      </c>
      <c r="FS333">
        <v>0</v>
      </c>
      <c r="FT333" t="s">
        <v>22</v>
      </c>
      <c r="FU333" t="s">
        <v>23</v>
      </c>
      <c r="FX333">
        <v>115.2</v>
      </c>
      <c r="FY333">
        <v>70.55</v>
      </c>
      <c r="GA333" t="s">
        <v>6</v>
      </c>
      <c r="GD333">
        <v>0</v>
      </c>
      <c r="GF333">
        <v>555726028</v>
      </c>
      <c r="GG333">
        <v>1</v>
      </c>
      <c r="GH333">
        <v>1</v>
      </c>
      <c r="GI333">
        <v>4</v>
      </c>
      <c r="GJ333">
        <v>0</v>
      </c>
      <c r="GK333">
        <f>ROUND(R333*(R12)/100,2)</f>
        <v>0</v>
      </c>
      <c r="GL333">
        <f t="shared" si="331"/>
        <v>0</v>
      </c>
      <c r="GM333">
        <f t="shared" si="332"/>
        <v>1643.01</v>
      </c>
      <c r="GN333">
        <f t="shared" si="333"/>
        <v>1643.01</v>
      </c>
      <c r="GO333">
        <f t="shared" si="334"/>
        <v>0</v>
      </c>
      <c r="GP333">
        <f t="shared" si="335"/>
        <v>0</v>
      </c>
      <c r="GR333">
        <v>0</v>
      </c>
      <c r="GS333">
        <v>3</v>
      </c>
      <c r="GT333">
        <v>0</v>
      </c>
      <c r="GU333" t="s">
        <v>6</v>
      </c>
      <c r="GV333">
        <f t="shared" si="336"/>
        <v>0</v>
      </c>
      <c r="GW333">
        <v>1</v>
      </c>
      <c r="GX333">
        <f t="shared" si="337"/>
        <v>0</v>
      </c>
      <c r="HA333">
        <v>0</v>
      </c>
      <c r="HB333">
        <v>0</v>
      </c>
      <c r="HC333">
        <f t="shared" si="338"/>
        <v>0</v>
      </c>
      <c r="IK333">
        <v>0</v>
      </c>
    </row>
    <row r="334" spans="1:245" x14ac:dyDescent="0.2">
      <c r="A334">
        <v>18</v>
      </c>
      <c r="B334">
        <v>1</v>
      </c>
      <c r="C334">
        <v>688</v>
      </c>
      <c r="E334" t="s">
        <v>911</v>
      </c>
      <c r="F334" t="s">
        <v>912</v>
      </c>
      <c r="G334" t="s">
        <v>913</v>
      </c>
      <c r="H334" t="s">
        <v>132</v>
      </c>
      <c r="I334">
        <f>I331*J334</f>
        <v>7</v>
      </c>
      <c r="J334">
        <v>31.531531531531531</v>
      </c>
      <c r="O334">
        <f t="shared" si="299"/>
        <v>338.39</v>
      </c>
      <c r="P334">
        <f t="shared" si="300"/>
        <v>338.39</v>
      </c>
      <c r="Q334">
        <f t="shared" si="301"/>
        <v>0</v>
      </c>
      <c r="R334">
        <f t="shared" si="302"/>
        <v>0</v>
      </c>
      <c r="S334">
        <f t="shared" si="303"/>
        <v>0</v>
      </c>
      <c r="T334">
        <f t="shared" si="304"/>
        <v>0</v>
      </c>
      <c r="U334">
        <f t="shared" si="305"/>
        <v>0</v>
      </c>
      <c r="V334">
        <f t="shared" si="306"/>
        <v>0</v>
      </c>
      <c r="W334">
        <f t="shared" si="307"/>
        <v>0</v>
      </c>
      <c r="X334">
        <f t="shared" si="308"/>
        <v>0</v>
      </c>
      <c r="Y334">
        <f t="shared" si="309"/>
        <v>0</v>
      </c>
      <c r="AA334">
        <v>16630606</v>
      </c>
      <c r="AB334">
        <f t="shared" si="310"/>
        <v>6.78</v>
      </c>
      <c r="AC334">
        <f t="shared" si="311"/>
        <v>6.78</v>
      </c>
      <c r="AD334">
        <f>ROUND((((ET334)-(EU334))+AE334),2)</f>
        <v>0</v>
      </c>
      <c r="AE334">
        <f t="shared" si="339"/>
        <v>0</v>
      </c>
      <c r="AF334">
        <f t="shared" si="339"/>
        <v>0</v>
      </c>
      <c r="AG334">
        <f t="shared" si="315"/>
        <v>0</v>
      </c>
      <c r="AH334">
        <f t="shared" si="340"/>
        <v>0</v>
      </c>
      <c r="AI334">
        <f t="shared" si="340"/>
        <v>0</v>
      </c>
      <c r="AJ334">
        <f t="shared" si="318"/>
        <v>0</v>
      </c>
      <c r="AK334">
        <v>6.78</v>
      </c>
      <c r="AL334">
        <v>6.78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115</v>
      </c>
      <c r="AU334">
        <v>71</v>
      </c>
      <c r="AV334">
        <v>1</v>
      </c>
      <c r="AW334">
        <v>1</v>
      </c>
      <c r="AZ334">
        <v>7.13</v>
      </c>
      <c r="BA334">
        <v>1</v>
      </c>
      <c r="BB334">
        <v>1</v>
      </c>
      <c r="BC334">
        <v>7.13</v>
      </c>
      <c r="BD334" t="s">
        <v>6</v>
      </c>
      <c r="BE334" t="s">
        <v>6</v>
      </c>
      <c r="BF334" t="s">
        <v>6</v>
      </c>
      <c r="BG334" t="s">
        <v>6</v>
      </c>
      <c r="BH334">
        <v>3</v>
      </c>
      <c r="BI334">
        <v>1</v>
      </c>
      <c r="BJ334" t="s">
        <v>914</v>
      </c>
      <c r="BM334">
        <v>16001</v>
      </c>
      <c r="BN334">
        <v>0</v>
      </c>
      <c r="BO334" t="s">
        <v>6</v>
      </c>
      <c r="BP334">
        <v>0</v>
      </c>
      <c r="BQ334">
        <v>2</v>
      </c>
      <c r="BR334">
        <v>0</v>
      </c>
      <c r="BS334">
        <v>1</v>
      </c>
      <c r="BT334">
        <v>1</v>
      </c>
      <c r="BU334">
        <v>1</v>
      </c>
      <c r="BV334">
        <v>1</v>
      </c>
      <c r="BW334">
        <v>1</v>
      </c>
      <c r="BX334">
        <v>1</v>
      </c>
      <c r="BY334" t="s">
        <v>6</v>
      </c>
      <c r="BZ334">
        <v>128</v>
      </c>
      <c r="CA334">
        <v>83</v>
      </c>
      <c r="CE334">
        <v>0</v>
      </c>
      <c r="CF334">
        <v>0</v>
      </c>
      <c r="CG334">
        <v>0</v>
      </c>
      <c r="CM334">
        <v>0</v>
      </c>
      <c r="CN334" t="s">
        <v>6</v>
      </c>
      <c r="CO334">
        <v>0</v>
      </c>
      <c r="CP334">
        <f t="shared" si="319"/>
        <v>338.39</v>
      </c>
      <c r="CQ334">
        <f t="shared" si="320"/>
        <v>48.3414</v>
      </c>
      <c r="CR334">
        <f t="shared" si="321"/>
        <v>0</v>
      </c>
      <c r="CS334">
        <f t="shared" si="322"/>
        <v>0</v>
      </c>
      <c r="CT334">
        <f t="shared" si="323"/>
        <v>0</v>
      </c>
      <c r="CU334">
        <f t="shared" si="324"/>
        <v>0</v>
      </c>
      <c r="CV334">
        <f t="shared" si="325"/>
        <v>0</v>
      </c>
      <c r="CW334">
        <f t="shared" si="326"/>
        <v>0</v>
      </c>
      <c r="CX334">
        <f t="shared" si="327"/>
        <v>0</v>
      </c>
      <c r="CY334">
        <f t="shared" si="328"/>
        <v>0</v>
      </c>
      <c r="CZ334">
        <f t="shared" si="329"/>
        <v>0</v>
      </c>
      <c r="DC334" t="s">
        <v>6</v>
      </c>
      <c r="DD334" t="s">
        <v>6</v>
      </c>
      <c r="DE334" t="s">
        <v>6</v>
      </c>
      <c r="DF334" t="s">
        <v>6</v>
      </c>
      <c r="DG334" t="s">
        <v>6</v>
      </c>
      <c r="DH334" t="s">
        <v>6</v>
      </c>
      <c r="DI334" t="s">
        <v>6</v>
      </c>
      <c r="DJ334" t="s">
        <v>6</v>
      </c>
      <c r="DK334" t="s">
        <v>6</v>
      </c>
      <c r="DL334" t="s">
        <v>6</v>
      </c>
      <c r="DM334" t="s">
        <v>6</v>
      </c>
      <c r="DN334">
        <v>0</v>
      </c>
      <c r="DO334">
        <v>0</v>
      </c>
      <c r="DP334">
        <v>1</v>
      </c>
      <c r="DQ334">
        <v>1</v>
      </c>
      <c r="DU334">
        <v>1010</v>
      </c>
      <c r="DV334" t="s">
        <v>132</v>
      </c>
      <c r="DW334" t="s">
        <v>132</v>
      </c>
      <c r="DX334">
        <v>1</v>
      </c>
      <c r="EE334">
        <v>16609131</v>
      </c>
      <c r="EF334">
        <v>2</v>
      </c>
      <c r="EG334" t="s">
        <v>14</v>
      </c>
      <c r="EH334">
        <v>0</v>
      </c>
      <c r="EI334" t="s">
        <v>6</v>
      </c>
      <c r="EJ334">
        <v>1</v>
      </c>
      <c r="EK334">
        <v>16001</v>
      </c>
      <c r="EL334" t="s">
        <v>730</v>
      </c>
      <c r="EM334" t="s">
        <v>731</v>
      </c>
      <c r="EO334" t="s">
        <v>6</v>
      </c>
      <c r="EQ334">
        <v>0</v>
      </c>
      <c r="ER334">
        <v>6.78</v>
      </c>
      <c r="ES334">
        <v>6.78</v>
      </c>
      <c r="ET334">
        <v>0</v>
      </c>
      <c r="EU334">
        <v>0</v>
      </c>
      <c r="EV334">
        <v>0</v>
      </c>
      <c r="EW334">
        <v>0</v>
      </c>
      <c r="EX334">
        <v>0</v>
      </c>
      <c r="FQ334">
        <v>0</v>
      </c>
      <c r="FR334">
        <f t="shared" si="330"/>
        <v>0</v>
      </c>
      <c r="FS334">
        <v>0</v>
      </c>
      <c r="FT334" t="s">
        <v>22</v>
      </c>
      <c r="FU334" t="s">
        <v>23</v>
      </c>
      <c r="FX334">
        <v>115.2</v>
      </c>
      <c r="FY334">
        <v>70.55</v>
      </c>
      <c r="GA334" t="s">
        <v>6</v>
      </c>
      <c r="GD334">
        <v>0</v>
      </c>
      <c r="GF334">
        <v>-805411951</v>
      </c>
      <c r="GG334">
        <v>1</v>
      </c>
      <c r="GH334">
        <v>1</v>
      </c>
      <c r="GI334">
        <v>4</v>
      </c>
      <c r="GJ334">
        <v>0</v>
      </c>
      <c r="GK334">
        <f>ROUND(R334*(R12)/100,2)</f>
        <v>0</v>
      </c>
      <c r="GL334">
        <f t="shared" si="331"/>
        <v>0</v>
      </c>
      <c r="GM334">
        <f t="shared" si="332"/>
        <v>338.39</v>
      </c>
      <c r="GN334">
        <f t="shared" si="333"/>
        <v>338.39</v>
      </c>
      <c r="GO334">
        <f t="shared" si="334"/>
        <v>0</v>
      </c>
      <c r="GP334">
        <f t="shared" si="335"/>
        <v>0</v>
      </c>
      <c r="GR334">
        <v>0</v>
      </c>
      <c r="GS334">
        <v>3</v>
      </c>
      <c r="GT334">
        <v>0</v>
      </c>
      <c r="GU334" t="s">
        <v>6</v>
      </c>
      <c r="GV334">
        <f t="shared" si="336"/>
        <v>0</v>
      </c>
      <c r="GW334">
        <v>1</v>
      </c>
      <c r="GX334">
        <f t="shared" si="337"/>
        <v>0</v>
      </c>
      <c r="HA334">
        <v>0</v>
      </c>
      <c r="HB334">
        <v>0</v>
      </c>
      <c r="HC334">
        <f t="shared" si="338"/>
        <v>0</v>
      </c>
      <c r="IK334">
        <v>0</v>
      </c>
    </row>
    <row r="335" spans="1:245" x14ac:dyDescent="0.2">
      <c r="A335">
        <v>18</v>
      </c>
      <c r="B335">
        <v>1</v>
      </c>
      <c r="C335">
        <v>687</v>
      </c>
      <c r="E335" t="s">
        <v>915</v>
      </c>
      <c r="F335" t="s">
        <v>916</v>
      </c>
      <c r="G335" t="s">
        <v>917</v>
      </c>
      <c r="H335" t="s">
        <v>150</v>
      </c>
      <c r="I335">
        <f>I331*J335</f>
        <v>22.2</v>
      </c>
      <c r="J335">
        <v>100</v>
      </c>
      <c r="O335">
        <f t="shared" si="299"/>
        <v>0</v>
      </c>
      <c r="P335">
        <f t="shared" si="300"/>
        <v>0</v>
      </c>
      <c r="Q335">
        <f t="shared" si="301"/>
        <v>0</v>
      </c>
      <c r="R335">
        <f t="shared" si="302"/>
        <v>0</v>
      </c>
      <c r="S335">
        <f t="shared" si="303"/>
        <v>0</v>
      </c>
      <c r="T335">
        <f t="shared" si="304"/>
        <v>0</v>
      </c>
      <c r="U335">
        <f t="shared" si="305"/>
        <v>0</v>
      </c>
      <c r="V335">
        <f t="shared" si="306"/>
        <v>0</v>
      </c>
      <c r="W335">
        <f t="shared" si="307"/>
        <v>0</v>
      </c>
      <c r="X335">
        <f t="shared" si="308"/>
        <v>0</v>
      </c>
      <c r="Y335">
        <f t="shared" si="309"/>
        <v>0</v>
      </c>
      <c r="AA335">
        <v>16630606</v>
      </c>
      <c r="AB335">
        <f t="shared" si="310"/>
        <v>0</v>
      </c>
      <c r="AC335">
        <f t="shared" si="311"/>
        <v>0</v>
      </c>
      <c r="AD335">
        <f>ROUND((((ET335)-(EU335))+AE335),2)</f>
        <v>0</v>
      </c>
      <c r="AE335">
        <f t="shared" si="339"/>
        <v>0</v>
      </c>
      <c r="AF335">
        <f t="shared" si="339"/>
        <v>0</v>
      </c>
      <c r="AG335">
        <f t="shared" si="315"/>
        <v>0</v>
      </c>
      <c r="AH335">
        <f t="shared" si="340"/>
        <v>0</v>
      </c>
      <c r="AI335">
        <f t="shared" si="340"/>
        <v>0</v>
      </c>
      <c r="AJ335">
        <f t="shared" si="318"/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115</v>
      </c>
      <c r="AU335">
        <v>71</v>
      </c>
      <c r="AV335">
        <v>1</v>
      </c>
      <c r="AW335">
        <v>1</v>
      </c>
      <c r="AZ335">
        <v>7.13</v>
      </c>
      <c r="BA335">
        <v>1</v>
      </c>
      <c r="BB335">
        <v>1</v>
      </c>
      <c r="BC335">
        <v>7.13</v>
      </c>
      <c r="BD335" t="s">
        <v>6</v>
      </c>
      <c r="BE335" t="s">
        <v>6</v>
      </c>
      <c r="BF335" t="s">
        <v>6</v>
      </c>
      <c r="BG335" t="s">
        <v>6</v>
      </c>
      <c r="BH335">
        <v>3</v>
      </c>
      <c r="BI335">
        <v>1</v>
      </c>
      <c r="BJ335" t="s">
        <v>6</v>
      </c>
      <c r="BM335">
        <v>16001</v>
      </c>
      <c r="BN335">
        <v>0</v>
      </c>
      <c r="BO335" t="s">
        <v>6</v>
      </c>
      <c r="BP335">
        <v>0</v>
      </c>
      <c r="BQ335">
        <v>2</v>
      </c>
      <c r="BR335">
        <v>0</v>
      </c>
      <c r="BS335">
        <v>1</v>
      </c>
      <c r="BT335">
        <v>1</v>
      </c>
      <c r="BU335">
        <v>1</v>
      </c>
      <c r="BV335">
        <v>1</v>
      </c>
      <c r="BW335">
        <v>1</v>
      </c>
      <c r="BX335">
        <v>1</v>
      </c>
      <c r="BY335" t="s">
        <v>6</v>
      </c>
      <c r="BZ335">
        <v>128</v>
      </c>
      <c r="CA335">
        <v>83</v>
      </c>
      <c r="CE335">
        <v>0</v>
      </c>
      <c r="CF335">
        <v>0</v>
      </c>
      <c r="CG335">
        <v>0</v>
      </c>
      <c r="CM335">
        <v>0</v>
      </c>
      <c r="CN335" t="s">
        <v>6</v>
      </c>
      <c r="CO335">
        <v>0</v>
      </c>
      <c r="CP335">
        <f t="shared" si="319"/>
        <v>0</v>
      </c>
      <c r="CQ335">
        <f t="shared" si="320"/>
        <v>0</v>
      </c>
      <c r="CR335">
        <f t="shared" si="321"/>
        <v>0</v>
      </c>
      <c r="CS335">
        <f t="shared" si="322"/>
        <v>0</v>
      </c>
      <c r="CT335">
        <f t="shared" si="323"/>
        <v>0</v>
      </c>
      <c r="CU335">
        <f t="shared" si="324"/>
        <v>0</v>
      </c>
      <c r="CV335">
        <f t="shared" si="325"/>
        <v>0</v>
      </c>
      <c r="CW335">
        <f t="shared" si="326"/>
        <v>0</v>
      </c>
      <c r="CX335">
        <f t="shared" si="327"/>
        <v>0</v>
      </c>
      <c r="CY335">
        <f t="shared" si="328"/>
        <v>0</v>
      </c>
      <c r="CZ335">
        <f t="shared" si="329"/>
        <v>0</v>
      </c>
      <c r="DC335" t="s">
        <v>6</v>
      </c>
      <c r="DD335" t="s">
        <v>6</v>
      </c>
      <c r="DE335" t="s">
        <v>6</v>
      </c>
      <c r="DF335" t="s">
        <v>6</v>
      </c>
      <c r="DG335" t="s">
        <v>6</v>
      </c>
      <c r="DH335" t="s">
        <v>6</v>
      </c>
      <c r="DI335" t="s">
        <v>6</v>
      </c>
      <c r="DJ335" t="s">
        <v>6</v>
      </c>
      <c r="DK335" t="s">
        <v>6</v>
      </c>
      <c r="DL335" t="s">
        <v>6</v>
      </c>
      <c r="DM335" t="s">
        <v>6</v>
      </c>
      <c r="DN335">
        <v>0</v>
      </c>
      <c r="DO335">
        <v>0</v>
      </c>
      <c r="DP335">
        <v>1</v>
      </c>
      <c r="DQ335">
        <v>1</v>
      </c>
      <c r="DU335">
        <v>1003</v>
      </c>
      <c r="DV335" t="s">
        <v>150</v>
      </c>
      <c r="DW335" t="s">
        <v>150</v>
      </c>
      <c r="DX335">
        <v>1</v>
      </c>
      <c r="EE335">
        <v>16609131</v>
      </c>
      <c r="EF335">
        <v>2</v>
      </c>
      <c r="EG335" t="s">
        <v>14</v>
      </c>
      <c r="EH335">
        <v>0</v>
      </c>
      <c r="EI335" t="s">
        <v>6</v>
      </c>
      <c r="EJ335">
        <v>1</v>
      </c>
      <c r="EK335">
        <v>16001</v>
      </c>
      <c r="EL335" t="s">
        <v>730</v>
      </c>
      <c r="EM335" t="s">
        <v>731</v>
      </c>
      <c r="EO335" t="s">
        <v>6</v>
      </c>
      <c r="EQ335">
        <v>0</v>
      </c>
      <c r="ER335">
        <v>0</v>
      </c>
      <c r="ES335">
        <v>0</v>
      </c>
      <c r="ET335">
        <v>0</v>
      </c>
      <c r="EU335">
        <v>0</v>
      </c>
      <c r="EV335">
        <v>0</v>
      </c>
      <c r="EW335">
        <v>0</v>
      </c>
      <c r="EX335">
        <v>0</v>
      </c>
      <c r="FQ335">
        <v>0</v>
      </c>
      <c r="FR335">
        <f t="shared" si="330"/>
        <v>0</v>
      </c>
      <c r="FS335">
        <v>0</v>
      </c>
      <c r="FT335" t="s">
        <v>22</v>
      </c>
      <c r="FU335" t="s">
        <v>23</v>
      </c>
      <c r="FX335">
        <v>115.2</v>
      </c>
      <c r="FY335">
        <v>70.55</v>
      </c>
      <c r="GA335" t="s">
        <v>743</v>
      </c>
      <c r="GD335">
        <v>0</v>
      </c>
      <c r="GF335">
        <v>28435243</v>
      </c>
      <c r="GG335">
        <v>1</v>
      </c>
      <c r="GH335">
        <v>1</v>
      </c>
      <c r="GI335">
        <v>4</v>
      </c>
      <c r="GJ335">
        <v>0</v>
      </c>
      <c r="GK335">
        <f>ROUND(R335*(R12)/100,2)</f>
        <v>0</v>
      </c>
      <c r="GL335">
        <f t="shared" si="331"/>
        <v>0</v>
      </c>
      <c r="GM335">
        <f t="shared" si="332"/>
        <v>0</v>
      </c>
      <c r="GN335">
        <f t="shared" si="333"/>
        <v>0</v>
      </c>
      <c r="GO335">
        <f t="shared" si="334"/>
        <v>0</v>
      </c>
      <c r="GP335">
        <f t="shared" si="335"/>
        <v>0</v>
      </c>
      <c r="GR335">
        <v>0</v>
      </c>
      <c r="GS335">
        <v>4</v>
      </c>
      <c r="GT335">
        <v>0</v>
      </c>
      <c r="GU335" t="s">
        <v>6</v>
      </c>
      <c r="GV335">
        <f t="shared" si="336"/>
        <v>0</v>
      </c>
      <c r="GW335">
        <v>1</v>
      </c>
      <c r="GX335">
        <f t="shared" si="337"/>
        <v>0</v>
      </c>
      <c r="HA335">
        <v>0</v>
      </c>
      <c r="HB335">
        <v>0</v>
      </c>
      <c r="HC335">
        <f t="shared" si="338"/>
        <v>0</v>
      </c>
      <c r="IK335">
        <v>0</v>
      </c>
    </row>
    <row r="336" spans="1:245" x14ac:dyDescent="0.2">
      <c r="A336">
        <v>17</v>
      </c>
      <c r="B336">
        <v>1</v>
      </c>
      <c r="C336">
        <f>ROW(SmtRes!A700)</f>
        <v>700</v>
      </c>
      <c r="D336">
        <f>ROW(EtalonRes!A693)</f>
        <v>693</v>
      </c>
      <c r="E336" t="s">
        <v>918</v>
      </c>
      <c r="F336" t="s">
        <v>919</v>
      </c>
      <c r="G336" t="s">
        <v>920</v>
      </c>
      <c r="H336" t="s">
        <v>57</v>
      </c>
      <c r="I336">
        <f>ROUND(9.7/100,9)</f>
        <v>9.7000000000000003E-2</v>
      </c>
      <c r="J336">
        <v>0</v>
      </c>
      <c r="O336">
        <f t="shared" si="299"/>
        <v>588.79</v>
      </c>
      <c r="P336">
        <f t="shared" si="300"/>
        <v>97.46</v>
      </c>
      <c r="Q336">
        <f t="shared" si="301"/>
        <v>5.31</v>
      </c>
      <c r="R336">
        <f t="shared" si="302"/>
        <v>0.79</v>
      </c>
      <c r="S336">
        <f t="shared" si="303"/>
        <v>486.02</v>
      </c>
      <c r="T336">
        <f t="shared" si="304"/>
        <v>0</v>
      </c>
      <c r="U336">
        <f t="shared" si="305"/>
        <v>6.8714799999999991</v>
      </c>
      <c r="V336">
        <f t="shared" si="306"/>
        <v>8.4875000000000003E-3</v>
      </c>
      <c r="W336">
        <f t="shared" si="307"/>
        <v>0</v>
      </c>
      <c r="X336">
        <f t="shared" si="308"/>
        <v>559.83000000000004</v>
      </c>
      <c r="Y336">
        <f t="shared" si="309"/>
        <v>345.64</v>
      </c>
      <c r="AA336">
        <v>16630606</v>
      </c>
      <c r="AB336">
        <f t="shared" si="310"/>
        <v>851.33</v>
      </c>
      <c r="AC336">
        <f t="shared" si="311"/>
        <v>140.91999999999999</v>
      </c>
      <c r="AD336">
        <f>ROUND(((((ET336*1.25))-((EU336*1.25)))+AE336),2)</f>
        <v>7.68</v>
      </c>
      <c r="AE336">
        <f>ROUND(((EU336*1.25)),2)</f>
        <v>1.1399999999999999</v>
      </c>
      <c r="AF336">
        <f>ROUND(((EV336*1.15)),2)</f>
        <v>702.73</v>
      </c>
      <c r="AG336">
        <f t="shared" si="315"/>
        <v>0</v>
      </c>
      <c r="AH336">
        <f>((EW336*1.15))</f>
        <v>70.839999999999989</v>
      </c>
      <c r="AI336">
        <f>((EX336*1.25))</f>
        <v>8.7500000000000008E-2</v>
      </c>
      <c r="AJ336">
        <f t="shared" si="318"/>
        <v>0</v>
      </c>
      <c r="AK336">
        <v>758.13</v>
      </c>
      <c r="AL336">
        <v>140.91999999999999</v>
      </c>
      <c r="AM336">
        <v>6.14</v>
      </c>
      <c r="AN336">
        <v>0.91</v>
      </c>
      <c r="AO336">
        <v>611.07000000000005</v>
      </c>
      <c r="AP336">
        <v>0</v>
      </c>
      <c r="AQ336">
        <v>61.6</v>
      </c>
      <c r="AR336">
        <v>7.0000000000000007E-2</v>
      </c>
      <c r="AS336">
        <v>0</v>
      </c>
      <c r="AT336">
        <v>115</v>
      </c>
      <c r="AU336">
        <v>71</v>
      </c>
      <c r="AV336">
        <v>1</v>
      </c>
      <c r="AW336">
        <v>1</v>
      </c>
      <c r="AZ336">
        <v>7.13</v>
      </c>
      <c r="BA336">
        <v>7.13</v>
      </c>
      <c r="BB336">
        <v>7.13</v>
      </c>
      <c r="BC336">
        <v>7.13</v>
      </c>
      <c r="BD336" t="s">
        <v>6</v>
      </c>
      <c r="BE336" t="s">
        <v>6</v>
      </c>
      <c r="BF336" t="s">
        <v>6</v>
      </c>
      <c r="BG336" t="s">
        <v>6</v>
      </c>
      <c r="BH336">
        <v>0</v>
      </c>
      <c r="BI336">
        <v>1</v>
      </c>
      <c r="BJ336" t="s">
        <v>921</v>
      </c>
      <c r="BM336">
        <v>16001</v>
      </c>
      <c r="BN336">
        <v>0</v>
      </c>
      <c r="BO336" t="s">
        <v>6</v>
      </c>
      <c r="BP336">
        <v>0</v>
      </c>
      <c r="BQ336">
        <v>2</v>
      </c>
      <c r="BR336">
        <v>0</v>
      </c>
      <c r="BS336">
        <v>7.13</v>
      </c>
      <c r="BT336">
        <v>1</v>
      </c>
      <c r="BU336">
        <v>1</v>
      </c>
      <c r="BV336">
        <v>1</v>
      </c>
      <c r="BW336">
        <v>1</v>
      </c>
      <c r="BX336">
        <v>1</v>
      </c>
      <c r="BY336" t="s">
        <v>6</v>
      </c>
      <c r="BZ336">
        <v>128</v>
      </c>
      <c r="CA336">
        <v>83</v>
      </c>
      <c r="CE336">
        <v>0</v>
      </c>
      <c r="CF336">
        <v>0</v>
      </c>
      <c r="CG336">
        <v>0</v>
      </c>
      <c r="CM336">
        <v>0</v>
      </c>
      <c r="CN336" t="s">
        <v>1758</v>
      </c>
      <c r="CO336">
        <v>0</v>
      </c>
      <c r="CP336">
        <f t="shared" si="319"/>
        <v>588.79</v>
      </c>
      <c r="CQ336">
        <f t="shared" si="320"/>
        <v>1004.7595999999999</v>
      </c>
      <c r="CR336">
        <f t="shared" si="321"/>
        <v>54.758399999999995</v>
      </c>
      <c r="CS336">
        <f t="shared" si="322"/>
        <v>8.1281999999999996</v>
      </c>
      <c r="CT336">
        <f t="shared" si="323"/>
        <v>5010.4648999999999</v>
      </c>
      <c r="CU336">
        <f t="shared" si="324"/>
        <v>0</v>
      </c>
      <c r="CV336">
        <f t="shared" si="325"/>
        <v>70.839999999999989</v>
      </c>
      <c r="CW336">
        <f t="shared" si="326"/>
        <v>8.7500000000000008E-2</v>
      </c>
      <c r="CX336">
        <f t="shared" si="327"/>
        <v>0</v>
      </c>
      <c r="CY336">
        <f t="shared" si="328"/>
        <v>559.83150000000001</v>
      </c>
      <c r="CZ336">
        <f t="shared" si="329"/>
        <v>345.63510000000002</v>
      </c>
      <c r="DC336" t="s">
        <v>6</v>
      </c>
      <c r="DD336" t="s">
        <v>6</v>
      </c>
      <c r="DE336" t="s">
        <v>81</v>
      </c>
      <c r="DF336" t="s">
        <v>81</v>
      </c>
      <c r="DG336" t="s">
        <v>82</v>
      </c>
      <c r="DH336" t="s">
        <v>6</v>
      </c>
      <c r="DI336" t="s">
        <v>82</v>
      </c>
      <c r="DJ336" t="s">
        <v>81</v>
      </c>
      <c r="DK336" t="s">
        <v>6</v>
      </c>
      <c r="DL336" t="s">
        <v>6</v>
      </c>
      <c r="DM336" t="s">
        <v>6</v>
      </c>
      <c r="DN336">
        <v>0</v>
      </c>
      <c r="DO336">
        <v>0</v>
      </c>
      <c r="DP336">
        <v>1</v>
      </c>
      <c r="DQ336">
        <v>1</v>
      </c>
      <c r="DU336">
        <v>1003</v>
      </c>
      <c r="DV336" t="s">
        <v>57</v>
      </c>
      <c r="DW336" t="s">
        <v>57</v>
      </c>
      <c r="DX336">
        <v>100</v>
      </c>
      <c r="EE336">
        <v>16609131</v>
      </c>
      <c r="EF336">
        <v>2</v>
      </c>
      <c r="EG336" t="s">
        <v>14</v>
      </c>
      <c r="EH336">
        <v>0</v>
      </c>
      <c r="EI336" t="s">
        <v>6</v>
      </c>
      <c r="EJ336">
        <v>1</v>
      </c>
      <c r="EK336">
        <v>16001</v>
      </c>
      <c r="EL336" t="s">
        <v>730</v>
      </c>
      <c r="EM336" t="s">
        <v>731</v>
      </c>
      <c r="EO336" t="s">
        <v>83</v>
      </c>
      <c r="EQ336">
        <v>131072</v>
      </c>
      <c r="ER336">
        <v>758.13</v>
      </c>
      <c r="ES336">
        <v>140.91999999999999</v>
      </c>
      <c r="ET336">
        <v>6.14</v>
      </c>
      <c r="EU336">
        <v>0.91</v>
      </c>
      <c r="EV336">
        <v>611.07000000000005</v>
      </c>
      <c r="EW336">
        <v>61.6</v>
      </c>
      <c r="EX336">
        <v>7.0000000000000007E-2</v>
      </c>
      <c r="EY336">
        <v>0</v>
      </c>
      <c r="FQ336">
        <v>0</v>
      </c>
      <c r="FR336">
        <f t="shared" si="330"/>
        <v>0</v>
      </c>
      <c r="FS336">
        <v>0</v>
      </c>
      <c r="FT336" t="s">
        <v>22</v>
      </c>
      <c r="FU336" t="s">
        <v>23</v>
      </c>
      <c r="FX336">
        <v>115.2</v>
      </c>
      <c r="FY336">
        <v>70.55</v>
      </c>
      <c r="GA336" t="s">
        <v>6</v>
      </c>
      <c r="GD336">
        <v>0</v>
      </c>
      <c r="GF336">
        <v>1989847972</v>
      </c>
      <c r="GG336">
        <v>1</v>
      </c>
      <c r="GH336">
        <v>1</v>
      </c>
      <c r="GI336">
        <v>4</v>
      </c>
      <c r="GJ336">
        <v>0</v>
      </c>
      <c r="GK336">
        <f>ROUND(R336*(R12)/100,2)</f>
        <v>0</v>
      </c>
      <c r="GL336">
        <f t="shared" si="331"/>
        <v>0</v>
      </c>
      <c r="GM336">
        <f t="shared" si="332"/>
        <v>1494.26</v>
      </c>
      <c r="GN336">
        <f t="shared" si="333"/>
        <v>1494.26</v>
      </c>
      <c r="GO336">
        <f t="shared" si="334"/>
        <v>0</v>
      </c>
      <c r="GP336">
        <f t="shared" si="335"/>
        <v>0</v>
      </c>
      <c r="GR336">
        <v>0</v>
      </c>
      <c r="GS336">
        <v>3</v>
      </c>
      <c r="GT336">
        <v>0</v>
      </c>
      <c r="GU336" t="s">
        <v>6</v>
      </c>
      <c r="GV336">
        <f t="shared" si="336"/>
        <v>0</v>
      </c>
      <c r="GW336">
        <v>1</v>
      </c>
      <c r="GX336">
        <f t="shared" si="337"/>
        <v>0</v>
      </c>
      <c r="HA336">
        <v>0</v>
      </c>
      <c r="HB336">
        <v>0</v>
      </c>
      <c r="HC336">
        <f t="shared" si="338"/>
        <v>0</v>
      </c>
      <c r="IK336">
        <v>0</v>
      </c>
    </row>
    <row r="337" spans="1:245" x14ac:dyDescent="0.2">
      <c r="A337">
        <v>18</v>
      </c>
      <c r="B337">
        <v>1</v>
      </c>
      <c r="C337">
        <v>697</v>
      </c>
      <c r="E337" t="s">
        <v>922</v>
      </c>
      <c r="F337" t="s">
        <v>923</v>
      </c>
      <c r="G337" t="s">
        <v>924</v>
      </c>
      <c r="H337" t="s">
        <v>98</v>
      </c>
      <c r="I337">
        <f>I336*J337</f>
        <v>5.9880000000000003E-3</v>
      </c>
      <c r="J337">
        <v>6.1731958762886598E-2</v>
      </c>
      <c r="O337">
        <f t="shared" si="299"/>
        <v>1602.29</v>
      </c>
      <c r="P337">
        <f t="shared" si="300"/>
        <v>1602.29</v>
      </c>
      <c r="Q337">
        <f t="shared" si="301"/>
        <v>0</v>
      </c>
      <c r="R337">
        <f t="shared" si="302"/>
        <v>0</v>
      </c>
      <c r="S337">
        <f t="shared" si="303"/>
        <v>0</v>
      </c>
      <c r="T337">
        <f t="shared" si="304"/>
        <v>0</v>
      </c>
      <c r="U337">
        <f t="shared" si="305"/>
        <v>0</v>
      </c>
      <c r="V337">
        <f t="shared" si="306"/>
        <v>0</v>
      </c>
      <c r="W337">
        <f t="shared" si="307"/>
        <v>0</v>
      </c>
      <c r="X337">
        <f t="shared" si="308"/>
        <v>0</v>
      </c>
      <c r="Y337">
        <f t="shared" si="309"/>
        <v>0</v>
      </c>
      <c r="AA337">
        <v>16630606</v>
      </c>
      <c r="AB337">
        <f t="shared" si="310"/>
        <v>37529.15</v>
      </c>
      <c r="AC337">
        <f t="shared" si="311"/>
        <v>37529.15</v>
      </c>
      <c r="AD337">
        <f>ROUND((((ET337)-(EU337))+AE337),2)</f>
        <v>0</v>
      </c>
      <c r="AE337">
        <f t="shared" ref="AE337:AF340" si="341">ROUND((EU337),2)</f>
        <v>0</v>
      </c>
      <c r="AF337">
        <f t="shared" si="341"/>
        <v>0</v>
      </c>
      <c r="AG337">
        <f t="shared" si="315"/>
        <v>0</v>
      </c>
      <c r="AH337">
        <f t="shared" ref="AH337:AI340" si="342">(EW337)</f>
        <v>0</v>
      </c>
      <c r="AI337">
        <f t="shared" si="342"/>
        <v>0</v>
      </c>
      <c r="AJ337">
        <f t="shared" si="318"/>
        <v>0</v>
      </c>
      <c r="AK337">
        <v>37529.15</v>
      </c>
      <c r="AL337">
        <v>37529.15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115</v>
      </c>
      <c r="AU337">
        <v>71</v>
      </c>
      <c r="AV337">
        <v>1</v>
      </c>
      <c r="AW337">
        <v>1</v>
      </c>
      <c r="AZ337">
        <v>7.13</v>
      </c>
      <c r="BA337">
        <v>1</v>
      </c>
      <c r="BB337">
        <v>1</v>
      </c>
      <c r="BC337">
        <v>7.13</v>
      </c>
      <c r="BD337" t="s">
        <v>6</v>
      </c>
      <c r="BE337" t="s">
        <v>6</v>
      </c>
      <c r="BF337" t="s">
        <v>6</v>
      </c>
      <c r="BG337" t="s">
        <v>6</v>
      </c>
      <c r="BH337">
        <v>3</v>
      </c>
      <c r="BI337">
        <v>1</v>
      </c>
      <c r="BJ337" t="s">
        <v>925</v>
      </c>
      <c r="BM337">
        <v>16001</v>
      </c>
      <c r="BN337">
        <v>0</v>
      </c>
      <c r="BO337" t="s">
        <v>6</v>
      </c>
      <c r="BP337">
        <v>0</v>
      </c>
      <c r="BQ337">
        <v>2</v>
      </c>
      <c r="BR337">
        <v>0</v>
      </c>
      <c r="BS337">
        <v>1</v>
      </c>
      <c r="BT337">
        <v>1</v>
      </c>
      <c r="BU337">
        <v>1</v>
      </c>
      <c r="BV337">
        <v>1</v>
      </c>
      <c r="BW337">
        <v>1</v>
      </c>
      <c r="BX337">
        <v>1</v>
      </c>
      <c r="BY337" t="s">
        <v>6</v>
      </c>
      <c r="BZ337">
        <v>128</v>
      </c>
      <c r="CA337">
        <v>83</v>
      </c>
      <c r="CE337">
        <v>0</v>
      </c>
      <c r="CF337">
        <v>0</v>
      </c>
      <c r="CG337">
        <v>0</v>
      </c>
      <c r="CM337">
        <v>0</v>
      </c>
      <c r="CN337" t="s">
        <v>6</v>
      </c>
      <c r="CO337">
        <v>0</v>
      </c>
      <c r="CP337">
        <f t="shared" si="319"/>
        <v>1602.29</v>
      </c>
      <c r="CQ337">
        <f t="shared" si="320"/>
        <v>267582.8395</v>
      </c>
      <c r="CR337">
        <f t="shared" si="321"/>
        <v>0</v>
      </c>
      <c r="CS337">
        <f t="shared" si="322"/>
        <v>0</v>
      </c>
      <c r="CT337">
        <f t="shared" si="323"/>
        <v>0</v>
      </c>
      <c r="CU337">
        <f t="shared" si="324"/>
        <v>0</v>
      </c>
      <c r="CV337">
        <f t="shared" si="325"/>
        <v>0</v>
      </c>
      <c r="CW337">
        <f t="shared" si="326"/>
        <v>0</v>
      </c>
      <c r="CX337">
        <f t="shared" si="327"/>
        <v>0</v>
      </c>
      <c r="CY337">
        <f t="shared" si="328"/>
        <v>0</v>
      </c>
      <c r="CZ337">
        <f t="shared" si="329"/>
        <v>0</v>
      </c>
      <c r="DC337" t="s">
        <v>6</v>
      </c>
      <c r="DD337" t="s">
        <v>6</v>
      </c>
      <c r="DE337" t="s">
        <v>6</v>
      </c>
      <c r="DF337" t="s">
        <v>6</v>
      </c>
      <c r="DG337" t="s">
        <v>6</v>
      </c>
      <c r="DH337" t="s">
        <v>6</v>
      </c>
      <c r="DI337" t="s">
        <v>6</v>
      </c>
      <c r="DJ337" t="s">
        <v>6</v>
      </c>
      <c r="DK337" t="s">
        <v>6</v>
      </c>
      <c r="DL337" t="s">
        <v>6</v>
      </c>
      <c r="DM337" t="s">
        <v>6</v>
      </c>
      <c r="DN337">
        <v>0</v>
      </c>
      <c r="DO337">
        <v>0</v>
      </c>
      <c r="DP337">
        <v>1</v>
      </c>
      <c r="DQ337">
        <v>1</v>
      </c>
      <c r="DU337">
        <v>1009</v>
      </c>
      <c r="DV337" t="s">
        <v>98</v>
      </c>
      <c r="DW337" t="s">
        <v>98</v>
      </c>
      <c r="DX337">
        <v>1000</v>
      </c>
      <c r="EE337">
        <v>16609131</v>
      </c>
      <c r="EF337">
        <v>2</v>
      </c>
      <c r="EG337" t="s">
        <v>14</v>
      </c>
      <c r="EH337">
        <v>0</v>
      </c>
      <c r="EI337" t="s">
        <v>6</v>
      </c>
      <c r="EJ337">
        <v>1</v>
      </c>
      <c r="EK337">
        <v>16001</v>
      </c>
      <c r="EL337" t="s">
        <v>730</v>
      </c>
      <c r="EM337" t="s">
        <v>731</v>
      </c>
      <c r="EO337" t="s">
        <v>6</v>
      </c>
      <c r="EQ337">
        <v>0</v>
      </c>
      <c r="ER337">
        <v>37529.15</v>
      </c>
      <c r="ES337">
        <v>37529.15</v>
      </c>
      <c r="ET337">
        <v>0</v>
      </c>
      <c r="EU337">
        <v>0</v>
      </c>
      <c r="EV337">
        <v>0</v>
      </c>
      <c r="EW337">
        <v>0</v>
      </c>
      <c r="EX337">
        <v>0</v>
      </c>
      <c r="FQ337">
        <v>0</v>
      </c>
      <c r="FR337">
        <f t="shared" si="330"/>
        <v>0</v>
      </c>
      <c r="FS337">
        <v>0</v>
      </c>
      <c r="FT337" t="s">
        <v>22</v>
      </c>
      <c r="FU337" t="s">
        <v>23</v>
      </c>
      <c r="FX337">
        <v>115.2</v>
      </c>
      <c r="FY337">
        <v>70.55</v>
      </c>
      <c r="GA337" t="s">
        <v>6</v>
      </c>
      <c r="GD337">
        <v>0</v>
      </c>
      <c r="GF337">
        <v>351021885</v>
      </c>
      <c r="GG337">
        <v>1</v>
      </c>
      <c r="GH337">
        <v>1</v>
      </c>
      <c r="GI337">
        <v>4</v>
      </c>
      <c r="GJ337">
        <v>0</v>
      </c>
      <c r="GK337">
        <f>ROUND(R337*(R12)/100,2)</f>
        <v>0</v>
      </c>
      <c r="GL337">
        <f t="shared" si="331"/>
        <v>0</v>
      </c>
      <c r="GM337">
        <f t="shared" si="332"/>
        <v>1602.29</v>
      </c>
      <c r="GN337">
        <f t="shared" si="333"/>
        <v>1602.29</v>
      </c>
      <c r="GO337">
        <f t="shared" si="334"/>
        <v>0</v>
      </c>
      <c r="GP337">
        <f t="shared" si="335"/>
        <v>0</v>
      </c>
      <c r="GR337">
        <v>0</v>
      </c>
      <c r="GS337">
        <v>3</v>
      </c>
      <c r="GT337">
        <v>0</v>
      </c>
      <c r="GU337" t="s">
        <v>6</v>
      </c>
      <c r="GV337">
        <f t="shared" si="336"/>
        <v>0</v>
      </c>
      <c r="GW337">
        <v>1</v>
      </c>
      <c r="GX337">
        <f t="shared" si="337"/>
        <v>0</v>
      </c>
      <c r="HA337">
        <v>0</v>
      </c>
      <c r="HB337">
        <v>0</v>
      </c>
      <c r="HC337">
        <f t="shared" si="338"/>
        <v>0</v>
      </c>
      <c r="IK337">
        <v>0</v>
      </c>
    </row>
    <row r="338" spans="1:245" x14ac:dyDescent="0.2">
      <c r="A338">
        <v>18</v>
      </c>
      <c r="B338">
        <v>1</v>
      </c>
      <c r="C338">
        <v>698</v>
      </c>
      <c r="E338" t="s">
        <v>926</v>
      </c>
      <c r="F338" t="s">
        <v>927</v>
      </c>
      <c r="G338" t="s">
        <v>928</v>
      </c>
      <c r="H338" t="s">
        <v>150</v>
      </c>
      <c r="I338">
        <f>I336*J338</f>
        <v>9.6999999999999993</v>
      </c>
      <c r="J338">
        <v>99.999999999999986</v>
      </c>
      <c r="O338">
        <f t="shared" si="299"/>
        <v>3009.89</v>
      </c>
      <c r="P338">
        <f t="shared" si="300"/>
        <v>3009.89</v>
      </c>
      <c r="Q338">
        <f t="shared" si="301"/>
        <v>0</v>
      </c>
      <c r="R338">
        <f t="shared" si="302"/>
        <v>0</v>
      </c>
      <c r="S338">
        <f t="shared" si="303"/>
        <v>0</v>
      </c>
      <c r="T338">
        <f t="shared" si="304"/>
        <v>0</v>
      </c>
      <c r="U338">
        <f t="shared" si="305"/>
        <v>0</v>
      </c>
      <c r="V338">
        <f t="shared" si="306"/>
        <v>0</v>
      </c>
      <c r="W338">
        <f t="shared" si="307"/>
        <v>0</v>
      </c>
      <c r="X338">
        <f t="shared" si="308"/>
        <v>0</v>
      </c>
      <c r="Y338">
        <f t="shared" si="309"/>
        <v>0</v>
      </c>
      <c r="AA338">
        <v>16630606</v>
      </c>
      <c r="AB338">
        <f t="shared" si="310"/>
        <v>43.52</v>
      </c>
      <c r="AC338">
        <f t="shared" si="311"/>
        <v>43.52</v>
      </c>
      <c r="AD338">
        <f>ROUND((((ET338)-(EU338))+AE338),2)</f>
        <v>0</v>
      </c>
      <c r="AE338">
        <f t="shared" si="341"/>
        <v>0</v>
      </c>
      <c r="AF338">
        <f t="shared" si="341"/>
        <v>0</v>
      </c>
      <c r="AG338">
        <f t="shared" si="315"/>
        <v>0</v>
      </c>
      <c r="AH338">
        <f t="shared" si="342"/>
        <v>0</v>
      </c>
      <c r="AI338">
        <f t="shared" si="342"/>
        <v>0</v>
      </c>
      <c r="AJ338">
        <f t="shared" si="318"/>
        <v>0</v>
      </c>
      <c r="AK338">
        <v>43.52</v>
      </c>
      <c r="AL338">
        <v>43.52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115</v>
      </c>
      <c r="AU338">
        <v>71</v>
      </c>
      <c r="AV338">
        <v>1</v>
      </c>
      <c r="AW338">
        <v>1</v>
      </c>
      <c r="AZ338">
        <v>7.13</v>
      </c>
      <c r="BA338">
        <v>1</v>
      </c>
      <c r="BB338">
        <v>1</v>
      </c>
      <c r="BC338">
        <v>7.13</v>
      </c>
      <c r="BD338" t="s">
        <v>6</v>
      </c>
      <c r="BE338" t="s">
        <v>6</v>
      </c>
      <c r="BF338" t="s">
        <v>6</v>
      </c>
      <c r="BG338" t="s">
        <v>6</v>
      </c>
      <c r="BH338">
        <v>3</v>
      </c>
      <c r="BI338">
        <v>1</v>
      </c>
      <c r="BJ338" t="s">
        <v>929</v>
      </c>
      <c r="BM338">
        <v>16001</v>
      </c>
      <c r="BN338">
        <v>0</v>
      </c>
      <c r="BO338" t="s">
        <v>6</v>
      </c>
      <c r="BP338">
        <v>0</v>
      </c>
      <c r="BQ338">
        <v>2</v>
      </c>
      <c r="BR338">
        <v>0</v>
      </c>
      <c r="BS338">
        <v>1</v>
      </c>
      <c r="BT338">
        <v>1</v>
      </c>
      <c r="BU338">
        <v>1</v>
      </c>
      <c r="BV338">
        <v>1</v>
      </c>
      <c r="BW338">
        <v>1</v>
      </c>
      <c r="BX338">
        <v>1</v>
      </c>
      <c r="BY338" t="s">
        <v>6</v>
      </c>
      <c r="BZ338">
        <v>128</v>
      </c>
      <c r="CA338">
        <v>83</v>
      </c>
      <c r="CE338">
        <v>0</v>
      </c>
      <c r="CF338">
        <v>0</v>
      </c>
      <c r="CG338">
        <v>0</v>
      </c>
      <c r="CM338">
        <v>0</v>
      </c>
      <c r="CN338" t="s">
        <v>6</v>
      </c>
      <c r="CO338">
        <v>0</v>
      </c>
      <c r="CP338">
        <f t="shared" si="319"/>
        <v>3009.89</v>
      </c>
      <c r="CQ338">
        <f t="shared" si="320"/>
        <v>310.29760000000005</v>
      </c>
      <c r="CR338">
        <f t="shared" si="321"/>
        <v>0</v>
      </c>
      <c r="CS338">
        <f t="shared" si="322"/>
        <v>0</v>
      </c>
      <c r="CT338">
        <f t="shared" si="323"/>
        <v>0</v>
      </c>
      <c r="CU338">
        <f t="shared" si="324"/>
        <v>0</v>
      </c>
      <c r="CV338">
        <f t="shared" si="325"/>
        <v>0</v>
      </c>
      <c r="CW338">
        <f t="shared" si="326"/>
        <v>0</v>
      </c>
      <c r="CX338">
        <f t="shared" si="327"/>
        <v>0</v>
      </c>
      <c r="CY338">
        <f t="shared" si="328"/>
        <v>0</v>
      </c>
      <c r="CZ338">
        <f t="shared" si="329"/>
        <v>0</v>
      </c>
      <c r="DC338" t="s">
        <v>6</v>
      </c>
      <c r="DD338" t="s">
        <v>6</v>
      </c>
      <c r="DE338" t="s">
        <v>6</v>
      </c>
      <c r="DF338" t="s">
        <v>6</v>
      </c>
      <c r="DG338" t="s">
        <v>6</v>
      </c>
      <c r="DH338" t="s">
        <v>6</v>
      </c>
      <c r="DI338" t="s">
        <v>6</v>
      </c>
      <c r="DJ338" t="s">
        <v>6</v>
      </c>
      <c r="DK338" t="s">
        <v>6</v>
      </c>
      <c r="DL338" t="s">
        <v>6</v>
      </c>
      <c r="DM338" t="s">
        <v>6</v>
      </c>
      <c r="DN338">
        <v>0</v>
      </c>
      <c r="DO338">
        <v>0</v>
      </c>
      <c r="DP338">
        <v>1</v>
      </c>
      <c r="DQ338">
        <v>1</v>
      </c>
      <c r="DU338">
        <v>1003</v>
      </c>
      <c r="DV338" t="s">
        <v>150</v>
      </c>
      <c r="DW338" t="s">
        <v>150</v>
      </c>
      <c r="DX338">
        <v>1</v>
      </c>
      <c r="EE338">
        <v>16609131</v>
      </c>
      <c r="EF338">
        <v>2</v>
      </c>
      <c r="EG338" t="s">
        <v>14</v>
      </c>
      <c r="EH338">
        <v>0</v>
      </c>
      <c r="EI338" t="s">
        <v>6</v>
      </c>
      <c r="EJ338">
        <v>1</v>
      </c>
      <c r="EK338">
        <v>16001</v>
      </c>
      <c r="EL338" t="s">
        <v>730</v>
      </c>
      <c r="EM338" t="s">
        <v>731</v>
      </c>
      <c r="EO338" t="s">
        <v>6</v>
      </c>
      <c r="EQ338">
        <v>0</v>
      </c>
      <c r="ER338">
        <v>43.52</v>
      </c>
      <c r="ES338">
        <v>43.52</v>
      </c>
      <c r="ET338">
        <v>0</v>
      </c>
      <c r="EU338">
        <v>0</v>
      </c>
      <c r="EV338">
        <v>0</v>
      </c>
      <c r="EW338">
        <v>0</v>
      </c>
      <c r="EX338">
        <v>0</v>
      </c>
      <c r="FQ338">
        <v>0</v>
      </c>
      <c r="FR338">
        <f t="shared" si="330"/>
        <v>0</v>
      </c>
      <c r="FS338">
        <v>0</v>
      </c>
      <c r="FT338" t="s">
        <v>22</v>
      </c>
      <c r="FU338" t="s">
        <v>23</v>
      </c>
      <c r="FX338">
        <v>115.2</v>
      </c>
      <c r="FY338">
        <v>70.55</v>
      </c>
      <c r="GA338" t="s">
        <v>6</v>
      </c>
      <c r="GD338">
        <v>0</v>
      </c>
      <c r="GF338">
        <v>1231130266</v>
      </c>
      <c r="GG338">
        <v>1</v>
      </c>
      <c r="GH338">
        <v>1</v>
      </c>
      <c r="GI338">
        <v>4</v>
      </c>
      <c r="GJ338">
        <v>0</v>
      </c>
      <c r="GK338">
        <f>ROUND(R338*(R12)/100,2)</f>
        <v>0</v>
      </c>
      <c r="GL338">
        <f t="shared" si="331"/>
        <v>0</v>
      </c>
      <c r="GM338">
        <f t="shared" si="332"/>
        <v>3009.89</v>
      </c>
      <c r="GN338">
        <f t="shared" si="333"/>
        <v>3009.89</v>
      </c>
      <c r="GO338">
        <f t="shared" si="334"/>
        <v>0</v>
      </c>
      <c r="GP338">
        <f t="shared" si="335"/>
        <v>0</v>
      </c>
      <c r="GR338">
        <v>0</v>
      </c>
      <c r="GS338">
        <v>3</v>
      </c>
      <c r="GT338">
        <v>0</v>
      </c>
      <c r="GU338" t="s">
        <v>6</v>
      </c>
      <c r="GV338">
        <f t="shared" si="336"/>
        <v>0</v>
      </c>
      <c r="GW338">
        <v>1</v>
      </c>
      <c r="GX338">
        <f t="shared" si="337"/>
        <v>0</v>
      </c>
      <c r="HA338">
        <v>0</v>
      </c>
      <c r="HB338">
        <v>0</v>
      </c>
      <c r="HC338">
        <f t="shared" si="338"/>
        <v>0</v>
      </c>
      <c r="IK338">
        <v>0</v>
      </c>
    </row>
    <row r="339" spans="1:245" x14ac:dyDescent="0.2">
      <c r="A339">
        <v>18</v>
      </c>
      <c r="B339">
        <v>1</v>
      </c>
      <c r="C339">
        <v>700</v>
      </c>
      <c r="E339" t="s">
        <v>930</v>
      </c>
      <c r="F339" t="s">
        <v>931</v>
      </c>
      <c r="G339" t="s">
        <v>932</v>
      </c>
      <c r="H339" t="s">
        <v>132</v>
      </c>
      <c r="I339">
        <f>I336*J339</f>
        <v>3</v>
      </c>
      <c r="J339">
        <v>30.927835051546392</v>
      </c>
      <c r="O339">
        <f t="shared" si="299"/>
        <v>324.7</v>
      </c>
      <c r="P339">
        <f t="shared" si="300"/>
        <v>324.7</v>
      </c>
      <c r="Q339">
        <f t="shared" si="301"/>
        <v>0</v>
      </c>
      <c r="R339">
        <f t="shared" si="302"/>
        <v>0</v>
      </c>
      <c r="S339">
        <f t="shared" si="303"/>
        <v>0</v>
      </c>
      <c r="T339">
        <f t="shared" si="304"/>
        <v>0</v>
      </c>
      <c r="U339">
        <f t="shared" si="305"/>
        <v>0</v>
      </c>
      <c r="V339">
        <f t="shared" si="306"/>
        <v>0</v>
      </c>
      <c r="W339">
        <f t="shared" si="307"/>
        <v>0</v>
      </c>
      <c r="X339">
        <f t="shared" si="308"/>
        <v>0</v>
      </c>
      <c r="Y339">
        <f t="shared" si="309"/>
        <v>0</v>
      </c>
      <c r="AA339">
        <v>16630606</v>
      </c>
      <c r="AB339">
        <f t="shared" si="310"/>
        <v>15.18</v>
      </c>
      <c r="AC339">
        <f t="shared" si="311"/>
        <v>15.18</v>
      </c>
      <c r="AD339">
        <f>ROUND((((ET339)-(EU339))+AE339),2)</f>
        <v>0</v>
      </c>
      <c r="AE339">
        <f t="shared" si="341"/>
        <v>0</v>
      </c>
      <c r="AF339">
        <f t="shared" si="341"/>
        <v>0</v>
      </c>
      <c r="AG339">
        <f t="shared" si="315"/>
        <v>0</v>
      </c>
      <c r="AH339">
        <f t="shared" si="342"/>
        <v>0</v>
      </c>
      <c r="AI339">
        <f t="shared" si="342"/>
        <v>0</v>
      </c>
      <c r="AJ339">
        <f t="shared" si="318"/>
        <v>0</v>
      </c>
      <c r="AK339">
        <v>15.18</v>
      </c>
      <c r="AL339">
        <v>15.18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115</v>
      </c>
      <c r="AU339">
        <v>71</v>
      </c>
      <c r="AV339">
        <v>1</v>
      </c>
      <c r="AW339">
        <v>1</v>
      </c>
      <c r="AZ339">
        <v>7.13</v>
      </c>
      <c r="BA339">
        <v>1</v>
      </c>
      <c r="BB339">
        <v>1</v>
      </c>
      <c r="BC339">
        <v>7.13</v>
      </c>
      <c r="BD339" t="s">
        <v>6</v>
      </c>
      <c r="BE339" t="s">
        <v>6</v>
      </c>
      <c r="BF339" t="s">
        <v>6</v>
      </c>
      <c r="BG339" t="s">
        <v>6</v>
      </c>
      <c r="BH339">
        <v>3</v>
      </c>
      <c r="BI339">
        <v>1</v>
      </c>
      <c r="BJ339" t="s">
        <v>933</v>
      </c>
      <c r="BM339">
        <v>16001</v>
      </c>
      <c r="BN339">
        <v>0</v>
      </c>
      <c r="BO339" t="s">
        <v>6</v>
      </c>
      <c r="BP339">
        <v>0</v>
      </c>
      <c r="BQ339">
        <v>2</v>
      </c>
      <c r="BR339">
        <v>0</v>
      </c>
      <c r="BS339">
        <v>1</v>
      </c>
      <c r="BT339">
        <v>1</v>
      </c>
      <c r="BU339">
        <v>1</v>
      </c>
      <c r="BV339">
        <v>1</v>
      </c>
      <c r="BW339">
        <v>1</v>
      </c>
      <c r="BX339">
        <v>1</v>
      </c>
      <c r="BY339" t="s">
        <v>6</v>
      </c>
      <c r="BZ339">
        <v>128</v>
      </c>
      <c r="CA339">
        <v>83</v>
      </c>
      <c r="CE339">
        <v>0</v>
      </c>
      <c r="CF339">
        <v>0</v>
      </c>
      <c r="CG339">
        <v>0</v>
      </c>
      <c r="CM339">
        <v>0</v>
      </c>
      <c r="CN339" t="s">
        <v>6</v>
      </c>
      <c r="CO339">
        <v>0</v>
      </c>
      <c r="CP339">
        <f t="shared" si="319"/>
        <v>324.7</v>
      </c>
      <c r="CQ339">
        <f t="shared" si="320"/>
        <v>108.2334</v>
      </c>
      <c r="CR339">
        <f t="shared" si="321"/>
        <v>0</v>
      </c>
      <c r="CS339">
        <f t="shared" si="322"/>
        <v>0</v>
      </c>
      <c r="CT339">
        <f t="shared" si="323"/>
        <v>0</v>
      </c>
      <c r="CU339">
        <f t="shared" si="324"/>
        <v>0</v>
      </c>
      <c r="CV339">
        <f t="shared" si="325"/>
        <v>0</v>
      </c>
      <c r="CW339">
        <f t="shared" si="326"/>
        <v>0</v>
      </c>
      <c r="CX339">
        <f t="shared" si="327"/>
        <v>0</v>
      </c>
      <c r="CY339">
        <f t="shared" si="328"/>
        <v>0</v>
      </c>
      <c r="CZ339">
        <f t="shared" si="329"/>
        <v>0</v>
      </c>
      <c r="DC339" t="s">
        <v>6</v>
      </c>
      <c r="DD339" t="s">
        <v>6</v>
      </c>
      <c r="DE339" t="s">
        <v>6</v>
      </c>
      <c r="DF339" t="s">
        <v>6</v>
      </c>
      <c r="DG339" t="s">
        <v>6</v>
      </c>
      <c r="DH339" t="s">
        <v>6</v>
      </c>
      <c r="DI339" t="s">
        <v>6</v>
      </c>
      <c r="DJ339" t="s">
        <v>6</v>
      </c>
      <c r="DK339" t="s">
        <v>6</v>
      </c>
      <c r="DL339" t="s">
        <v>6</v>
      </c>
      <c r="DM339" t="s">
        <v>6</v>
      </c>
      <c r="DN339">
        <v>0</v>
      </c>
      <c r="DO339">
        <v>0</v>
      </c>
      <c r="DP339">
        <v>1</v>
      </c>
      <c r="DQ339">
        <v>1</v>
      </c>
      <c r="DU339">
        <v>1010</v>
      </c>
      <c r="DV339" t="s">
        <v>132</v>
      </c>
      <c r="DW339" t="s">
        <v>132</v>
      </c>
      <c r="DX339">
        <v>1</v>
      </c>
      <c r="EE339">
        <v>16609131</v>
      </c>
      <c r="EF339">
        <v>2</v>
      </c>
      <c r="EG339" t="s">
        <v>14</v>
      </c>
      <c r="EH339">
        <v>0</v>
      </c>
      <c r="EI339" t="s">
        <v>6</v>
      </c>
      <c r="EJ339">
        <v>1</v>
      </c>
      <c r="EK339">
        <v>16001</v>
      </c>
      <c r="EL339" t="s">
        <v>730</v>
      </c>
      <c r="EM339" t="s">
        <v>731</v>
      </c>
      <c r="EO339" t="s">
        <v>6</v>
      </c>
      <c r="EQ339">
        <v>0</v>
      </c>
      <c r="ER339">
        <v>15.18</v>
      </c>
      <c r="ES339">
        <v>15.18</v>
      </c>
      <c r="ET339">
        <v>0</v>
      </c>
      <c r="EU339">
        <v>0</v>
      </c>
      <c r="EV339">
        <v>0</v>
      </c>
      <c r="EW339">
        <v>0</v>
      </c>
      <c r="EX339">
        <v>0</v>
      </c>
      <c r="FQ339">
        <v>0</v>
      </c>
      <c r="FR339">
        <f t="shared" si="330"/>
        <v>0</v>
      </c>
      <c r="FS339">
        <v>0</v>
      </c>
      <c r="FT339" t="s">
        <v>22</v>
      </c>
      <c r="FU339" t="s">
        <v>23</v>
      </c>
      <c r="FX339">
        <v>115.2</v>
      </c>
      <c r="FY339">
        <v>70.55</v>
      </c>
      <c r="GA339" t="s">
        <v>6</v>
      </c>
      <c r="GD339">
        <v>0</v>
      </c>
      <c r="GF339">
        <v>-1311761836</v>
      </c>
      <c r="GG339">
        <v>1</v>
      </c>
      <c r="GH339">
        <v>1</v>
      </c>
      <c r="GI339">
        <v>4</v>
      </c>
      <c r="GJ339">
        <v>0</v>
      </c>
      <c r="GK339">
        <f>ROUND(R339*(R12)/100,2)</f>
        <v>0</v>
      </c>
      <c r="GL339">
        <f t="shared" si="331"/>
        <v>0</v>
      </c>
      <c r="GM339">
        <f t="shared" si="332"/>
        <v>324.7</v>
      </c>
      <c r="GN339">
        <f t="shared" si="333"/>
        <v>324.7</v>
      </c>
      <c r="GO339">
        <f t="shared" si="334"/>
        <v>0</v>
      </c>
      <c r="GP339">
        <f t="shared" si="335"/>
        <v>0</v>
      </c>
      <c r="GR339">
        <v>0</v>
      </c>
      <c r="GS339">
        <v>3</v>
      </c>
      <c r="GT339">
        <v>0</v>
      </c>
      <c r="GU339" t="s">
        <v>6</v>
      </c>
      <c r="GV339">
        <f t="shared" si="336"/>
        <v>0</v>
      </c>
      <c r="GW339">
        <v>1</v>
      </c>
      <c r="GX339">
        <f t="shared" si="337"/>
        <v>0</v>
      </c>
      <c r="HA339">
        <v>0</v>
      </c>
      <c r="HB339">
        <v>0</v>
      </c>
      <c r="HC339">
        <f t="shared" si="338"/>
        <v>0</v>
      </c>
      <c r="IK339">
        <v>0</v>
      </c>
    </row>
    <row r="340" spans="1:245" x14ac:dyDescent="0.2">
      <c r="A340">
        <v>18</v>
      </c>
      <c r="B340">
        <v>1</v>
      </c>
      <c r="C340">
        <v>699</v>
      </c>
      <c r="E340" t="s">
        <v>934</v>
      </c>
      <c r="F340" t="s">
        <v>916</v>
      </c>
      <c r="G340" t="s">
        <v>935</v>
      </c>
      <c r="H340" t="s">
        <v>150</v>
      </c>
      <c r="I340">
        <f>I336*J340</f>
        <v>9.6999999999999993</v>
      </c>
      <c r="J340">
        <v>99.999999999999986</v>
      </c>
      <c r="O340">
        <f t="shared" si="299"/>
        <v>0</v>
      </c>
      <c r="P340">
        <f t="shared" si="300"/>
        <v>0</v>
      </c>
      <c r="Q340">
        <f t="shared" si="301"/>
        <v>0</v>
      </c>
      <c r="R340">
        <f t="shared" si="302"/>
        <v>0</v>
      </c>
      <c r="S340">
        <f t="shared" si="303"/>
        <v>0</v>
      </c>
      <c r="T340">
        <f t="shared" si="304"/>
        <v>0</v>
      </c>
      <c r="U340">
        <f t="shared" si="305"/>
        <v>0</v>
      </c>
      <c r="V340">
        <f t="shared" si="306"/>
        <v>0</v>
      </c>
      <c r="W340">
        <f t="shared" si="307"/>
        <v>0</v>
      </c>
      <c r="X340">
        <f t="shared" si="308"/>
        <v>0</v>
      </c>
      <c r="Y340">
        <f t="shared" si="309"/>
        <v>0</v>
      </c>
      <c r="AA340">
        <v>16630606</v>
      </c>
      <c r="AB340">
        <f t="shared" si="310"/>
        <v>0</v>
      </c>
      <c r="AC340">
        <f t="shared" si="311"/>
        <v>0</v>
      </c>
      <c r="AD340">
        <f>ROUND((((ET340)-(EU340))+AE340),2)</f>
        <v>0</v>
      </c>
      <c r="AE340">
        <f t="shared" si="341"/>
        <v>0</v>
      </c>
      <c r="AF340">
        <f t="shared" si="341"/>
        <v>0</v>
      </c>
      <c r="AG340">
        <f t="shared" si="315"/>
        <v>0</v>
      </c>
      <c r="AH340">
        <f t="shared" si="342"/>
        <v>0</v>
      </c>
      <c r="AI340">
        <f t="shared" si="342"/>
        <v>0</v>
      </c>
      <c r="AJ340">
        <f t="shared" si="318"/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115</v>
      </c>
      <c r="AU340">
        <v>71</v>
      </c>
      <c r="AV340">
        <v>1</v>
      </c>
      <c r="AW340">
        <v>1</v>
      </c>
      <c r="AZ340">
        <v>7.13</v>
      </c>
      <c r="BA340">
        <v>1</v>
      </c>
      <c r="BB340">
        <v>1</v>
      </c>
      <c r="BC340">
        <v>7.13</v>
      </c>
      <c r="BD340" t="s">
        <v>6</v>
      </c>
      <c r="BE340" t="s">
        <v>6</v>
      </c>
      <c r="BF340" t="s">
        <v>6</v>
      </c>
      <c r="BG340" t="s">
        <v>6</v>
      </c>
      <c r="BH340">
        <v>3</v>
      </c>
      <c r="BI340">
        <v>1</v>
      </c>
      <c r="BJ340" t="s">
        <v>6</v>
      </c>
      <c r="BM340">
        <v>16001</v>
      </c>
      <c r="BN340">
        <v>0</v>
      </c>
      <c r="BO340" t="s">
        <v>6</v>
      </c>
      <c r="BP340">
        <v>0</v>
      </c>
      <c r="BQ340">
        <v>2</v>
      </c>
      <c r="BR340">
        <v>0</v>
      </c>
      <c r="BS340">
        <v>1</v>
      </c>
      <c r="BT340">
        <v>1</v>
      </c>
      <c r="BU340">
        <v>1</v>
      </c>
      <c r="BV340">
        <v>1</v>
      </c>
      <c r="BW340">
        <v>1</v>
      </c>
      <c r="BX340">
        <v>1</v>
      </c>
      <c r="BY340" t="s">
        <v>6</v>
      </c>
      <c r="BZ340">
        <v>128</v>
      </c>
      <c r="CA340">
        <v>83</v>
      </c>
      <c r="CE340">
        <v>0</v>
      </c>
      <c r="CF340">
        <v>0</v>
      </c>
      <c r="CG340">
        <v>0</v>
      </c>
      <c r="CM340">
        <v>0</v>
      </c>
      <c r="CN340" t="s">
        <v>6</v>
      </c>
      <c r="CO340">
        <v>0</v>
      </c>
      <c r="CP340">
        <f t="shared" si="319"/>
        <v>0</v>
      </c>
      <c r="CQ340">
        <f t="shared" si="320"/>
        <v>0</v>
      </c>
      <c r="CR340">
        <f t="shared" si="321"/>
        <v>0</v>
      </c>
      <c r="CS340">
        <f t="shared" si="322"/>
        <v>0</v>
      </c>
      <c r="CT340">
        <f t="shared" si="323"/>
        <v>0</v>
      </c>
      <c r="CU340">
        <f t="shared" si="324"/>
        <v>0</v>
      </c>
      <c r="CV340">
        <f t="shared" si="325"/>
        <v>0</v>
      </c>
      <c r="CW340">
        <f t="shared" si="326"/>
        <v>0</v>
      </c>
      <c r="CX340">
        <f t="shared" si="327"/>
        <v>0</v>
      </c>
      <c r="CY340">
        <f t="shared" si="328"/>
        <v>0</v>
      </c>
      <c r="CZ340">
        <f t="shared" si="329"/>
        <v>0</v>
      </c>
      <c r="DC340" t="s">
        <v>6</v>
      </c>
      <c r="DD340" t="s">
        <v>6</v>
      </c>
      <c r="DE340" t="s">
        <v>6</v>
      </c>
      <c r="DF340" t="s">
        <v>6</v>
      </c>
      <c r="DG340" t="s">
        <v>6</v>
      </c>
      <c r="DH340" t="s">
        <v>6</v>
      </c>
      <c r="DI340" t="s">
        <v>6</v>
      </c>
      <c r="DJ340" t="s">
        <v>6</v>
      </c>
      <c r="DK340" t="s">
        <v>6</v>
      </c>
      <c r="DL340" t="s">
        <v>6</v>
      </c>
      <c r="DM340" t="s">
        <v>6</v>
      </c>
      <c r="DN340">
        <v>0</v>
      </c>
      <c r="DO340">
        <v>0</v>
      </c>
      <c r="DP340">
        <v>1</v>
      </c>
      <c r="DQ340">
        <v>1</v>
      </c>
      <c r="DU340">
        <v>1003</v>
      </c>
      <c r="DV340" t="s">
        <v>150</v>
      </c>
      <c r="DW340" t="s">
        <v>150</v>
      </c>
      <c r="DX340">
        <v>1</v>
      </c>
      <c r="EE340">
        <v>16609131</v>
      </c>
      <c r="EF340">
        <v>2</v>
      </c>
      <c r="EG340" t="s">
        <v>14</v>
      </c>
      <c r="EH340">
        <v>0</v>
      </c>
      <c r="EI340" t="s">
        <v>6</v>
      </c>
      <c r="EJ340">
        <v>1</v>
      </c>
      <c r="EK340">
        <v>16001</v>
      </c>
      <c r="EL340" t="s">
        <v>730</v>
      </c>
      <c r="EM340" t="s">
        <v>731</v>
      </c>
      <c r="EO340" t="s">
        <v>6</v>
      </c>
      <c r="EQ340">
        <v>0</v>
      </c>
      <c r="ER340">
        <v>0</v>
      </c>
      <c r="ES340">
        <v>0</v>
      </c>
      <c r="ET340">
        <v>0</v>
      </c>
      <c r="EU340">
        <v>0</v>
      </c>
      <c r="EV340">
        <v>0</v>
      </c>
      <c r="EW340">
        <v>0</v>
      </c>
      <c r="EX340">
        <v>0</v>
      </c>
      <c r="FQ340">
        <v>0</v>
      </c>
      <c r="FR340">
        <f t="shared" si="330"/>
        <v>0</v>
      </c>
      <c r="FS340">
        <v>0</v>
      </c>
      <c r="FT340" t="s">
        <v>22</v>
      </c>
      <c r="FU340" t="s">
        <v>23</v>
      </c>
      <c r="FX340">
        <v>115.2</v>
      </c>
      <c r="FY340">
        <v>70.55</v>
      </c>
      <c r="GA340" t="s">
        <v>743</v>
      </c>
      <c r="GD340">
        <v>0</v>
      </c>
      <c r="GF340">
        <v>2080577837</v>
      </c>
      <c r="GG340">
        <v>1</v>
      </c>
      <c r="GH340">
        <v>1</v>
      </c>
      <c r="GI340">
        <v>4</v>
      </c>
      <c r="GJ340">
        <v>0</v>
      </c>
      <c r="GK340">
        <f>ROUND(R340*(R12)/100,2)</f>
        <v>0</v>
      </c>
      <c r="GL340">
        <f t="shared" si="331"/>
        <v>0</v>
      </c>
      <c r="GM340">
        <f t="shared" si="332"/>
        <v>0</v>
      </c>
      <c r="GN340">
        <f t="shared" si="333"/>
        <v>0</v>
      </c>
      <c r="GO340">
        <f t="shared" si="334"/>
        <v>0</v>
      </c>
      <c r="GP340">
        <f t="shared" si="335"/>
        <v>0</v>
      </c>
      <c r="GR340">
        <v>0</v>
      </c>
      <c r="GS340">
        <v>4</v>
      </c>
      <c r="GT340">
        <v>0</v>
      </c>
      <c r="GU340" t="s">
        <v>6</v>
      </c>
      <c r="GV340">
        <f t="shared" si="336"/>
        <v>0</v>
      </c>
      <c r="GW340">
        <v>1</v>
      </c>
      <c r="GX340">
        <f t="shared" si="337"/>
        <v>0</v>
      </c>
      <c r="HA340">
        <v>0</v>
      </c>
      <c r="HB340">
        <v>0</v>
      </c>
      <c r="HC340">
        <f t="shared" si="338"/>
        <v>0</v>
      </c>
      <c r="IK340">
        <v>0</v>
      </c>
    </row>
    <row r="341" spans="1:245" x14ac:dyDescent="0.2">
      <c r="A341">
        <v>17</v>
      </c>
      <c r="B341">
        <v>1</v>
      </c>
      <c r="C341">
        <f>ROW(SmtRes!A712)</f>
        <v>712</v>
      </c>
      <c r="D341">
        <f>ROW(EtalonRes!A705)</f>
        <v>705</v>
      </c>
      <c r="E341" t="s">
        <v>936</v>
      </c>
      <c r="F341" t="s">
        <v>937</v>
      </c>
      <c r="G341" t="s">
        <v>938</v>
      </c>
      <c r="H341" t="s">
        <v>939</v>
      </c>
      <c r="I341">
        <f>ROUND(2/10,9)</f>
        <v>0.2</v>
      </c>
      <c r="J341">
        <v>0</v>
      </c>
      <c r="O341">
        <f t="shared" si="299"/>
        <v>374.06</v>
      </c>
      <c r="P341">
        <f t="shared" si="300"/>
        <v>116.82</v>
      </c>
      <c r="Q341">
        <f t="shared" si="301"/>
        <v>85.45</v>
      </c>
      <c r="R341">
        <f t="shared" si="302"/>
        <v>18.37</v>
      </c>
      <c r="S341">
        <f t="shared" si="303"/>
        <v>171.79</v>
      </c>
      <c r="T341">
        <f t="shared" si="304"/>
        <v>0</v>
      </c>
      <c r="U341">
        <f t="shared" si="305"/>
        <v>2.5047000000000001</v>
      </c>
      <c r="V341">
        <f t="shared" si="306"/>
        <v>0.21250000000000002</v>
      </c>
      <c r="W341">
        <f t="shared" si="307"/>
        <v>0</v>
      </c>
      <c r="X341">
        <f t="shared" si="308"/>
        <v>218.68</v>
      </c>
      <c r="Y341">
        <f t="shared" si="309"/>
        <v>135.01</v>
      </c>
      <c r="AA341">
        <v>16630606</v>
      </c>
      <c r="AB341">
        <f t="shared" si="310"/>
        <v>262.31</v>
      </c>
      <c r="AC341">
        <f t="shared" si="311"/>
        <v>81.92</v>
      </c>
      <c r="AD341">
        <f>ROUND(((((ET341*1.25))-((EU341*1.25)))+AE341),2)</f>
        <v>59.92</v>
      </c>
      <c r="AE341">
        <f>ROUND(((EU341*1.25)),2)</f>
        <v>12.88</v>
      </c>
      <c r="AF341">
        <f>ROUND(((EV341*1.15)),2)</f>
        <v>120.47</v>
      </c>
      <c r="AG341">
        <f t="shared" si="315"/>
        <v>0</v>
      </c>
      <c r="AH341">
        <f>((EW341*1.15))</f>
        <v>12.5235</v>
      </c>
      <c r="AI341">
        <f>((EX341*1.25))</f>
        <v>1.0625</v>
      </c>
      <c r="AJ341">
        <f t="shared" si="318"/>
        <v>0</v>
      </c>
      <c r="AK341">
        <v>234.61</v>
      </c>
      <c r="AL341">
        <v>81.92</v>
      </c>
      <c r="AM341">
        <v>47.93</v>
      </c>
      <c r="AN341">
        <v>10.3</v>
      </c>
      <c r="AO341">
        <v>104.76</v>
      </c>
      <c r="AP341">
        <v>0</v>
      </c>
      <c r="AQ341">
        <v>10.89</v>
      </c>
      <c r="AR341">
        <v>0.85</v>
      </c>
      <c r="AS341">
        <v>0</v>
      </c>
      <c r="AT341">
        <v>115</v>
      </c>
      <c r="AU341">
        <v>71</v>
      </c>
      <c r="AV341">
        <v>1</v>
      </c>
      <c r="AW341">
        <v>1</v>
      </c>
      <c r="AZ341">
        <v>7.13</v>
      </c>
      <c r="BA341">
        <v>7.13</v>
      </c>
      <c r="BB341">
        <v>7.13</v>
      </c>
      <c r="BC341">
        <v>7.13</v>
      </c>
      <c r="BD341" t="s">
        <v>6</v>
      </c>
      <c r="BE341" t="s">
        <v>6</v>
      </c>
      <c r="BF341" t="s">
        <v>6</v>
      </c>
      <c r="BG341" t="s">
        <v>6</v>
      </c>
      <c r="BH341">
        <v>0</v>
      </c>
      <c r="BI341">
        <v>1</v>
      </c>
      <c r="BJ341" t="s">
        <v>940</v>
      </c>
      <c r="BM341">
        <v>17001</v>
      </c>
      <c r="BN341">
        <v>0</v>
      </c>
      <c r="BO341" t="s">
        <v>6</v>
      </c>
      <c r="BP341">
        <v>0</v>
      </c>
      <c r="BQ341">
        <v>2</v>
      </c>
      <c r="BR341">
        <v>0</v>
      </c>
      <c r="BS341">
        <v>7.13</v>
      </c>
      <c r="BT341">
        <v>1</v>
      </c>
      <c r="BU341">
        <v>1</v>
      </c>
      <c r="BV341">
        <v>1</v>
      </c>
      <c r="BW341">
        <v>1</v>
      </c>
      <c r="BX341">
        <v>1</v>
      </c>
      <c r="BY341" t="s">
        <v>6</v>
      </c>
      <c r="BZ341">
        <v>128</v>
      </c>
      <c r="CA341">
        <v>83</v>
      </c>
      <c r="CE341">
        <v>0</v>
      </c>
      <c r="CF341">
        <v>0</v>
      </c>
      <c r="CG341">
        <v>0</v>
      </c>
      <c r="CM341">
        <v>0</v>
      </c>
      <c r="CN341" t="s">
        <v>1758</v>
      </c>
      <c r="CO341">
        <v>0</v>
      </c>
      <c r="CP341">
        <f t="shared" si="319"/>
        <v>374.05999999999995</v>
      </c>
      <c r="CQ341">
        <f t="shared" si="320"/>
        <v>584.08960000000002</v>
      </c>
      <c r="CR341">
        <f t="shared" si="321"/>
        <v>427.2296</v>
      </c>
      <c r="CS341">
        <f t="shared" si="322"/>
        <v>91.834400000000002</v>
      </c>
      <c r="CT341">
        <f t="shared" si="323"/>
        <v>858.9511</v>
      </c>
      <c r="CU341">
        <f t="shared" si="324"/>
        <v>0</v>
      </c>
      <c r="CV341">
        <f t="shared" si="325"/>
        <v>12.5235</v>
      </c>
      <c r="CW341">
        <f t="shared" si="326"/>
        <v>1.0625</v>
      </c>
      <c r="CX341">
        <f t="shared" si="327"/>
        <v>0</v>
      </c>
      <c r="CY341">
        <f t="shared" si="328"/>
        <v>218.68399999999997</v>
      </c>
      <c r="CZ341">
        <f t="shared" si="329"/>
        <v>135.0136</v>
      </c>
      <c r="DC341" t="s">
        <v>6</v>
      </c>
      <c r="DD341" t="s">
        <v>6</v>
      </c>
      <c r="DE341" t="s">
        <v>81</v>
      </c>
      <c r="DF341" t="s">
        <v>81</v>
      </c>
      <c r="DG341" t="s">
        <v>82</v>
      </c>
      <c r="DH341" t="s">
        <v>6</v>
      </c>
      <c r="DI341" t="s">
        <v>82</v>
      </c>
      <c r="DJ341" t="s">
        <v>81</v>
      </c>
      <c r="DK341" t="s">
        <v>6</v>
      </c>
      <c r="DL341" t="s">
        <v>6</v>
      </c>
      <c r="DM341" t="s">
        <v>6</v>
      </c>
      <c r="DN341">
        <v>0</v>
      </c>
      <c r="DO341">
        <v>0</v>
      </c>
      <c r="DP341">
        <v>1</v>
      </c>
      <c r="DQ341">
        <v>1</v>
      </c>
      <c r="DU341">
        <v>1013</v>
      </c>
      <c r="DV341" t="s">
        <v>939</v>
      </c>
      <c r="DW341" t="s">
        <v>939</v>
      </c>
      <c r="DX341">
        <v>1</v>
      </c>
      <c r="EE341">
        <v>16609132</v>
      </c>
      <c r="EF341">
        <v>2</v>
      </c>
      <c r="EG341" t="s">
        <v>14</v>
      </c>
      <c r="EH341">
        <v>0</v>
      </c>
      <c r="EI341" t="s">
        <v>6</v>
      </c>
      <c r="EJ341">
        <v>1</v>
      </c>
      <c r="EK341">
        <v>17001</v>
      </c>
      <c r="EL341" t="s">
        <v>941</v>
      </c>
      <c r="EM341" t="s">
        <v>942</v>
      </c>
      <c r="EO341" t="s">
        <v>83</v>
      </c>
      <c r="EQ341">
        <v>131072</v>
      </c>
      <c r="ER341">
        <v>234.61</v>
      </c>
      <c r="ES341">
        <v>81.92</v>
      </c>
      <c r="ET341">
        <v>47.93</v>
      </c>
      <c r="EU341">
        <v>10.3</v>
      </c>
      <c r="EV341">
        <v>104.76</v>
      </c>
      <c r="EW341">
        <v>10.89</v>
      </c>
      <c r="EX341">
        <v>0.85</v>
      </c>
      <c r="EY341">
        <v>0</v>
      </c>
      <c r="FQ341">
        <v>0</v>
      </c>
      <c r="FR341">
        <f t="shared" si="330"/>
        <v>0</v>
      </c>
      <c r="FS341">
        <v>0</v>
      </c>
      <c r="FT341" t="s">
        <v>22</v>
      </c>
      <c r="FU341" t="s">
        <v>23</v>
      </c>
      <c r="FX341">
        <v>115.2</v>
      </c>
      <c r="FY341">
        <v>70.55</v>
      </c>
      <c r="GA341" t="s">
        <v>6</v>
      </c>
      <c r="GD341">
        <v>0</v>
      </c>
      <c r="GF341">
        <v>1945972135</v>
      </c>
      <c r="GG341">
        <v>1</v>
      </c>
      <c r="GH341">
        <v>1</v>
      </c>
      <c r="GI341">
        <v>4</v>
      </c>
      <c r="GJ341">
        <v>0</v>
      </c>
      <c r="GK341">
        <f>ROUND(R341*(R12)/100,2)</f>
        <v>0</v>
      </c>
      <c r="GL341">
        <f t="shared" si="331"/>
        <v>0</v>
      </c>
      <c r="GM341">
        <f t="shared" si="332"/>
        <v>727.75</v>
      </c>
      <c r="GN341">
        <f t="shared" si="333"/>
        <v>727.75</v>
      </c>
      <c r="GO341">
        <f t="shared" si="334"/>
        <v>0</v>
      </c>
      <c r="GP341">
        <f t="shared" si="335"/>
        <v>0</v>
      </c>
      <c r="GR341">
        <v>0</v>
      </c>
      <c r="GS341">
        <v>3</v>
      </c>
      <c r="GT341">
        <v>0</v>
      </c>
      <c r="GU341" t="s">
        <v>6</v>
      </c>
      <c r="GV341">
        <f t="shared" si="336"/>
        <v>0</v>
      </c>
      <c r="GW341">
        <v>1</v>
      </c>
      <c r="GX341">
        <f t="shared" si="337"/>
        <v>0</v>
      </c>
      <c r="HA341">
        <v>0</v>
      </c>
      <c r="HB341">
        <v>0</v>
      </c>
      <c r="HC341">
        <f t="shared" si="338"/>
        <v>0</v>
      </c>
      <c r="IK341">
        <v>0</v>
      </c>
    </row>
    <row r="342" spans="1:245" x14ac:dyDescent="0.2">
      <c r="A342">
        <v>18</v>
      </c>
      <c r="B342">
        <v>1</v>
      </c>
      <c r="C342">
        <v>712</v>
      </c>
      <c r="E342" t="s">
        <v>943</v>
      </c>
      <c r="F342" t="s">
        <v>944</v>
      </c>
      <c r="G342" t="s">
        <v>945</v>
      </c>
      <c r="H342" t="s">
        <v>177</v>
      </c>
      <c r="I342">
        <f>I341*J342</f>
        <v>2</v>
      </c>
      <c r="J342">
        <v>10</v>
      </c>
      <c r="O342">
        <f t="shared" si="299"/>
        <v>7919.58</v>
      </c>
      <c r="P342">
        <f t="shared" si="300"/>
        <v>7919.58</v>
      </c>
      <c r="Q342">
        <f t="shared" si="301"/>
        <v>0</v>
      </c>
      <c r="R342">
        <f t="shared" si="302"/>
        <v>0</v>
      </c>
      <c r="S342">
        <f t="shared" si="303"/>
        <v>0</v>
      </c>
      <c r="T342">
        <f t="shared" si="304"/>
        <v>0</v>
      </c>
      <c r="U342">
        <f t="shared" si="305"/>
        <v>0</v>
      </c>
      <c r="V342">
        <f t="shared" si="306"/>
        <v>0</v>
      </c>
      <c r="W342">
        <f t="shared" si="307"/>
        <v>0</v>
      </c>
      <c r="X342">
        <f t="shared" si="308"/>
        <v>0</v>
      </c>
      <c r="Y342">
        <f t="shared" si="309"/>
        <v>0</v>
      </c>
      <c r="AA342">
        <v>16630606</v>
      </c>
      <c r="AB342">
        <f t="shared" si="310"/>
        <v>555.37</v>
      </c>
      <c r="AC342">
        <f t="shared" si="311"/>
        <v>555.37</v>
      </c>
      <c r="AD342">
        <f>ROUND((((ET342)-(EU342))+AE342),2)</f>
        <v>0</v>
      </c>
      <c r="AE342">
        <f>ROUND((EU342),2)</f>
        <v>0</v>
      </c>
      <c r="AF342">
        <f>ROUND((EV342),2)</f>
        <v>0</v>
      </c>
      <c r="AG342">
        <f t="shared" si="315"/>
        <v>0</v>
      </c>
      <c r="AH342">
        <f>(EW342)</f>
        <v>0</v>
      </c>
      <c r="AI342">
        <f>(EX342)</f>
        <v>0</v>
      </c>
      <c r="AJ342">
        <f t="shared" si="318"/>
        <v>0</v>
      </c>
      <c r="AK342">
        <v>555.37</v>
      </c>
      <c r="AL342">
        <v>555.37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115</v>
      </c>
      <c r="AU342">
        <v>71</v>
      </c>
      <c r="AV342">
        <v>1</v>
      </c>
      <c r="AW342">
        <v>1</v>
      </c>
      <c r="AZ342">
        <v>7.13</v>
      </c>
      <c r="BA342">
        <v>1</v>
      </c>
      <c r="BB342">
        <v>1</v>
      </c>
      <c r="BC342">
        <v>7.13</v>
      </c>
      <c r="BD342" t="s">
        <v>6</v>
      </c>
      <c r="BE342" t="s">
        <v>6</v>
      </c>
      <c r="BF342" t="s">
        <v>6</v>
      </c>
      <c r="BG342" t="s">
        <v>6</v>
      </c>
      <c r="BH342">
        <v>3</v>
      </c>
      <c r="BI342">
        <v>1</v>
      </c>
      <c r="BJ342" t="s">
        <v>946</v>
      </c>
      <c r="BM342">
        <v>17001</v>
      </c>
      <c r="BN342">
        <v>0</v>
      </c>
      <c r="BO342" t="s">
        <v>6</v>
      </c>
      <c r="BP342">
        <v>0</v>
      </c>
      <c r="BQ342">
        <v>2</v>
      </c>
      <c r="BR342">
        <v>0</v>
      </c>
      <c r="BS342">
        <v>1</v>
      </c>
      <c r="BT342">
        <v>1</v>
      </c>
      <c r="BU342">
        <v>1</v>
      </c>
      <c r="BV342">
        <v>1</v>
      </c>
      <c r="BW342">
        <v>1</v>
      </c>
      <c r="BX342">
        <v>1</v>
      </c>
      <c r="BY342" t="s">
        <v>6</v>
      </c>
      <c r="BZ342">
        <v>128</v>
      </c>
      <c r="CA342">
        <v>83</v>
      </c>
      <c r="CE342">
        <v>0</v>
      </c>
      <c r="CF342">
        <v>0</v>
      </c>
      <c r="CG342">
        <v>0</v>
      </c>
      <c r="CM342">
        <v>0</v>
      </c>
      <c r="CN342" t="s">
        <v>6</v>
      </c>
      <c r="CO342">
        <v>0</v>
      </c>
      <c r="CP342">
        <f t="shared" si="319"/>
        <v>7919.58</v>
      </c>
      <c r="CQ342">
        <f t="shared" si="320"/>
        <v>3959.7880999999998</v>
      </c>
      <c r="CR342">
        <f t="shared" si="321"/>
        <v>0</v>
      </c>
      <c r="CS342">
        <f t="shared" si="322"/>
        <v>0</v>
      </c>
      <c r="CT342">
        <f t="shared" si="323"/>
        <v>0</v>
      </c>
      <c r="CU342">
        <f t="shared" si="324"/>
        <v>0</v>
      </c>
      <c r="CV342">
        <f t="shared" si="325"/>
        <v>0</v>
      </c>
      <c r="CW342">
        <f t="shared" si="326"/>
        <v>0</v>
      </c>
      <c r="CX342">
        <f t="shared" si="327"/>
        <v>0</v>
      </c>
      <c r="CY342">
        <f t="shared" si="328"/>
        <v>0</v>
      </c>
      <c r="CZ342">
        <f t="shared" si="329"/>
        <v>0</v>
      </c>
      <c r="DC342" t="s">
        <v>6</v>
      </c>
      <c r="DD342" t="s">
        <v>6</v>
      </c>
      <c r="DE342" t="s">
        <v>6</v>
      </c>
      <c r="DF342" t="s">
        <v>6</v>
      </c>
      <c r="DG342" t="s">
        <v>6</v>
      </c>
      <c r="DH342" t="s">
        <v>6</v>
      </c>
      <c r="DI342" t="s">
        <v>6</v>
      </c>
      <c r="DJ342" t="s">
        <v>6</v>
      </c>
      <c r="DK342" t="s">
        <v>6</v>
      </c>
      <c r="DL342" t="s">
        <v>6</v>
      </c>
      <c r="DM342" t="s">
        <v>6</v>
      </c>
      <c r="DN342">
        <v>0</v>
      </c>
      <c r="DO342">
        <v>0</v>
      </c>
      <c r="DP342">
        <v>1</v>
      </c>
      <c r="DQ342">
        <v>1</v>
      </c>
      <c r="DU342">
        <v>1013</v>
      </c>
      <c r="DV342" t="s">
        <v>177</v>
      </c>
      <c r="DW342" t="s">
        <v>177</v>
      </c>
      <c r="DX342">
        <v>1</v>
      </c>
      <c r="EE342">
        <v>16609132</v>
      </c>
      <c r="EF342">
        <v>2</v>
      </c>
      <c r="EG342" t="s">
        <v>14</v>
      </c>
      <c r="EH342">
        <v>0</v>
      </c>
      <c r="EI342" t="s">
        <v>6</v>
      </c>
      <c r="EJ342">
        <v>1</v>
      </c>
      <c r="EK342">
        <v>17001</v>
      </c>
      <c r="EL342" t="s">
        <v>941</v>
      </c>
      <c r="EM342" t="s">
        <v>942</v>
      </c>
      <c r="EO342" t="s">
        <v>6</v>
      </c>
      <c r="EQ342">
        <v>0</v>
      </c>
      <c r="ER342">
        <v>555.37</v>
      </c>
      <c r="ES342">
        <v>555.37</v>
      </c>
      <c r="ET342">
        <v>0</v>
      </c>
      <c r="EU342">
        <v>0</v>
      </c>
      <c r="EV342">
        <v>0</v>
      </c>
      <c r="EW342">
        <v>0</v>
      </c>
      <c r="EX342">
        <v>0</v>
      </c>
      <c r="FQ342">
        <v>0</v>
      </c>
      <c r="FR342">
        <f t="shared" si="330"/>
        <v>0</v>
      </c>
      <c r="FS342">
        <v>0</v>
      </c>
      <c r="FT342" t="s">
        <v>22</v>
      </c>
      <c r="FU342" t="s">
        <v>23</v>
      </c>
      <c r="FX342">
        <v>115.2</v>
      </c>
      <c r="FY342">
        <v>70.55</v>
      </c>
      <c r="GA342" t="s">
        <v>6</v>
      </c>
      <c r="GD342">
        <v>0</v>
      </c>
      <c r="GF342">
        <v>-2048965220</v>
      </c>
      <c r="GG342">
        <v>1</v>
      </c>
      <c r="GH342">
        <v>1</v>
      </c>
      <c r="GI342">
        <v>4</v>
      </c>
      <c r="GJ342">
        <v>0</v>
      </c>
      <c r="GK342">
        <f>ROUND(R342*(R12)/100,2)</f>
        <v>0</v>
      </c>
      <c r="GL342">
        <f t="shared" si="331"/>
        <v>0</v>
      </c>
      <c r="GM342">
        <f t="shared" si="332"/>
        <v>7919.58</v>
      </c>
      <c r="GN342">
        <f t="shared" si="333"/>
        <v>7919.58</v>
      </c>
      <c r="GO342">
        <f t="shared" si="334"/>
        <v>0</v>
      </c>
      <c r="GP342">
        <f t="shared" si="335"/>
        <v>0</v>
      </c>
      <c r="GR342">
        <v>0</v>
      </c>
      <c r="GS342">
        <v>3</v>
      </c>
      <c r="GT342">
        <v>0</v>
      </c>
      <c r="GU342" t="s">
        <v>6</v>
      </c>
      <c r="GV342">
        <f t="shared" si="336"/>
        <v>0</v>
      </c>
      <c r="GW342">
        <v>1</v>
      </c>
      <c r="GX342">
        <f t="shared" si="337"/>
        <v>0</v>
      </c>
      <c r="HA342">
        <v>0</v>
      </c>
      <c r="HB342">
        <v>0</v>
      </c>
      <c r="HC342">
        <f t="shared" si="338"/>
        <v>0</v>
      </c>
      <c r="IK342">
        <v>0</v>
      </c>
    </row>
    <row r="343" spans="1:245" x14ac:dyDescent="0.2">
      <c r="A343">
        <v>17</v>
      </c>
      <c r="B343">
        <v>1</v>
      </c>
      <c r="C343">
        <f>ROW(SmtRes!A728)</f>
        <v>728</v>
      </c>
      <c r="D343">
        <f>ROW(EtalonRes!A723)</f>
        <v>723</v>
      </c>
      <c r="E343" t="s">
        <v>947</v>
      </c>
      <c r="F343" t="s">
        <v>948</v>
      </c>
      <c r="G343" t="s">
        <v>949</v>
      </c>
      <c r="H343" t="s">
        <v>939</v>
      </c>
      <c r="I343">
        <f>ROUND(3/10,9)</f>
        <v>0.3</v>
      </c>
      <c r="J343">
        <v>0</v>
      </c>
      <c r="O343">
        <f t="shared" si="299"/>
        <v>9736.75</v>
      </c>
      <c r="P343">
        <f t="shared" si="300"/>
        <v>9147.2199999999993</v>
      </c>
      <c r="Q343">
        <f t="shared" si="301"/>
        <v>70.67</v>
      </c>
      <c r="R343">
        <f t="shared" si="302"/>
        <v>19.32</v>
      </c>
      <c r="S343">
        <f t="shared" si="303"/>
        <v>518.86</v>
      </c>
      <c r="T343">
        <f t="shared" si="304"/>
        <v>0</v>
      </c>
      <c r="U343">
        <f t="shared" si="305"/>
        <v>7.652099999999999</v>
      </c>
      <c r="V343">
        <f t="shared" si="306"/>
        <v>0.21374999999999997</v>
      </c>
      <c r="W343">
        <f t="shared" si="307"/>
        <v>0</v>
      </c>
      <c r="X343">
        <f t="shared" si="308"/>
        <v>618.91</v>
      </c>
      <c r="Y343">
        <f t="shared" si="309"/>
        <v>382.11</v>
      </c>
      <c r="AA343">
        <v>16630606</v>
      </c>
      <c r="AB343">
        <f t="shared" si="310"/>
        <v>4552.01</v>
      </c>
      <c r="AC343">
        <f t="shared" si="311"/>
        <v>4276.3999999999996</v>
      </c>
      <c r="AD343">
        <f>ROUND(((((ET343*1.25))-((EU343*1.25)))+AE343),2)</f>
        <v>33.04</v>
      </c>
      <c r="AE343">
        <f>ROUND(((EU343*1.25)),2)</f>
        <v>9.0299999999999994</v>
      </c>
      <c r="AF343">
        <f>ROUND(((EV343*1.15)),2)</f>
        <v>242.57</v>
      </c>
      <c r="AG343">
        <f t="shared" si="315"/>
        <v>0</v>
      </c>
      <c r="AH343">
        <f>((EW343*1.15))</f>
        <v>25.506999999999998</v>
      </c>
      <c r="AI343">
        <f>((EX343*1.25))</f>
        <v>0.71249999999999991</v>
      </c>
      <c r="AJ343">
        <f t="shared" si="318"/>
        <v>0</v>
      </c>
      <c r="AK343">
        <v>4513.76</v>
      </c>
      <c r="AL343">
        <v>4276.3999999999996</v>
      </c>
      <c r="AM343">
        <v>26.43</v>
      </c>
      <c r="AN343">
        <v>7.22</v>
      </c>
      <c r="AO343">
        <v>210.93</v>
      </c>
      <c r="AP343">
        <v>0</v>
      </c>
      <c r="AQ343">
        <v>22.18</v>
      </c>
      <c r="AR343">
        <v>0.56999999999999995</v>
      </c>
      <c r="AS343">
        <v>0</v>
      </c>
      <c r="AT343">
        <v>115</v>
      </c>
      <c r="AU343">
        <v>71</v>
      </c>
      <c r="AV343">
        <v>1</v>
      </c>
      <c r="AW343">
        <v>1</v>
      </c>
      <c r="AZ343">
        <v>7.13</v>
      </c>
      <c r="BA343">
        <v>7.13</v>
      </c>
      <c r="BB343">
        <v>7.13</v>
      </c>
      <c r="BC343">
        <v>7.13</v>
      </c>
      <c r="BD343" t="s">
        <v>6</v>
      </c>
      <c r="BE343" t="s">
        <v>6</v>
      </c>
      <c r="BF343" t="s">
        <v>6</v>
      </c>
      <c r="BG343" t="s">
        <v>6</v>
      </c>
      <c r="BH343">
        <v>0</v>
      </c>
      <c r="BI343">
        <v>1</v>
      </c>
      <c r="BJ343" t="s">
        <v>950</v>
      </c>
      <c r="BM343">
        <v>17001</v>
      </c>
      <c r="BN343">
        <v>0</v>
      </c>
      <c r="BO343" t="s">
        <v>6</v>
      </c>
      <c r="BP343">
        <v>0</v>
      </c>
      <c r="BQ343">
        <v>2</v>
      </c>
      <c r="BR343">
        <v>0</v>
      </c>
      <c r="BS343">
        <v>7.13</v>
      </c>
      <c r="BT343">
        <v>1</v>
      </c>
      <c r="BU343">
        <v>1</v>
      </c>
      <c r="BV343">
        <v>1</v>
      </c>
      <c r="BW343">
        <v>1</v>
      </c>
      <c r="BX343">
        <v>1</v>
      </c>
      <c r="BY343" t="s">
        <v>6</v>
      </c>
      <c r="BZ343">
        <v>128</v>
      </c>
      <c r="CA343">
        <v>83</v>
      </c>
      <c r="CE343">
        <v>0</v>
      </c>
      <c r="CF343">
        <v>0</v>
      </c>
      <c r="CG343">
        <v>0</v>
      </c>
      <c r="CM343">
        <v>0</v>
      </c>
      <c r="CN343" t="s">
        <v>1758</v>
      </c>
      <c r="CO343">
        <v>0</v>
      </c>
      <c r="CP343">
        <f t="shared" si="319"/>
        <v>9736.75</v>
      </c>
      <c r="CQ343">
        <f t="shared" si="320"/>
        <v>30490.731999999996</v>
      </c>
      <c r="CR343">
        <f t="shared" si="321"/>
        <v>235.5752</v>
      </c>
      <c r="CS343">
        <f t="shared" si="322"/>
        <v>64.383899999999997</v>
      </c>
      <c r="CT343">
        <f t="shared" si="323"/>
        <v>1729.5240999999999</v>
      </c>
      <c r="CU343">
        <f t="shared" si="324"/>
        <v>0</v>
      </c>
      <c r="CV343">
        <f t="shared" si="325"/>
        <v>25.506999999999998</v>
      </c>
      <c r="CW343">
        <f t="shared" si="326"/>
        <v>0.71249999999999991</v>
      </c>
      <c r="CX343">
        <f t="shared" si="327"/>
        <v>0</v>
      </c>
      <c r="CY343">
        <f t="shared" si="328"/>
        <v>618.90700000000004</v>
      </c>
      <c r="CZ343">
        <f t="shared" si="329"/>
        <v>382.10780000000005</v>
      </c>
      <c r="DC343" t="s">
        <v>6</v>
      </c>
      <c r="DD343" t="s">
        <v>6</v>
      </c>
      <c r="DE343" t="s">
        <v>81</v>
      </c>
      <c r="DF343" t="s">
        <v>81</v>
      </c>
      <c r="DG343" t="s">
        <v>82</v>
      </c>
      <c r="DH343" t="s">
        <v>6</v>
      </c>
      <c r="DI343" t="s">
        <v>82</v>
      </c>
      <c r="DJ343" t="s">
        <v>81</v>
      </c>
      <c r="DK343" t="s">
        <v>6</v>
      </c>
      <c r="DL343" t="s">
        <v>6</v>
      </c>
      <c r="DM343" t="s">
        <v>6</v>
      </c>
      <c r="DN343">
        <v>0</v>
      </c>
      <c r="DO343">
        <v>0</v>
      </c>
      <c r="DP343">
        <v>1</v>
      </c>
      <c r="DQ343">
        <v>1</v>
      </c>
      <c r="DU343">
        <v>1013</v>
      </c>
      <c r="DV343" t="s">
        <v>939</v>
      </c>
      <c r="DW343" t="s">
        <v>939</v>
      </c>
      <c r="DX343">
        <v>1</v>
      </c>
      <c r="EE343">
        <v>16609132</v>
      </c>
      <c r="EF343">
        <v>2</v>
      </c>
      <c r="EG343" t="s">
        <v>14</v>
      </c>
      <c r="EH343">
        <v>0</v>
      </c>
      <c r="EI343" t="s">
        <v>6</v>
      </c>
      <c r="EJ343">
        <v>1</v>
      </c>
      <c r="EK343">
        <v>17001</v>
      </c>
      <c r="EL343" t="s">
        <v>941</v>
      </c>
      <c r="EM343" t="s">
        <v>942</v>
      </c>
      <c r="EO343" t="s">
        <v>83</v>
      </c>
      <c r="EQ343">
        <v>131072</v>
      </c>
      <c r="ER343">
        <v>4513.76</v>
      </c>
      <c r="ES343">
        <v>4276.3999999999996</v>
      </c>
      <c r="ET343">
        <v>26.43</v>
      </c>
      <c r="EU343">
        <v>7.22</v>
      </c>
      <c r="EV343">
        <v>210.93</v>
      </c>
      <c r="EW343">
        <v>22.18</v>
      </c>
      <c r="EX343">
        <v>0.56999999999999995</v>
      </c>
      <c r="EY343">
        <v>0</v>
      </c>
      <c r="FQ343">
        <v>0</v>
      </c>
      <c r="FR343">
        <f t="shared" si="330"/>
        <v>0</v>
      </c>
      <c r="FS343">
        <v>0</v>
      </c>
      <c r="FT343" t="s">
        <v>22</v>
      </c>
      <c r="FU343" t="s">
        <v>23</v>
      </c>
      <c r="FX343">
        <v>115.2</v>
      </c>
      <c r="FY343">
        <v>70.55</v>
      </c>
      <c r="GA343" t="s">
        <v>6</v>
      </c>
      <c r="GD343">
        <v>0</v>
      </c>
      <c r="GF343">
        <v>-1920789827</v>
      </c>
      <c r="GG343">
        <v>1</v>
      </c>
      <c r="GH343">
        <v>1</v>
      </c>
      <c r="GI343">
        <v>4</v>
      </c>
      <c r="GJ343">
        <v>0</v>
      </c>
      <c r="GK343">
        <f>ROUND(R343*(R12)/100,2)</f>
        <v>0</v>
      </c>
      <c r="GL343">
        <f t="shared" si="331"/>
        <v>0</v>
      </c>
      <c r="GM343">
        <f t="shared" si="332"/>
        <v>10737.77</v>
      </c>
      <c r="GN343">
        <f t="shared" si="333"/>
        <v>10737.77</v>
      </c>
      <c r="GO343">
        <f t="shared" si="334"/>
        <v>0</v>
      </c>
      <c r="GP343">
        <f t="shared" si="335"/>
        <v>0</v>
      </c>
      <c r="GR343">
        <v>0</v>
      </c>
      <c r="GS343">
        <v>3</v>
      </c>
      <c r="GT343">
        <v>0</v>
      </c>
      <c r="GU343" t="s">
        <v>6</v>
      </c>
      <c r="GV343">
        <f t="shared" si="336"/>
        <v>0</v>
      </c>
      <c r="GW343">
        <v>1</v>
      </c>
      <c r="GX343">
        <f t="shared" si="337"/>
        <v>0</v>
      </c>
      <c r="HA343">
        <v>0</v>
      </c>
      <c r="HB343">
        <v>0</v>
      </c>
      <c r="HC343">
        <f t="shared" si="338"/>
        <v>0</v>
      </c>
      <c r="IK343">
        <v>0</v>
      </c>
    </row>
    <row r="344" spans="1:245" x14ac:dyDescent="0.2">
      <c r="A344">
        <v>18</v>
      </c>
      <c r="B344">
        <v>1</v>
      </c>
      <c r="C344">
        <v>719</v>
      </c>
      <c r="E344" t="s">
        <v>951</v>
      </c>
      <c r="F344" t="s">
        <v>952</v>
      </c>
      <c r="G344" t="s">
        <v>953</v>
      </c>
      <c r="H344" t="s">
        <v>243</v>
      </c>
      <c r="I344">
        <f>I343*J344</f>
        <v>0.06</v>
      </c>
      <c r="J344">
        <v>0.2</v>
      </c>
      <c r="O344">
        <f t="shared" si="299"/>
        <v>35.51</v>
      </c>
      <c r="P344">
        <f t="shared" si="300"/>
        <v>35.51</v>
      </c>
      <c r="Q344">
        <f t="shared" si="301"/>
        <v>0</v>
      </c>
      <c r="R344">
        <f t="shared" si="302"/>
        <v>0</v>
      </c>
      <c r="S344">
        <f t="shared" si="303"/>
        <v>0</v>
      </c>
      <c r="T344">
        <f t="shared" si="304"/>
        <v>0</v>
      </c>
      <c r="U344">
        <f t="shared" si="305"/>
        <v>0</v>
      </c>
      <c r="V344">
        <f t="shared" si="306"/>
        <v>0</v>
      </c>
      <c r="W344">
        <f t="shared" si="307"/>
        <v>0</v>
      </c>
      <c r="X344">
        <f t="shared" si="308"/>
        <v>0</v>
      </c>
      <c r="Y344">
        <f t="shared" si="309"/>
        <v>0</v>
      </c>
      <c r="AA344">
        <v>16630606</v>
      </c>
      <c r="AB344">
        <f t="shared" si="310"/>
        <v>83</v>
      </c>
      <c r="AC344">
        <f t="shared" si="311"/>
        <v>83</v>
      </c>
      <c r="AD344">
        <f>ROUND((((ET344)-(EU344))+AE344),2)</f>
        <v>0</v>
      </c>
      <c r="AE344">
        <f t="shared" ref="AE344:AF346" si="343">ROUND((EU344),2)</f>
        <v>0</v>
      </c>
      <c r="AF344">
        <f t="shared" si="343"/>
        <v>0</v>
      </c>
      <c r="AG344">
        <f t="shared" si="315"/>
        <v>0</v>
      </c>
      <c r="AH344">
        <f t="shared" ref="AH344:AI346" si="344">(EW344)</f>
        <v>0</v>
      </c>
      <c r="AI344">
        <f t="shared" si="344"/>
        <v>0</v>
      </c>
      <c r="AJ344">
        <f t="shared" si="318"/>
        <v>0</v>
      </c>
      <c r="AK344">
        <v>83</v>
      </c>
      <c r="AL344">
        <v>83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115</v>
      </c>
      <c r="AU344">
        <v>71</v>
      </c>
      <c r="AV344">
        <v>1</v>
      </c>
      <c r="AW344">
        <v>1</v>
      </c>
      <c r="AZ344">
        <v>7.13</v>
      </c>
      <c r="BA344">
        <v>1</v>
      </c>
      <c r="BB344">
        <v>1</v>
      </c>
      <c r="BC344">
        <v>7.13</v>
      </c>
      <c r="BD344" t="s">
        <v>6</v>
      </c>
      <c r="BE344" t="s">
        <v>6</v>
      </c>
      <c r="BF344" t="s">
        <v>6</v>
      </c>
      <c r="BG344" t="s">
        <v>6</v>
      </c>
      <c r="BH344">
        <v>3</v>
      </c>
      <c r="BI344">
        <v>1</v>
      </c>
      <c r="BJ344" t="s">
        <v>954</v>
      </c>
      <c r="BM344">
        <v>17001</v>
      </c>
      <c r="BN344">
        <v>0</v>
      </c>
      <c r="BO344" t="s">
        <v>6</v>
      </c>
      <c r="BP344">
        <v>0</v>
      </c>
      <c r="BQ344">
        <v>2</v>
      </c>
      <c r="BR344">
        <v>0</v>
      </c>
      <c r="BS344">
        <v>1</v>
      </c>
      <c r="BT344">
        <v>1</v>
      </c>
      <c r="BU344">
        <v>1</v>
      </c>
      <c r="BV344">
        <v>1</v>
      </c>
      <c r="BW344">
        <v>1</v>
      </c>
      <c r="BX344">
        <v>1</v>
      </c>
      <c r="BY344" t="s">
        <v>6</v>
      </c>
      <c r="BZ344">
        <v>128</v>
      </c>
      <c r="CA344">
        <v>83</v>
      </c>
      <c r="CE344">
        <v>0</v>
      </c>
      <c r="CF344">
        <v>0</v>
      </c>
      <c r="CG344">
        <v>0</v>
      </c>
      <c r="CM344">
        <v>0</v>
      </c>
      <c r="CN344" t="s">
        <v>6</v>
      </c>
      <c r="CO344">
        <v>0</v>
      </c>
      <c r="CP344">
        <f t="shared" si="319"/>
        <v>35.51</v>
      </c>
      <c r="CQ344">
        <f t="shared" si="320"/>
        <v>591.79</v>
      </c>
      <c r="CR344">
        <f t="shared" si="321"/>
        <v>0</v>
      </c>
      <c r="CS344">
        <f t="shared" si="322"/>
        <v>0</v>
      </c>
      <c r="CT344">
        <f t="shared" si="323"/>
        <v>0</v>
      </c>
      <c r="CU344">
        <f t="shared" si="324"/>
        <v>0</v>
      </c>
      <c r="CV344">
        <f t="shared" si="325"/>
        <v>0</v>
      </c>
      <c r="CW344">
        <f t="shared" si="326"/>
        <v>0</v>
      </c>
      <c r="CX344">
        <f t="shared" si="327"/>
        <v>0</v>
      </c>
      <c r="CY344">
        <f t="shared" si="328"/>
        <v>0</v>
      </c>
      <c r="CZ344">
        <f t="shared" si="329"/>
        <v>0</v>
      </c>
      <c r="DC344" t="s">
        <v>6</v>
      </c>
      <c r="DD344" t="s">
        <v>6</v>
      </c>
      <c r="DE344" t="s">
        <v>6</v>
      </c>
      <c r="DF344" t="s">
        <v>6</v>
      </c>
      <c r="DG344" t="s">
        <v>6</v>
      </c>
      <c r="DH344" t="s">
        <v>6</v>
      </c>
      <c r="DI344" t="s">
        <v>6</v>
      </c>
      <c r="DJ344" t="s">
        <v>6</v>
      </c>
      <c r="DK344" t="s">
        <v>6</v>
      </c>
      <c r="DL344" t="s">
        <v>6</v>
      </c>
      <c r="DM344" t="s">
        <v>6</v>
      </c>
      <c r="DN344">
        <v>0</v>
      </c>
      <c r="DO344">
        <v>0</v>
      </c>
      <c r="DP344">
        <v>1</v>
      </c>
      <c r="DQ344">
        <v>1</v>
      </c>
      <c r="DU344">
        <v>1010</v>
      </c>
      <c r="DV344" t="s">
        <v>243</v>
      </c>
      <c r="DW344" t="s">
        <v>243</v>
      </c>
      <c r="DX344">
        <v>100</v>
      </c>
      <c r="EE344">
        <v>16609132</v>
      </c>
      <c r="EF344">
        <v>2</v>
      </c>
      <c r="EG344" t="s">
        <v>14</v>
      </c>
      <c r="EH344">
        <v>0</v>
      </c>
      <c r="EI344" t="s">
        <v>6</v>
      </c>
      <c r="EJ344">
        <v>1</v>
      </c>
      <c r="EK344">
        <v>17001</v>
      </c>
      <c r="EL344" t="s">
        <v>941</v>
      </c>
      <c r="EM344" t="s">
        <v>942</v>
      </c>
      <c r="EO344" t="s">
        <v>6</v>
      </c>
      <c r="EQ344">
        <v>0</v>
      </c>
      <c r="ER344">
        <v>83</v>
      </c>
      <c r="ES344">
        <v>83</v>
      </c>
      <c r="ET344">
        <v>0</v>
      </c>
      <c r="EU344">
        <v>0</v>
      </c>
      <c r="EV344">
        <v>0</v>
      </c>
      <c r="EW344">
        <v>0</v>
      </c>
      <c r="EX344">
        <v>0</v>
      </c>
      <c r="FQ344">
        <v>0</v>
      </c>
      <c r="FR344">
        <f t="shared" si="330"/>
        <v>0</v>
      </c>
      <c r="FS344">
        <v>0</v>
      </c>
      <c r="FT344" t="s">
        <v>22</v>
      </c>
      <c r="FU344" t="s">
        <v>23</v>
      </c>
      <c r="FX344">
        <v>115.2</v>
      </c>
      <c r="FY344">
        <v>70.55</v>
      </c>
      <c r="GA344" t="s">
        <v>6</v>
      </c>
      <c r="GD344">
        <v>0</v>
      </c>
      <c r="GF344">
        <v>-66531260</v>
      </c>
      <c r="GG344">
        <v>1</v>
      </c>
      <c r="GH344">
        <v>1</v>
      </c>
      <c r="GI344">
        <v>4</v>
      </c>
      <c r="GJ344">
        <v>0</v>
      </c>
      <c r="GK344">
        <f>ROUND(R344*(R12)/100,2)</f>
        <v>0</v>
      </c>
      <c r="GL344">
        <f t="shared" si="331"/>
        <v>0</v>
      </c>
      <c r="GM344">
        <f t="shared" si="332"/>
        <v>35.51</v>
      </c>
      <c r="GN344">
        <f t="shared" si="333"/>
        <v>35.51</v>
      </c>
      <c r="GO344">
        <f t="shared" si="334"/>
        <v>0</v>
      </c>
      <c r="GP344">
        <f t="shared" si="335"/>
        <v>0</v>
      </c>
      <c r="GR344">
        <v>0</v>
      </c>
      <c r="GS344">
        <v>3</v>
      </c>
      <c r="GT344">
        <v>0</v>
      </c>
      <c r="GU344" t="s">
        <v>6</v>
      </c>
      <c r="GV344">
        <f t="shared" si="336"/>
        <v>0</v>
      </c>
      <c r="GW344">
        <v>1</v>
      </c>
      <c r="GX344">
        <f t="shared" si="337"/>
        <v>0</v>
      </c>
      <c r="HA344">
        <v>0</v>
      </c>
      <c r="HB344">
        <v>0</v>
      </c>
      <c r="HC344">
        <f t="shared" si="338"/>
        <v>0</v>
      </c>
      <c r="IK344">
        <v>0</v>
      </c>
    </row>
    <row r="345" spans="1:245" x14ac:dyDescent="0.2">
      <c r="A345">
        <v>18</v>
      </c>
      <c r="B345">
        <v>1</v>
      </c>
      <c r="C345">
        <v>720</v>
      </c>
      <c r="E345" t="s">
        <v>955</v>
      </c>
      <c r="F345" t="s">
        <v>956</v>
      </c>
      <c r="G345" t="s">
        <v>957</v>
      </c>
      <c r="H345" t="s">
        <v>132</v>
      </c>
      <c r="I345">
        <f>I343*J345</f>
        <v>3</v>
      </c>
      <c r="J345">
        <v>10</v>
      </c>
      <c r="O345">
        <f t="shared" si="299"/>
        <v>213.9</v>
      </c>
      <c r="P345">
        <f t="shared" si="300"/>
        <v>213.9</v>
      </c>
      <c r="Q345">
        <f t="shared" si="301"/>
        <v>0</v>
      </c>
      <c r="R345">
        <f t="shared" si="302"/>
        <v>0</v>
      </c>
      <c r="S345">
        <f t="shared" si="303"/>
        <v>0</v>
      </c>
      <c r="T345">
        <f t="shared" si="304"/>
        <v>0</v>
      </c>
      <c r="U345">
        <f t="shared" si="305"/>
        <v>0</v>
      </c>
      <c r="V345">
        <f t="shared" si="306"/>
        <v>0</v>
      </c>
      <c r="W345">
        <f t="shared" si="307"/>
        <v>0</v>
      </c>
      <c r="X345">
        <f t="shared" si="308"/>
        <v>0</v>
      </c>
      <c r="Y345">
        <f t="shared" si="309"/>
        <v>0</v>
      </c>
      <c r="AA345">
        <v>16630606</v>
      </c>
      <c r="AB345">
        <f t="shared" si="310"/>
        <v>10</v>
      </c>
      <c r="AC345">
        <f t="shared" si="311"/>
        <v>10</v>
      </c>
      <c r="AD345">
        <f>ROUND((((ET345)-(EU345))+AE345),2)</f>
        <v>0</v>
      </c>
      <c r="AE345">
        <f t="shared" si="343"/>
        <v>0</v>
      </c>
      <c r="AF345">
        <f t="shared" si="343"/>
        <v>0</v>
      </c>
      <c r="AG345">
        <f t="shared" si="315"/>
        <v>0</v>
      </c>
      <c r="AH345">
        <f t="shared" si="344"/>
        <v>0</v>
      </c>
      <c r="AI345">
        <f t="shared" si="344"/>
        <v>0</v>
      </c>
      <c r="AJ345">
        <f t="shared" si="318"/>
        <v>0</v>
      </c>
      <c r="AK345">
        <v>10</v>
      </c>
      <c r="AL345">
        <v>10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115</v>
      </c>
      <c r="AU345">
        <v>71</v>
      </c>
      <c r="AV345">
        <v>1</v>
      </c>
      <c r="AW345">
        <v>1</v>
      </c>
      <c r="AZ345">
        <v>7.13</v>
      </c>
      <c r="BA345">
        <v>1</v>
      </c>
      <c r="BB345">
        <v>1</v>
      </c>
      <c r="BC345">
        <v>7.13</v>
      </c>
      <c r="BD345" t="s">
        <v>6</v>
      </c>
      <c r="BE345" t="s">
        <v>6</v>
      </c>
      <c r="BF345" t="s">
        <v>6</v>
      </c>
      <c r="BG345" t="s">
        <v>6</v>
      </c>
      <c r="BH345">
        <v>3</v>
      </c>
      <c r="BI345">
        <v>1</v>
      </c>
      <c r="BJ345" t="s">
        <v>958</v>
      </c>
      <c r="BM345">
        <v>17001</v>
      </c>
      <c r="BN345">
        <v>0</v>
      </c>
      <c r="BO345" t="s">
        <v>6</v>
      </c>
      <c r="BP345">
        <v>0</v>
      </c>
      <c r="BQ345">
        <v>2</v>
      </c>
      <c r="BR345">
        <v>0</v>
      </c>
      <c r="BS345">
        <v>1</v>
      </c>
      <c r="BT345">
        <v>1</v>
      </c>
      <c r="BU345">
        <v>1</v>
      </c>
      <c r="BV345">
        <v>1</v>
      </c>
      <c r="BW345">
        <v>1</v>
      </c>
      <c r="BX345">
        <v>1</v>
      </c>
      <c r="BY345" t="s">
        <v>6</v>
      </c>
      <c r="BZ345">
        <v>128</v>
      </c>
      <c r="CA345">
        <v>83</v>
      </c>
      <c r="CE345">
        <v>0</v>
      </c>
      <c r="CF345">
        <v>0</v>
      </c>
      <c r="CG345">
        <v>0</v>
      </c>
      <c r="CM345">
        <v>0</v>
      </c>
      <c r="CN345" t="s">
        <v>6</v>
      </c>
      <c r="CO345">
        <v>0</v>
      </c>
      <c r="CP345">
        <f t="shared" si="319"/>
        <v>213.9</v>
      </c>
      <c r="CQ345">
        <f t="shared" si="320"/>
        <v>71.3</v>
      </c>
      <c r="CR345">
        <f t="shared" si="321"/>
        <v>0</v>
      </c>
      <c r="CS345">
        <f t="shared" si="322"/>
        <v>0</v>
      </c>
      <c r="CT345">
        <f t="shared" si="323"/>
        <v>0</v>
      </c>
      <c r="CU345">
        <f t="shared" si="324"/>
        <v>0</v>
      </c>
      <c r="CV345">
        <f t="shared" si="325"/>
        <v>0</v>
      </c>
      <c r="CW345">
        <f t="shared" si="326"/>
        <v>0</v>
      </c>
      <c r="CX345">
        <f t="shared" si="327"/>
        <v>0</v>
      </c>
      <c r="CY345">
        <f t="shared" si="328"/>
        <v>0</v>
      </c>
      <c r="CZ345">
        <f t="shared" si="329"/>
        <v>0</v>
      </c>
      <c r="DC345" t="s">
        <v>6</v>
      </c>
      <c r="DD345" t="s">
        <v>6</v>
      </c>
      <c r="DE345" t="s">
        <v>6</v>
      </c>
      <c r="DF345" t="s">
        <v>6</v>
      </c>
      <c r="DG345" t="s">
        <v>6</v>
      </c>
      <c r="DH345" t="s">
        <v>6</v>
      </c>
      <c r="DI345" t="s">
        <v>6</v>
      </c>
      <c r="DJ345" t="s">
        <v>6</v>
      </c>
      <c r="DK345" t="s">
        <v>6</v>
      </c>
      <c r="DL345" t="s">
        <v>6</v>
      </c>
      <c r="DM345" t="s">
        <v>6</v>
      </c>
      <c r="DN345">
        <v>0</v>
      </c>
      <c r="DO345">
        <v>0</v>
      </c>
      <c r="DP345">
        <v>1</v>
      </c>
      <c r="DQ345">
        <v>1</v>
      </c>
      <c r="DU345">
        <v>1010</v>
      </c>
      <c r="DV345" t="s">
        <v>132</v>
      </c>
      <c r="DW345" t="s">
        <v>132</v>
      </c>
      <c r="DX345">
        <v>1</v>
      </c>
      <c r="EE345">
        <v>16609132</v>
      </c>
      <c r="EF345">
        <v>2</v>
      </c>
      <c r="EG345" t="s">
        <v>14</v>
      </c>
      <c r="EH345">
        <v>0</v>
      </c>
      <c r="EI345" t="s">
        <v>6</v>
      </c>
      <c r="EJ345">
        <v>1</v>
      </c>
      <c r="EK345">
        <v>17001</v>
      </c>
      <c r="EL345" t="s">
        <v>941</v>
      </c>
      <c r="EM345" t="s">
        <v>942</v>
      </c>
      <c r="EO345" t="s">
        <v>6</v>
      </c>
      <c r="EQ345">
        <v>0</v>
      </c>
      <c r="ER345">
        <v>10</v>
      </c>
      <c r="ES345">
        <v>10</v>
      </c>
      <c r="ET345">
        <v>0</v>
      </c>
      <c r="EU345">
        <v>0</v>
      </c>
      <c r="EV345">
        <v>0</v>
      </c>
      <c r="EW345">
        <v>0</v>
      </c>
      <c r="EX345">
        <v>0</v>
      </c>
      <c r="FQ345">
        <v>0</v>
      </c>
      <c r="FR345">
        <f t="shared" si="330"/>
        <v>0</v>
      </c>
      <c r="FS345">
        <v>0</v>
      </c>
      <c r="FT345" t="s">
        <v>22</v>
      </c>
      <c r="FU345" t="s">
        <v>23</v>
      </c>
      <c r="FX345">
        <v>115.2</v>
      </c>
      <c r="FY345">
        <v>70.55</v>
      </c>
      <c r="GA345" t="s">
        <v>6</v>
      </c>
      <c r="GD345">
        <v>0</v>
      </c>
      <c r="GF345">
        <v>288337808</v>
      </c>
      <c r="GG345">
        <v>1</v>
      </c>
      <c r="GH345">
        <v>1</v>
      </c>
      <c r="GI345">
        <v>4</v>
      </c>
      <c r="GJ345">
        <v>0</v>
      </c>
      <c r="GK345">
        <f>ROUND(R345*(R12)/100,2)</f>
        <v>0</v>
      </c>
      <c r="GL345">
        <f t="shared" si="331"/>
        <v>0</v>
      </c>
      <c r="GM345">
        <f t="shared" si="332"/>
        <v>213.9</v>
      </c>
      <c r="GN345">
        <f t="shared" si="333"/>
        <v>213.9</v>
      </c>
      <c r="GO345">
        <f t="shared" si="334"/>
        <v>0</v>
      </c>
      <c r="GP345">
        <f t="shared" si="335"/>
        <v>0</v>
      </c>
      <c r="GR345">
        <v>0</v>
      </c>
      <c r="GS345">
        <v>3</v>
      </c>
      <c r="GT345">
        <v>0</v>
      </c>
      <c r="GU345" t="s">
        <v>6</v>
      </c>
      <c r="GV345">
        <f t="shared" si="336"/>
        <v>0</v>
      </c>
      <c r="GW345">
        <v>1</v>
      </c>
      <c r="GX345">
        <f t="shared" si="337"/>
        <v>0</v>
      </c>
      <c r="HA345">
        <v>0</v>
      </c>
      <c r="HB345">
        <v>0</v>
      </c>
      <c r="HC345">
        <f t="shared" si="338"/>
        <v>0</v>
      </c>
      <c r="IK345">
        <v>0</v>
      </c>
    </row>
    <row r="346" spans="1:245" x14ac:dyDescent="0.2">
      <c r="A346">
        <v>18</v>
      </c>
      <c r="B346">
        <v>1</v>
      </c>
      <c r="C346">
        <v>727</v>
      </c>
      <c r="E346" t="s">
        <v>959</v>
      </c>
      <c r="F346" t="s">
        <v>960</v>
      </c>
      <c r="G346" t="s">
        <v>961</v>
      </c>
      <c r="H346" t="s">
        <v>177</v>
      </c>
      <c r="I346">
        <f>I343*J346</f>
        <v>3</v>
      </c>
      <c r="J346">
        <v>10</v>
      </c>
      <c r="O346">
        <f t="shared" si="299"/>
        <v>6802.02</v>
      </c>
      <c r="P346">
        <f t="shared" si="300"/>
        <v>6802.02</v>
      </c>
      <c r="Q346">
        <f t="shared" si="301"/>
        <v>0</v>
      </c>
      <c r="R346">
        <f t="shared" si="302"/>
        <v>0</v>
      </c>
      <c r="S346">
        <f t="shared" si="303"/>
        <v>0</v>
      </c>
      <c r="T346">
        <f t="shared" si="304"/>
        <v>0</v>
      </c>
      <c r="U346">
        <f t="shared" si="305"/>
        <v>0</v>
      </c>
      <c r="V346">
        <f t="shared" si="306"/>
        <v>0</v>
      </c>
      <c r="W346">
        <f t="shared" si="307"/>
        <v>0</v>
      </c>
      <c r="X346">
        <f t="shared" si="308"/>
        <v>0</v>
      </c>
      <c r="Y346">
        <f t="shared" si="309"/>
        <v>0</v>
      </c>
      <c r="AA346">
        <v>16630606</v>
      </c>
      <c r="AB346">
        <f t="shared" si="310"/>
        <v>318</v>
      </c>
      <c r="AC346">
        <f t="shared" si="311"/>
        <v>318</v>
      </c>
      <c r="AD346">
        <f>ROUND((((ET346)-(EU346))+AE346),2)</f>
        <v>0</v>
      </c>
      <c r="AE346">
        <f t="shared" si="343"/>
        <v>0</v>
      </c>
      <c r="AF346">
        <f t="shared" si="343"/>
        <v>0</v>
      </c>
      <c r="AG346">
        <f t="shared" si="315"/>
        <v>0</v>
      </c>
      <c r="AH346">
        <f t="shared" si="344"/>
        <v>0</v>
      </c>
      <c r="AI346">
        <f t="shared" si="344"/>
        <v>0</v>
      </c>
      <c r="AJ346">
        <f t="shared" si="318"/>
        <v>0</v>
      </c>
      <c r="AK346">
        <v>318</v>
      </c>
      <c r="AL346">
        <v>318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115</v>
      </c>
      <c r="AU346">
        <v>71</v>
      </c>
      <c r="AV346">
        <v>1</v>
      </c>
      <c r="AW346">
        <v>1</v>
      </c>
      <c r="AZ346">
        <v>7.13</v>
      </c>
      <c r="BA346">
        <v>1</v>
      </c>
      <c r="BB346">
        <v>1</v>
      </c>
      <c r="BC346">
        <v>7.13</v>
      </c>
      <c r="BD346" t="s">
        <v>6</v>
      </c>
      <c r="BE346" t="s">
        <v>6</v>
      </c>
      <c r="BF346" t="s">
        <v>6</v>
      </c>
      <c r="BG346" t="s">
        <v>6</v>
      </c>
      <c r="BH346">
        <v>3</v>
      </c>
      <c r="BI346">
        <v>1</v>
      </c>
      <c r="BJ346" t="s">
        <v>962</v>
      </c>
      <c r="BM346">
        <v>17001</v>
      </c>
      <c r="BN346">
        <v>0</v>
      </c>
      <c r="BO346" t="s">
        <v>6</v>
      </c>
      <c r="BP346">
        <v>0</v>
      </c>
      <c r="BQ346">
        <v>2</v>
      </c>
      <c r="BR346">
        <v>0</v>
      </c>
      <c r="BS346">
        <v>1</v>
      </c>
      <c r="BT346">
        <v>1</v>
      </c>
      <c r="BU346">
        <v>1</v>
      </c>
      <c r="BV346">
        <v>1</v>
      </c>
      <c r="BW346">
        <v>1</v>
      </c>
      <c r="BX346">
        <v>1</v>
      </c>
      <c r="BY346" t="s">
        <v>6</v>
      </c>
      <c r="BZ346">
        <v>128</v>
      </c>
      <c r="CA346">
        <v>83</v>
      </c>
      <c r="CE346">
        <v>0</v>
      </c>
      <c r="CF346">
        <v>0</v>
      </c>
      <c r="CG346">
        <v>0</v>
      </c>
      <c r="CM346">
        <v>0</v>
      </c>
      <c r="CN346" t="s">
        <v>6</v>
      </c>
      <c r="CO346">
        <v>0</v>
      </c>
      <c r="CP346">
        <f t="shared" si="319"/>
        <v>6802.02</v>
      </c>
      <c r="CQ346">
        <f t="shared" si="320"/>
        <v>2267.34</v>
      </c>
      <c r="CR346">
        <f t="shared" si="321"/>
        <v>0</v>
      </c>
      <c r="CS346">
        <f t="shared" si="322"/>
        <v>0</v>
      </c>
      <c r="CT346">
        <f t="shared" si="323"/>
        <v>0</v>
      </c>
      <c r="CU346">
        <f t="shared" si="324"/>
        <v>0</v>
      </c>
      <c r="CV346">
        <f t="shared" si="325"/>
        <v>0</v>
      </c>
      <c r="CW346">
        <f t="shared" si="326"/>
        <v>0</v>
      </c>
      <c r="CX346">
        <f t="shared" si="327"/>
        <v>0</v>
      </c>
      <c r="CY346">
        <f t="shared" si="328"/>
        <v>0</v>
      </c>
      <c r="CZ346">
        <f t="shared" si="329"/>
        <v>0</v>
      </c>
      <c r="DC346" t="s">
        <v>6</v>
      </c>
      <c r="DD346" t="s">
        <v>6</v>
      </c>
      <c r="DE346" t="s">
        <v>6</v>
      </c>
      <c r="DF346" t="s">
        <v>6</v>
      </c>
      <c r="DG346" t="s">
        <v>6</v>
      </c>
      <c r="DH346" t="s">
        <v>6</v>
      </c>
      <c r="DI346" t="s">
        <v>6</v>
      </c>
      <c r="DJ346" t="s">
        <v>6</v>
      </c>
      <c r="DK346" t="s">
        <v>6</v>
      </c>
      <c r="DL346" t="s">
        <v>6</v>
      </c>
      <c r="DM346" t="s">
        <v>6</v>
      </c>
      <c r="DN346">
        <v>0</v>
      </c>
      <c r="DO346">
        <v>0</v>
      </c>
      <c r="DP346">
        <v>1</v>
      </c>
      <c r="DQ346">
        <v>1</v>
      </c>
      <c r="DU346">
        <v>1013</v>
      </c>
      <c r="DV346" t="s">
        <v>177</v>
      </c>
      <c r="DW346" t="s">
        <v>177</v>
      </c>
      <c r="DX346">
        <v>1</v>
      </c>
      <c r="EE346">
        <v>16609132</v>
      </c>
      <c r="EF346">
        <v>2</v>
      </c>
      <c r="EG346" t="s">
        <v>14</v>
      </c>
      <c r="EH346">
        <v>0</v>
      </c>
      <c r="EI346" t="s">
        <v>6</v>
      </c>
      <c r="EJ346">
        <v>1</v>
      </c>
      <c r="EK346">
        <v>17001</v>
      </c>
      <c r="EL346" t="s">
        <v>941</v>
      </c>
      <c r="EM346" t="s">
        <v>942</v>
      </c>
      <c r="EO346" t="s">
        <v>6</v>
      </c>
      <c r="EQ346">
        <v>0</v>
      </c>
      <c r="ER346">
        <v>318</v>
      </c>
      <c r="ES346">
        <v>318</v>
      </c>
      <c r="ET346">
        <v>0</v>
      </c>
      <c r="EU346">
        <v>0</v>
      </c>
      <c r="EV346">
        <v>0</v>
      </c>
      <c r="EW346">
        <v>0</v>
      </c>
      <c r="EX346">
        <v>0</v>
      </c>
      <c r="FQ346">
        <v>0</v>
      </c>
      <c r="FR346">
        <f t="shared" si="330"/>
        <v>0</v>
      </c>
      <c r="FS346">
        <v>0</v>
      </c>
      <c r="FT346" t="s">
        <v>22</v>
      </c>
      <c r="FU346" t="s">
        <v>23</v>
      </c>
      <c r="FX346">
        <v>115.2</v>
      </c>
      <c r="FY346">
        <v>70.55</v>
      </c>
      <c r="GA346" t="s">
        <v>6</v>
      </c>
      <c r="GD346">
        <v>0</v>
      </c>
      <c r="GF346">
        <v>-565867749</v>
      </c>
      <c r="GG346">
        <v>1</v>
      </c>
      <c r="GH346">
        <v>1</v>
      </c>
      <c r="GI346">
        <v>4</v>
      </c>
      <c r="GJ346">
        <v>0</v>
      </c>
      <c r="GK346">
        <f>ROUND(R346*(R12)/100,2)</f>
        <v>0</v>
      </c>
      <c r="GL346">
        <f t="shared" si="331"/>
        <v>0</v>
      </c>
      <c r="GM346">
        <f t="shared" si="332"/>
        <v>6802.02</v>
      </c>
      <c r="GN346">
        <f t="shared" si="333"/>
        <v>6802.02</v>
      </c>
      <c r="GO346">
        <f t="shared" si="334"/>
        <v>0</v>
      </c>
      <c r="GP346">
        <f t="shared" si="335"/>
        <v>0</v>
      </c>
      <c r="GR346">
        <v>0</v>
      </c>
      <c r="GS346">
        <v>3</v>
      </c>
      <c r="GT346">
        <v>0</v>
      </c>
      <c r="GU346" t="s">
        <v>6</v>
      </c>
      <c r="GV346">
        <f t="shared" si="336"/>
        <v>0</v>
      </c>
      <c r="GW346">
        <v>1</v>
      </c>
      <c r="GX346">
        <f t="shared" si="337"/>
        <v>0</v>
      </c>
      <c r="HA346">
        <v>0</v>
      </c>
      <c r="HB346">
        <v>0</v>
      </c>
      <c r="HC346">
        <f t="shared" si="338"/>
        <v>0</v>
      </c>
      <c r="IK346">
        <v>0</v>
      </c>
    </row>
    <row r="347" spans="1:245" x14ac:dyDescent="0.2">
      <c r="A347">
        <v>17</v>
      </c>
      <c r="B347">
        <v>1</v>
      </c>
      <c r="C347">
        <f>ROW(SmtRes!A737)</f>
        <v>737</v>
      </c>
      <c r="D347">
        <f>ROW(EtalonRes!A736)</f>
        <v>736</v>
      </c>
      <c r="E347" t="s">
        <v>963</v>
      </c>
      <c r="F347" t="s">
        <v>964</v>
      </c>
      <c r="G347" t="s">
        <v>965</v>
      </c>
      <c r="H347" t="s">
        <v>939</v>
      </c>
      <c r="I347">
        <f>ROUND(3/10,9)</f>
        <v>0.3</v>
      </c>
      <c r="J347">
        <v>0</v>
      </c>
      <c r="O347">
        <f t="shared" si="299"/>
        <v>559.04</v>
      </c>
      <c r="P347">
        <f t="shared" si="300"/>
        <v>113.73</v>
      </c>
      <c r="Q347">
        <f t="shared" si="301"/>
        <v>35.46</v>
      </c>
      <c r="R347">
        <f t="shared" si="302"/>
        <v>9.0500000000000007</v>
      </c>
      <c r="S347">
        <f t="shared" si="303"/>
        <v>409.85</v>
      </c>
      <c r="T347">
        <f t="shared" si="304"/>
        <v>0</v>
      </c>
      <c r="U347">
        <f t="shared" si="305"/>
        <v>5.9753999999999996</v>
      </c>
      <c r="V347">
        <f t="shared" si="306"/>
        <v>0.10125000000000001</v>
      </c>
      <c r="W347">
        <f t="shared" si="307"/>
        <v>0</v>
      </c>
      <c r="X347">
        <f t="shared" si="308"/>
        <v>481.74</v>
      </c>
      <c r="Y347">
        <f t="shared" si="309"/>
        <v>297.42</v>
      </c>
      <c r="AA347">
        <v>16630606</v>
      </c>
      <c r="AB347">
        <f t="shared" si="310"/>
        <v>261.36</v>
      </c>
      <c r="AC347">
        <f t="shared" si="311"/>
        <v>53.17</v>
      </c>
      <c r="AD347">
        <f>ROUND(((((ET347*1.25))-((EU347*1.25)))+AE347),2)</f>
        <v>16.579999999999998</v>
      </c>
      <c r="AE347">
        <f>ROUND(((EU347*1.25)),2)</f>
        <v>4.2300000000000004</v>
      </c>
      <c r="AF347">
        <f>ROUND(((EV347*1.15)),2)</f>
        <v>191.61</v>
      </c>
      <c r="AG347">
        <f t="shared" si="315"/>
        <v>0</v>
      </c>
      <c r="AH347">
        <f>((EW347*1.15))</f>
        <v>19.917999999999999</v>
      </c>
      <c r="AI347">
        <f>((EX347*1.25))</f>
        <v>0.33750000000000002</v>
      </c>
      <c r="AJ347">
        <f t="shared" si="318"/>
        <v>0</v>
      </c>
      <c r="AK347">
        <v>233.05</v>
      </c>
      <c r="AL347">
        <v>53.17</v>
      </c>
      <c r="AM347">
        <v>13.26</v>
      </c>
      <c r="AN347">
        <v>3.38</v>
      </c>
      <c r="AO347">
        <v>166.62</v>
      </c>
      <c r="AP347">
        <v>0</v>
      </c>
      <c r="AQ347">
        <v>17.32</v>
      </c>
      <c r="AR347">
        <v>0.27</v>
      </c>
      <c r="AS347">
        <v>0</v>
      </c>
      <c r="AT347">
        <v>115</v>
      </c>
      <c r="AU347">
        <v>71</v>
      </c>
      <c r="AV347">
        <v>1</v>
      </c>
      <c r="AW347">
        <v>1</v>
      </c>
      <c r="AZ347">
        <v>7.13</v>
      </c>
      <c r="BA347">
        <v>7.13</v>
      </c>
      <c r="BB347">
        <v>7.13</v>
      </c>
      <c r="BC347">
        <v>7.13</v>
      </c>
      <c r="BD347" t="s">
        <v>6</v>
      </c>
      <c r="BE347" t="s">
        <v>6</v>
      </c>
      <c r="BF347" t="s">
        <v>6</v>
      </c>
      <c r="BG347" t="s">
        <v>6</v>
      </c>
      <c r="BH347">
        <v>0</v>
      </c>
      <c r="BI347">
        <v>1</v>
      </c>
      <c r="BJ347" t="s">
        <v>966</v>
      </c>
      <c r="BM347">
        <v>17001</v>
      </c>
      <c r="BN347">
        <v>0</v>
      </c>
      <c r="BO347" t="s">
        <v>6</v>
      </c>
      <c r="BP347">
        <v>0</v>
      </c>
      <c r="BQ347">
        <v>2</v>
      </c>
      <c r="BR347">
        <v>0</v>
      </c>
      <c r="BS347">
        <v>7.13</v>
      </c>
      <c r="BT347">
        <v>1</v>
      </c>
      <c r="BU347">
        <v>1</v>
      </c>
      <c r="BV347">
        <v>1</v>
      </c>
      <c r="BW347">
        <v>1</v>
      </c>
      <c r="BX347">
        <v>1</v>
      </c>
      <c r="BY347" t="s">
        <v>6</v>
      </c>
      <c r="BZ347">
        <v>128</v>
      </c>
      <c r="CA347">
        <v>83</v>
      </c>
      <c r="CE347">
        <v>0</v>
      </c>
      <c r="CF347">
        <v>0</v>
      </c>
      <c r="CG347">
        <v>0</v>
      </c>
      <c r="CM347">
        <v>0</v>
      </c>
      <c r="CN347" t="s">
        <v>1758</v>
      </c>
      <c r="CO347">
        <v>0</v>
      </c>
      <c r="CP347">
        <f t="shared" si="319"/>
        <v>559.04</v>
      </c>
      <c r="CQ347">
        <f t="shared" si="320"/>
        <v>379.10210000000001</v>
      </c>
      <c r="CR347">
        <f t="shared" si="321"/>
        <v>118.21539999999999</v>
      </c>
      <c r="CS347">
        <f t="shared" si="322"/>
        <v>30.159900000000004</v>
      </c>
      <c r="CT347">
        <f t="shared" si="323"/>
        <v>1366.1793</v>
      </c>
      <c r="CU347">
        <f t="shared" si="324"/>
        <v>0</v>
      </c>
      <c r="CV347">
        <f t="shared" si="325"/>
        <v>19.917999999999999</v>
      </c>
      <c r="CW347">
        <f t="shared" si="326"/>
        <v>0.33750000000000002</v>
      </c>
      <c r="CX347">
        <f t="shared" si="327"/>
        <v>0</v>
      </c>
      <c r="CY347">
        <f t="shared" si="328"/>
        <v>481.73500000000007</v>
      </c>
      <c r="CZ347">
        <f t="shared" si="329"/>
        <v>297.41900000000004</v>
      </c>
      <c r="DC347" t="s">
        <v>6</v>
      </c>
      <c r="DD347" t="s">
        <v>6</v>
      </c>
      <c r="DE347" t="s">
        <v>81</v>
      </c>
      <c r="DF347" t="s">
        <v>81</v>
      </c>
      <c r="DG347" t="s">
        <v>82</v>
      </c>
      <c r="DH347" t="s">
        <v>6</v>
      </c>
      <c r="DI347" t="s">
        <v>82</v>
      </c>
      <c r="DJ347" t="s">
        <v>81</v>
      </c>
      <c r="DK347" t="s">
        <v>6</v>
      </c>
      <c r="DL347" t="s">
        <v>6</v>
      </c>
      <c r="DM347" t="s">
        <v>6</v>
      </c>
      <c r="DN347">
        <v>0</v>
      </c>
      <c r="DO347">
        <v>0</v>
      </c>
      <c r="DP347">
        <v>1</v>
      </c>
      <c r="DQ347">
        <v>1</v>
      </c>
      <c r="DU347">
        <v>1013</v>
      </c>
      <c r="DV347" t="s">
        <v>939</v>
      </c>
      <c r="DW347" t="s">
        <v>939</v>
      </c>
      <c r="DX347">
        <v>1</v>
      </c>
      <c r="EE347">
        <v>16609132</v>
      </c>
      <c r="EF347">
        <v>2</v>
      </c>
      <c r="EG347" t="s">
        <v>14</v>
      </c>
      <c r="EH347">
        <v>0</v>
      </c>
      <c r="EI347" t="s">
        <v>6</v>
      </c>
      <c r="EJ347">
        <v>1</v>
      </c>
      <c r="EK347">
        <v>17001</v>
      </c>
      <c r="EL347" t="s">
        <v>941</v>
      </c>
      <c r="EM347" t="s">
        <v>942</v>
      </c>
      <c r="EO347" t="s">
        <v>83</v>
      </c>
      <c r="EQ347">
        <v>0</v>
      </c>
      <c r="ER347">
        <v>233.05</v>
      </c>
      <c r="ES347">
        <v>53.17</v>
      </c>
      <c r="ET347">
        <v>13.26</v>
      </c>
      <c r="EU347">
        <v>3.38</v>
      </c>
      <c r="EV347">
        <v>166.62</v>
      </c>
      <c r="EW347">
        <v>17.32</v>
      </c>
      <c r="EX347">
        <v>0.27</v>
      </c>
      <c r="EY347">
        <v>0</v>
      </c>
      <c r="FQ347">
        <v>0</v>
      </c>
      <c r="FR347">
        <f t="shared" si="330"/>
        <v>0</v>
      </c>
      <c r="FS347">
        <v>0</v>
      </c>
      <c r="FT347" t="s">
        <v>22</v>
      </c>
      <c r="FU347" t="s">
        <v>23</v>
      </c>
      <c r="FX347">
        <v>115.2</v>
      </c>
      <c r="FY347">
        <v>70.55</v>
      </c>
      <c r="GA347" t="s">
        <v>6</v>
      </c>
      <c r="GD347">
        <v>0</v>
      </c>
      <c r="GF347">
        <v>1799781363</v>
      </c>
      <c r="GG347">
        <v>1</v>
      </c>
      <c r="GH347">
        <v>1</v>
      </c>
      <c r="GI347">
        <v>4</v>
      </c>
      <c r="GJ347">
        <v>0</v>
      </c>
      <c r="GK347">
        <f>ROUND(R347*(R12)/100,2)</f>
        <v>0</v>
      </c>
      <c r="GL347">
        <f t="shared" si="331"/>
        <v>0</v>
      </c>
      <c r="GM347">
        <f t="shared" si="332"/>
        <v>1338.2</v>
      </c>
      <c r="GN347">
        <f t="shared" si="333"/>
        <v>1338.2</v>
      </c>
      <c r="GO347">
        <f t="shared" si="334"/>
        <v>0</v>
      </c>
      <c r="GP347">
        <f t="shared" si="335"/>
        <v>0</v>
      </c>
      <c r="GR347">
        <v>0</v>
      </c>
      <c r="GS347">
        <v>3</v>
      </c>
      <c r="GT347">
        <v>0</v>
      </c>
      <c r="GU347" t="s">
        <v>6</v>
      </c>
      <c r="GV347">
        <f t="shared" si="336"/>
        <v>0</v>
      </c>
      <c r="GW347">
        <v>1</v>
      </c>
      <c r="GX347">
        <f t="shared" si="337"/>
        <v>0</v>
      </c>
      <c r="HA347">
        <v>0</v>
      </c>
      <c r="HB347">
        <v>0</v>
      </c>
      <c r="HC347">
        <f t="shared" si="338"/>
        <v>0</v>
      </c>
      <c r="IK347">
        <v>0</v>
      </c>
    </row>
    <row r="348" spans="1:245" x14ac:dyDescent="0.2">
      <c r="A348">
        <v>18</v>
      </c>
      <c r="B348">
        <v>1</v>
      </c>
      <c r="C348">
        <v>737</v>
      </c>
      <c r="E348" t="s">
        <v>967</v>
      </c>
      <c r="F348" t="s">
        <v>968</v>
      </c>
      <c r="G348" t="s">
        <v>969</v>
      </c>
      <c r="H348" t="s">
        <v>177</v>
      </c>
      <c r="I348">
        <f>I347*J348</f>
        <v>3</v>
      </c>
      <c r="J348">
        <v>10</v>
      </c>
      <c r="O348">
        <f t="shared" si="299"/>
        <v>5989.2</v>
      </c>
      <c r="P348">
        <f t="shared" si="300"/>
        <v>5989.2</v>
      </c>
      <c r="Q348">
        <f t="shared" si="301"/>
        <v>0</v>
      </c>
      <c r="R348">
        <f t="shared" si="302"/>
        <v>0</v>
      </c>
      <c r="S348">
        <f t="shared" si="303"/>
        <v>0</v>
      </c>
      <c r="T348">
        <f t="shared" si="304"/>
        <v>0</v>
      </c>
      <c r="U348">
        <f t="shared" si="305"/>
        <v>0</v>
      </c>
      <c r="V348">
        <f t="shared" si="306"/>
        <v>0</v>
      </c>
      <c r="W348">
        <f t="shared" si="307"/>
        <v>0</v>
      </c>
      <c r="X348">
        <f t="shared" si="308"/>
        <v>0</v>
      </c>
      <c r="Y348">
        <f t="shared" si="309"/>
        <v>0</v>
      </c>
      <c r="AA348">
        <v>16630606</v>
      </c>
      <c r="AB348">
        <f t="shared" si="310"/>
        <v>280</v>
      </c>
      <c r="AC348">
        <f t="shared" si="311"/>
        <v>280</v>
      </c>
      <c r="AD348">
        <f>ROUND((((ET348)-(EU348))+AE348),2)</f>
        <v>0</v>
      </c>
      <c r="AE348">
        <f>ROUND((EU348),2)</f>
        <v>0</v>
      </c>
      <c r="AF348">
        <f>ROUND((EV348),2)</f>
        <v>0</v>
      </c>
      <c r="AG348">
        <f t="shared" si="315"/>
        <v>0</v>
      </c>
      <c r="AH348">
        <f>(EW348)</f>
        <v>0</v>
      </c>
      <c r="AI348">
        <f>(EX348)</f>
        <v>0</v>
      </c>
      <c r="AJ348">
        <f t="shared" si="318"/>
        <v>0</v>
      </c>
      <c r="AK348">
        <v>280</v>
      </c>
      <c r="AL348">
        <v>280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115</v>
      </c>
      <c r="AU348">
        <v>71</v>
      </c>
      <c r="AV348">
        <v>1</v>
      </c>
      <c r="AW348">
        <v>1</v>
      </c>
      <c r="AZ348">
        <v>7.13</v>
      </c>
      <c r="BA348">
        <v>1</v>
      </c>
      <c r="BB348">
        <v>1</v>
      </c>
      <c r="BC348">
        <v>7.13</v>
      </c>
      <c r="BD348" t="s">
        <v>6</v>
      </c>
      <c r="BE348" t="s">
        <v>6</v>
      </c>
      <c r="BF348" t="s">
        <v>6</v>
      </c>
      <c r="BG348" t="s">
        <v>6</v>
      </c>
      <c r="BH348">
        <v>3</v>
      </c>
      <c r="BI348">
        <v>1</v>
      </c>
      <c r="BJ348" t="s">
        <v>970</v>
      </c>
      <c r="BM348">
        <v>17001</v>
      </c>
      <c r="BN348">
        <v>0</v>
      </c>
      <c r="BO348" t="s">
        <v>6</v>
      </c>
      <c r="BP348">
        <v>0</v>
      </c>
      <c r="BQ348">
        <v>2</v>
      </c>
      <c r="BR348">
        <v>0</v>
      </c>
      <c r="BS348">
        <v>1</v>
      </c>
      <c r="BT348">
        <v>1</v>
      </c>
      <c r="BU348">
        <v>1</v>
      </c>
      <c r="BV348">
        <v>1</v>
      </c>
      <c r="BW348">
        <v>1</v>
      </c>
      <c r="BX348">
        <v>1</v>
      </c>
      <c r="BY348" t="s">
        <v>6</v>
      </c>
      <c r="BZ348">
        <v>128</v>
      </c>
      <c r="CA348">
        <v>83</v>
      </c>
      <c r="CE348">
        <v>0</v>
      </c>
      <c r="CF348">
        <v>0</v>
      </c>
      <c r="CG348">
        <v>0</v>
      </c>
      <c r="CM348">
        <v>0</v>
      </c>
      <c r="CN348" t="s">
        <v>6</v>
      </c>
      <c r="CO348">
        <v>0</v>
      </c>
      <c r="CP348">
        <f t="shared" si="319"/>
        <v>5989.2</v>
      </c>
      <c r="CQ348">
        <f t="shared" si="320"/>
        <v>1996.3999999999999</v>
      </c>
      <c r="CR348">
        <f t="shared" si="321"/>
        <v>0</v>
      </c>
      <c r="CS348">
        <f t="shared" si="322"/>
        <v>0</v>
      </c>
      <c r="CT348">
        <f t="shared" si="323"/>
        <v>0</v>
      </c>
      <c r="CU348">
        <f t="shared" si="324"/>
        <v>0</v>
      </c>
      <c r="CV348">
        <f t="shared" si="325"/>
        <v>0</v>
      </c>
      <c r="CW348">
        <f t="shared" si="326"/>
        <v>0</v>
      </c>
      <c r="CX348">
        <f t="shared" si="327"/>
        <v>0</v>
      </c>
      <c r="CY348">
        <f t="shared" si="328"/>
        <v>0</v>
      </c>
      <c r="CZ348">
        <f t="shared" si="329"/>
        <v>0</v>
      </c>
      <c r="DC348" t="s">
        <v>6</v>
      </c>
      <c r="DD348" t="s">
        <v>6</v>
      </c>
      <c r="DE348" t="s">
        <v>6</v>
      </c>
      <c r="DF348" t="s">
        <v>6</v>
      </c>
      <c r="DG348" t="s">
        <v>6</v>
      </c>
      <c r="DH348" t="s">
        <v>6</v>
      </c>
      <c r="DI348" t="s">
        <v>6</v>
      </c>
      <c r="DJ348" t="s">
        <v>6</v>
      </c>
      <c r="DK348" t="s">
        <v>6</v>
      </c>
      <c r="DL348" t="s">
        <v>6</v>
      </c>
      <c r="DM348" t="s">
        <v>6</v>
      </c>
      <c r="DN348">
        <v>0</v>
      </c>
      <c r="DO348">
        <v>0</v>
      </c>
      <c r="DP348">
        <v>1</v>
      </c>
      <c r="DQ348">
        <v>1</v>
      </c>
      <c r="DU348">
        <v>1013</v>
      </c>
      <c r="DV348" t="s">
        <v>177</v>
      </c>
      <c r="DW348" t="s">
        <v>177</v>
      </c>
      <c r="DX348">
        <v>1</v>
      </c>
      <c r="EE348">
        <v>16609132</v>
      </c>
      <c r="EF348">
        <v>2</v>
      </c>
      <c r="EG348" t="s">
        <v>14</v>
      </c>
      <c r="EH348">
        <v>0</v>
      </c>
      <c r="EI348" t="s">
        <v>6</v>
      </c>
      <c r="EJ348">
        <v>1</v>
      </c>
      <c r="EK348">
        <v>17001</v>
      </c>
      <c r="EL348" t="s">
        <v>941</v>
      </c>
      <c r="EM348" t="s">
        <v>942</v>
      </c>
      <c r="EO348" t="s">
        <v>6</v>
      </c>
      <c r="EQ348">
        <v>0</v>
      </c>
      <c r="ER348">
        <v>280</v>
      </c>
      <c r="ES348">
        <v>280</v>
      </c>
      <c r="ET348">
        <v>0</v>
      </c>
      <c r="EU348">
        <v>0</v>
      </c>
      <c r="EV348">
        <v>0</v>
      </c>
      <c r="EW348">
        <v>0</v>
      </c>
      <c r="EX348">
        <v>0</v>
      </c>
      <c r="FQ348">
        <v>0</v>
      </c>
      <c r="FR348">
        <f t="shared" si="330"/>
        <v>0</v>
      </c>
      <c r="FS348">
        <v>0</v>
      </c>
      <c r="FT348" t="s">
        <v>22</v>
      </c>
      <c r="FU348" t="s">
        <v>23</v>
      </c>
      <c r="FX348">
        <v>115.2</v>
      </c>
      <c r="FY348">
        <v>70.55</v>
      </c>
      <c r="GA348" t="s">
        <v>6</v>
      </c>
      <c r="GD348">
        <v>0</v>
      </c>
      <c r="GF348">
        <v>-1135544732</v>
      </c>
      <c r="GG348">
        <v>1</v>
      </c>
      <c r="GH348">
        <v>1</v>
      </c>
      <c r="GI348">
        <v>4</v>
      </c>
      <c r="GJ348">
        <v>0</v>
      </c>
      <c r="GK348">
        <f>ROUND(R348*(R12)/100,2)</f>
        <v>0</v>
      </c>
      <c r="GL348">
        <f t="shared" si="331"/>
        <v>0</v>
      </c>
      <c r="GM348">
        <f t="shared" si="332"/>
        <v>5989.2</v>
      </c>
      <c r="GN348">
        <f t="shared" si="333"/>
        <v>5989.2</v>
      </c>
      <c r="GO348">
        <f t="shared" si="334"/>
        <v>0</v>
      </c>
      <c r="GP348">
        <f t="shared" si="335"/>
        <v>0</v>
      </c>
      <c r="GR348">
        <v>0</v>
      </c>
      <c r="GS348">
        <v>3</v>
      </c>
      <c r="GT348">
        <v>0</v>
      </c>
      <c r="GU348" t="s">
        <v>6</v>
      </c>
      <c r="GV348">
        <f t="shared" si="336"/>
        <v>0</v>
      </c>
      <c r="GW348">
        <v>1</v>
      </c>
      <c r="GX348">
        <f t="shared" si="337"/>
        <v>0</v>
      </c>
      <c r="HA348">
        <v>0</v>
      </c>
      <c r="HB348">
        <v>0</v>
      </c>
      <c r="HC348">
        <f t="shared" si="338"/>
        <v>0</v>
      </c>
      <c r="IK348">
        <v>0</v>
      </c>
    </row>
    <row r="349" spans="1:245" x14ac:dyDescent="0.2">
      <c r="A349">
        <v>17</v>
      </c>
      <c r="B349">
        <v>1</v>
      </c>
      <c r="C349">
        <f>ROW(SmtRes!A748)</f>
        <v>748</v>
      </c>
      <c r="D349">
        <f>ROW(EtalonRes!A749)</f>
        <v>749</v>
      </c>
      <c r="E349" t="s">
        <v>971</v>
      </c>
      <c r="F349" t="s">
        <v>972</v>
      </c>
      <c r="G349" t="s">
        <v>973</v>
      </c>
      <c r="H349" t="s">
        <v>939</v>
      </c>
      <c r="I349">
        <f>ROUND(5/10,9)</f>
        <v>0.5</v>
      </c>
      <c r="J349">
        <v>0</v>
      </c>
      <c r="O349">
        <f t="shared" si="299"/>
        <v>604.59</v>
      </c>
      <c r="P349">
        <f t="shared" si="300"/>
        <v>199.28</v>
      </c>
      <c r="Q349">
        <f t="shared" si="301"/>
        <v>50.77</v>
      </c>
      <c r="R349">
        <f t="shared" si="302"/>
        <v>11.44</v>
      </c>
      <c r="S349">
        <f t="shared" si="303"/>
        <v>354.54</v>
      </c>
      <c r="T349">
        <f t="shared" si="304"/>
        <v>0</v>
      </c>
      <c r="U349">
        <f t="shared" si="305"/>
        <v>5.1692499999999999</v>
      </c>
      <c r="V349">
        <f t="shared" si="306"/>
        <v>0.13125000000000001</v>
      </c>
      <c r="W349">
        <f t="shared" si="307"/>
        <v>0</v>
      </c>
      <c r="X349">
        <f t="shared" si="308"/>
        <v>420.88</v>
      </c>
      <c r="Y349">
        <f t="shared" si="309"/>
        <v>259.85000000000002</v>
      </c>
      <c r="AA349">
        <v>16630606</v>
      </c>
      <c r="AB349">
        <f t="shared" si="310"/>
        <v>169.59</v>
      </c>
      <c r="AC349">
        <f t="shared" si="311"/>
        <v>55.9</v>
      </c>
      <c r="AD349">
        <f>ROUND(((((ET349*1.25))-((EU349*1.25)))+AE349),2)</f>
        <v>14.24</v>
      </c>
      <c r="AE349">
        <f>ROUND(((EU349*1.25)),2)</f>
        <v>3.21</v>
      </c>
      <c r="AF349">
        <f>ROUND(((EV349*1.15)),2)</f>
        <v>99.45</v>
      </c>
      <c r="AG349">
        <f t="shared" si="315"/>
        <v>0</v>
      </c>
      <c r="AH349">
        <f>((EW349*1.15))</f>
        <v>10.3385</v>
      </c>
      <c r="AI349">
        <f>((EX349*1.25))</f>
        <v>0.26250000000000001</v>
      </c>
      <c r="AJ349">
        <f t="shared" si="318"/>
        <v>0</v>
      </c>
      <c r="AK349">
        <v>153.77000000000001</v>
      </c>
      <c r="AL349">
        <v>55.9</v>
      </c>
      <c r="AM349">
        <v>11.39</v>
      </c>
      <c r="AN349">
        <v>2.57</v>
      </c>
      <c r="AO349">
        <v>86.48</v>
      </c>
      <c r="AP349">
        <v>0</v>
      </c>
      <c r="AQ349">
        <v>8.99</v>
      </c>
      <c r="AR349">
        <v>0.21</v>
      </c>
      <c r="AS349">
        <v>0</v>
      </c>
      <c r="AT349">
        <v>115</v>
      </c>
      <c r="AU349">
        <v>71</v>
      </c>
      <c r="AV349">
        <v>1</v>
      </c>
      <c r="AW349">
        <v>1</v>
      </c>
      <c r="AZ349">
        <v>7.13</v>
      </c>
      <c r="BA349">
        <v>7.13</v>
      </c>
      <c r="BB349">
        <v>7.13</v>
      </c>
      <c r="BC349">
        <v>7.13</v>
      </c>
      <c r="BD349" t="s">
        <v>6</v>
      </c>
      <c r="BE349" t="s">
        <v>6</v>
      </c>
      <c r="BF349" t="s">
        <v>6</v>
      </c>
      <c r="BG349" t="s">
        <v>6</v>
      </c>
      <c r="BH349">
        <v>0</v>
      </c>
      <c r="BI349">
        <v>1</v>
      </c>
      <c r="BJ349" t="s">
        <v>974</v>
      </c>
      <c r="BM349">
        <v>17001</v>
      </c>
      <c r="BN349">
        <v>0</v>
      </c>
      <c r="BO349" t="s">
        <v>6</v>
      </c>
      <c r="BP349">
        <v>0</v>
      </c>
      <c r="BQ349">
        <v>2</v>
      </c>
      <c r="BR349">
        <v>0</v>
      </c>
      <c r="BS349">
        <v>7.13</v>
      </c>
      <c r="BT349">
        <v>1</v>
      </c>
      <c r="BU349">
        <v>1</v>
      </c>
      <c r="BV349">
        <v>1</v>
      </c>
      <c r="BW349">
        <v>1</v>
      </c>
      <c r="BX349">
        <v>1</v>
      </c>
      <c r="BY349" t="s">
        <v>6</v>
      </c>
      <c r="BZ349">
        <v>128</v>
      </c>
      <c r="CA349">
        <v>83</v>
      </c>
      <c r="CE349">
        <v>0</v>
      </c>
      <c r="CF349">
        <v>0</v>
      </c>
      <c r="CG349">
        <v>0</v>
      </c>
      <c r="CM349">
        <v>0</v>
      </c>
      <c r="CN349" t="s">
        <v>1758</v>
      </c>
      <c r="CO349">
        <v>0</v>
      </c>
      <c r="CP349">
        <f t="shared" si="319"/>
        <v>604.59</v>
      </c>
      <c r="CQ349">
        <f t="shared" si="320"/>
        <v>398.56700000000001</v>
      </c>
      <c r="CR349">
        <f t="shared" si="321"/>
        <v>101.5312</v>
      </c>
      <c r="CS349">
        <f t="shared" si="322"/>
        <v>22.8873</v>
      </c>
      <c r="CT349">
        <f t="shared" si="323"/>
        <v>709.07849999999996</v>
      </c>
      <c r="CU349">
        <f t="shared" si="324"/>
        <v>0</v>
      </c>
      <c r="CV349">
        <f t="shared" si="325"/>
        <v>10.3385</v>
      </c>
      <c r="CW349">
        <f t="shared" si="326"/>
        <v>0.26250000000000001</v>
      </c>
      <c r="CX349">
        <f t="shared" si="327"/>
        <v>0</v>
      </c>
      <c r="CY349">
        <f t="shared" si="328"/>
        <v>420.87700000000007</v>
      </c>
      <c r="CZ349">
        <f t="shared" si="329"/>
        <v>259.8458</v>
      </c>
      <c r="DC349" t="s">
        <v>6</v>
      </c>
      <c r="DD349" t="s">
        <v>6</v>
      </c>
      <c r="DE349" t="s">
        <v>81</v>
      </c>
      <c r="DF349" t="s">
        <v>81</v>
      </c>
      <c r="DG349" t="s">
        <v>82</v>
      </c>
      <c r="DH349" t="s">
        <v>6</v>
      </c>
      <c r="DI349" t="s">
        <v>82</v>
      </c>
      <c r="DJ349" t="s">
        <v>81</v>
      </c>
      <c r="DK349" t="s">
        <v>6</v>
      </c>
      <c r="DL349" t="s">
        <v>6</v>
      </c>
      <c r="DM349" t="s">
        <v>6</v>
      </c>
      <c r="DN349">
        <v>0</v>
      </c>
      <c r="DO349">
        <v>0</v>
      </c>
      <c r="DP349">
        <v>1</v>
      </c>
      <c r="DQ349">
        <v>1</v>
      </c>
      <c r="DU349">
        <v>1013</v>
      </c>
      <c r="DV349" t="s">
        <v>939</v>
      </c>
      <c r="DW349" t="s">
        <v>939</v>
      </c>
      <c r="DX349">
        <v>1</v>
      </c>
      <c r="EE349">
        <v>16609132</v>
      </c>
      <c r="EF349">
        <v>2</v>
      </c>
      <c r="EG349" t="s">
        <v>14</v>
      </c>
      <c r="EH349">
        <v>0</v>
      </c>
      <c r="EI349" t="s">
        <v>6</v>
      </c>
      <c r="EJ349">
        <v>1</v>
      </c>
      <c r="EK349">
        <v>17001</v>
      </c>
      <c r="EL349" t="s">
        <v>941</v>
      </c>
      <c r="EM349" t="s">
        <v>942</v>
      </c>
      <c r="EO349" t="s">
        <v>83</v>
      </c>
      <c r="EQ349">
        <v>0</v>
      </c>
      <c r="ER349">
        <v>153.77000000000001</v>
      </c>
      <c r="ES349">
        <v>55.9</v>
      </c>
      <c r="ET349">
        <v>11.39</v>
      </c>
      <c r="EU349">
        <v>2.57</v>
      </c>
      <c r="EV349">
        <v>86.48</v>
      </c>
      <c r="EW349">
        <v>8.99</v>
      </c>
      <c r="EX349">
        <v>0.21</v>
      </c>
      <c r="EY349">
        <v>0</v>
      </c>
      <c r="FQ349">
        <v>0</v>
      </c>
      <c r="FR349">
        <f t="shared" si="330"/>
        <v>0</v>
      </c>
      <c r="FS349">
        <v>0</v>
      </c>
      <c r="FT349" t="s">
        <v>22</v>
      </c>
      <c r="FU349" t="s">
        <v>23</v>
      </c>
      <c r="FX349">
        <v>115.2</v>
      </c>
      <c r="FY349">
        <v>70.55</v>
      </c>
      <c r="GA349" t="s">
        <v>6</v>
      </c>
      <c r="GD349">
        <v>0</v>
      </c>
      <c r="GF349">
        <v>-480512061</v>
      </c>
      <c r="GG349">
        <v>1</v>
      </c>
      <c r="GH349">
        <v>1</v>
      </c>
      <c r="GI349">
        <v>4</v>
      </c>
      <c r="GJ349">
        <v>0</v>
      </c>
      <c r="GK349">
        <f>ROUND(R349*(R12)/100,2)</f>
        <v>0</v>
      </c>
      <c r="GL349">
        <f t="shared" si="331"/>
        <v>0</v>
      </c>
      <c r="GM349">
        <f t="shared" si="332"/>
        <v>1285.32</v>
      </c>
      <c r="GN349">
        <f t="shared" si="333"/>
        <v>1285.32</v>
      </c>
      <c r="GO349">
        <f t="shared" si="334"/>
        <v>0</v>
      </c>
      <c r="GP349">
        <f t="shared" si="335"/>
        <v>0</v>
      </c>
      <c r="GR349">
        <v>0</v>
      </c>
      <c r="GS349">
        <v>3</v>
      </c>
      <c r="GT349">
        <v>0</v>
      </c>
      <c r="GU349" t="s">
        <v>6</v>
      </c>
      <c r="GV349">
        <f t="shared" si="336"/>
        <v>0</v>
      </c>
      <c r="GW349">
        <v>1</v>
      </c>
      <c r="GX349">
        <f t="shared" si="337"/>
        <v>0</v>
      </c>
      <c r="HA349">
        <v>0</v>
      </c>
      <c r="HB349">
        <v>0</v>
      </c>
      <c r="HC349">
        <f t="shared" si="338"/>
        <v>0</v>
      </c>
      <c r="IK349">
        <v>0</v>
      </c>
    </row>
    <row r="350" spans="1:245" x14ac:dyDescent="0.2">
      <c r="A350">
        <v>18</v>
      </c>
      <c r="B350">
        <v>1</v>
      </c>
      <c r="C350">
        <v>746</v>
      </c>
      <c r="E350" t="s">
        <v>975</v>
      </c>
      <c r="F350" t="s">
        <v>976</v>
      </c>
      <c r="G350" t="s">
        <v>977</v>
      </c>
      <c r="H350" t="s">
        <v>132</v>
      </c>
      <c r="I350">
        <f>I349*J350</f>
        <v>5</v>
      </c>
      <c r="J350">
        <v>10</v>
      </c>
      <c r="O350">
        <f t="shared" si="299"/>
        <v>16422.89</v>
      </c>
      <c r="P350">
        <f t="shared" si="300"/>
        <v>16422.89</v>
      </c>
      <c r="Q350">
        <f t="shared" si="301"/>
        <v>0</v>
      </c>
      <c r="R350">
        <f t="shared" si="302"/>
        <v>0</v>
      </c>
      <c r="S350">
        <f t="shared" si="303"/>
        <v>0</v>
      </c>
      <c r="T350">
        <f t="shared" si="304"/>
        <v>0</v>
      </c>
      <c r="U350">
        <f t="shared" si="305"/>
        <v>0</v>
      </c>
      <c r="V350">
        <f t="shared" si="306"/>
        <v>0</v>
      </c>
      <c r="W350">
        <f t="shared" si="307"/>
        <v>0</v>
      </c>
      <c r="X350">
        <f t="shared" si="308"/>
        <v>0</v>
      </c>
      <c r="Y350">
        <f t="shared" si="309"/>
        <v>0</v>
      </c>
      <c r="AA350">
        <v>16630606</v>
      </c>
      <c r="AB350">
        <f t="shared" si="310"/>
        <v>460.67</v>
      </c>
      <c r="AC350">
        <f t="shared" si="311"/>
        <v>460.67</v>
      </c>
      <c r="AD350">
        <f>ROUND((((ET350)-(EU350))+AE350),2)</f>
        <v>0</v>
      </c>
      <c r="AE350">
        <f>ROUND((EU350),2)</f>
        <v>0</v>
      </c>
      <c r="AF350">
        <f>ROUND((EV350),2)</f>
        <v>0</v>
      </c>
      <c r="AG350">
        <f t="shared" si="315"/>
        <v>0</v>
      </c>
      <c r="AH350">
        <f>(EW350)</f>
        <v>0</v>
      </c>
      <c r="AI350">
        <f>(EX350)</f>
        <v>0</v>
      </c>
      <c r="AJ350">
        <f t="shared" si="318"/>
        <v>0</v>
      </c>
      <c r="AK350">
        <v>460.67</v>
      </c>
      <c r="AL350">
        <v>460.67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115</v>
      </c>
      <c r="AU350">
        <v>71</v>
      </c>
      <c r="AV350">
        <v>1</v>
      </c>
      <c r="AW350">
        <v>1</v>
      </c>
      <c r="AZ350">
        <v>7.13</v>
      </c>
      <c r="BA350">
        <v>1</v>
      </c>
      <c r="BB350">
        <v>1</v>
      </c>
      <c r="BC350">
        <v>7.13</v>
      </c>
      <c r="BD350" t="s">
        <v>6</v>
      </c>
      <c r="BE350" t="s">
        <v>6</v>
      </c>
      <c r="BF350" t="s">
        <v>6</v>
      </c>
      <c r="BG350" t="s">
        <v>6</v>
      </c>
      <c r="BH350">
        <v>3</v>
      </c>
      <c r="BI350">
        <v>1</v>
      </c>
      <c r="BJ350" t="s">
        <v>978</v>
      </c>
      <c r="BM350">
        <v>17001</v>
      </c>
      <c r="BN350">
        <v>0</v>
      </c>
      <c r="BO350" t="s">
        <v>6</v>
      </c>
      <c r="BP350">
        <v>0</v>
      </c>
      <c r="BQ350">
        <v>2</v>
      </c>
      <c r="BR350">
        <v>0</v>
      </c>
      <c r="BS350">
        <v>1</v>
      </c>
      <c r="BT350">
        <v>1</v>
      </c>
      <c r="BU350">
        <v>1</v>
      </c>
      <c r="BV350">
        <v>1</v>
      </c>
      <c r="BW350">
        <v>1</v>
      </c>
      <c r="BX350">
        <v>1</v>
      </c>
      <c r="BY350" t="s">
        <v>6</v>
      </c>
      <c r="BZ350">
        <v>128</v>
      </c>
      <c r="CA350">
        <v>83</v>
      </c>
      <c r="CE350">
        <v>0</v>
      </c>
      <c r="CF350">
        <v>0</v>
      </c>
      <c r="CG350">
        <v>0</v>
      </c>
      <c r="CM350">
        <v>0</v>
      </c>
      <c r="CN350" t="s">
        <v>6</v>
      </c>
      <c r="CO350">
        <v>0</v>
      </c>
      <c r="CP350">
        <f t="shared" si="319"/>
        <v>16422.89</v>
      </c>
      <c r="CQ350">
        <f t="shared" si="320"/>
        <v>3284.5771</v>
      </c>
      <c r="CR350">
        <f t="shared" si="321"/>
        <v>0</v>
      </c>
      <c r="CS350">
        <f t="shared" si="322"/>
        <v>0</v>
      </c>
      <c r="CT350">
        <f t="shared" si="323"/>
        <v>0</v>
      </c>
      <c r="CU350">
        <f t="shared" si="324"/>
        <v>0</v>
      </c>
      <c r="CV350">
        <f t="shared" si="325"/>
        <v>0</v>
      </c>
      <c r="CW350">
        <f t="shared" si="326"/>
        <v>0</v>
      </c>
      <c r="CX350">
        <f t="shared" si="327"/>
        <v>0</v>
      </c>
      <c r="CY350">
        <f t="shared" si="328"/>
        <v>0</v>
      </c>
      <c r="CZ350">
        <f t="shared" si="329"/>
        <v>0</v>
      </c>
      <c r="DC350" t="s">
        <v>6</v>
      </c>
      <c r="DD350" t="s">
        <v>6</v>
      </c>
      <c r="DE350" t="s">
        <v>6</v>
      </c>
      <c r="DF350" t="s">
        <v>6</v>
      </c>
      <c r="DG350" t="s">
        <v>6</v>
      </c>
      <c r="DH350" t="s">
        <v>6</v>
      </c>
      <c r="DI350" t="s">
        <v>6</v>
      </c>
      <c r="DJ350" t="s">
        <v>6</v>
      </c>
      <c r="DK350" t="s">
        <v>6</v>
      </c>
      <c r="DL350" t="s">
        <v>6</v>
      </c>
      <c r="DM350" t="s">
        <v>6</v>
      </c>
      <c r="DN350">
        <v>0</v>
      </c>
      <c r="DO350">
        <v>0</v>
      </c>
      <c r="DP350">
        <v>1</v>
      </c>
      <c r="DQ350">
        <v>1</v>
      </c>
      <c r="DU350">
        <v>1010</v>
      </c>
      <c r="DV350" t="s">
        <v>132</v>
      </c>
      <c r="DW350" t="s">
        <v>132</v>
      </c>
      <c r="DX350">
        <v>1</v>
      </c>
      <c r="EE350">
        <v>16609132</v>
      </c>
      <c r="EF350">
        <v>2</v>
      </c>
      <c r="EG350" t="s">
        <v>14</v>
      </c>
      <c r="EH350">
        <v>0</v>
      </c>
      <c r="EI350" t="s">
        <v>6</v>
      </c>
      <c r="EJ350">
        <v>1</v>
      </c>
      <c r="EK350">
        <v>17001</v>
      </c>
      <c r="EL350" t="s">
        <v>941</v>
      </c>
      <c r="EM350" t="s">
        <v>942</v>
      </c>
      <c r="EO350" t="s">
        <v>6</v>
      </c>
      <c r="EQ350">
        <v>0</v>
      </c>
      <c r="ER350">
        <v>460.67</v>
      </c>
      <c r="ES350">
        <v>460.67</v>
      </c>
      <c r="ET350">
        <v>0</v>
      </c>
      <c r="EU350">
        <v>0</v>
      </c>
      <c r="EV350">
        <v>0</v>
      </c>
      <c r="EW350">
        <v>0</v>
      </c>
      <c r="EX350">
        <v>0</v>
      </c>
      <c r="FQ350">
        <v>0</v>
      </c>
      <c r="FR350">
        <f t="shared" si="330"/>
        <v>0</v>
      </c>
      <c r="FS350">
        <v>0</v>
      </c>
      <c r="FT350" t="s">
        <v>22</v>
      </c>
      <c r="FU350" t="s">
        <v>23</v>
      </c>
      <c r="FX350">
        <v>115.2</v>
      </c>
      <c r="FY350">
        <v>70.55</v>
      </c>
      <c r="GA350" t="s">
        <v>6</v>
      </c>
      <c r="GD350">
        <v>0</v>
      </c>
      <c r="GF350">
        <v>479796345</v>
      </c>
      <c r="GG350">
        <v>1</v>
      </c>
      <c r="GH350">
        <v>1</v>
      </c>
      <c r="GI350">
        <v>4</v>
      </c>
      <c r="GJ350">
        <v>0</v>
      </c>
      <c r="GK350">
        <f>ROUND(R350*(R12)/100,2)</f>
        <v>0</v>
      </c>
      <c r="GL350">
        <f t="shared" si="331"/>
        <v>0</v>
      </c>
      <c r="GM350">
        <f t="shared" si="332"/>
        <v>16422.89</v>
      </c>
      <c r="GN350">
        <f t="shared" si="333"/>
        <v>16422.89</v>
      </c>
      <c r="GO350">
        <f t="shared" si="334"/>
        <v>0</v>
      </c>
      <c r="GP350">
        <f t="shared" si="335"/>
        <v>0</v>
      </c>
      <c r="GR350">
        <v>0</v>
      </c>
      <c r="GS350">
        <v>3</v>
      </c>
      <c r="GT350">
        <v>0</v>
      </c>
      <c r="GU350" t="s">
        <v>6</v>
      </c>
      <c r="GV350">
        <f t="shared" si="336"/>
        <v>0</v>
      </c>
      <c r="GW350">
        <v>1</v>
      </c>
      <c r="GX350">
        <f t="shared" si="337"/>
        <v>0</v>
      </c>
      <c r="HA350">
        <v>0</v>
      </c>
      <c r="HB350">
        <v>0</v>
      </c>
      <c r="HC350">
        <f t="shared" si="338"/>
        <v>0</v>
      </c>
      <c r="IK350">
        <v>0</v>
      </c>
    </row>
    <row r="351" spans="1:245" x14ac:dyDescent="0.2">
      <c r="A351">
        <v>18</v>
      </c>
      <c r="B351">
        <v>1</v>
      </c>
      <c r="C351">
        <v>744</v>
      </c>
      <c r="E351" t="s">
        <v>979</v>
      </c>
      <c r="F351" t="s">
        <v>952</v>
      </c>
      <c r="G351" t="s">
        <v>953</v>
      </c>
      <c r="H351" t="s">
        <v>243</v>
      </c>
      <c r="I351">
        <f>I349*J351</f>
        <v>0.2</v>
      </c>
      <c r="J351">
        <v>0.4</v>
      </c>
      <c r="O351">
        <f t="shared" si="299"/>
        <v>118.36</v>
      </c>
      <c r="P351">
        <f t="shared" si="300"/>
        <v>118.36</v>
      </c>
      <c r="Q351">
        <f t="shared" si="301"/>
        <v>0</v>
      </c>
      <c r="R351">
        <f t="shared" si="302"/>
        <v>0</v>
      </c>
      <c r="S351">
        <f t="shared" si="303"/>
        <v>0</v>
      </c>
      <c r="T351">
        <f t="shared" si="304"/>
        <v>0</v>
      </c>
      <c r="U351">
        <f t="shared" si="305"/>
        <v>0</v>
      </c>
      <c r="V351">
        <f t="shared" si="306"/>
        <v>0</v>
      </c>
      <c r="W351">
        <f t="shared" si="307"/>
        <v>0</v>
      </c>
      <c r="X351">
        <f t="shared" si="308"/>
        <v>0</v>
      </c>
      <c r="Y351">
        <f t="shared" si="309"/>
        <v>0</v>
      </c>
      <c r="AA351">
        <v>16630606</v>
      </c>
      <c r="AB351">
        <f t="shared" si="310"/>
        <v>83</v>
      </c>
      <c r="AC351">
        <f t="shared" si="311"/>
        <v>83</v>
      </c>
      <c r="AD351">
        <f>ROUND((((ET351)-(EU351))+AE351),2)</f>
        <v>0</v>
      </c>
      <c r="AE351">
        <f>ROUND((EU351),2)</f>
        <v>0</v>
      </c>
      <c r="AF351">
        <f>ROUND((EV351),2)</f>
        <v>0</v>
      </c>
      <c r="AG351">
        <f t="shared" si="315"/>
        <v>0</v>
      </c>
      <c r="AH351">
        <f>(EW351)</f>
        <v>0</v>
      </c>
      <c r="AI351">
        <f>(EX351)</f>
        <v>0</v>
      </c>
      <c r="AJ351">
        <f t="shared" si="318"/>
        <v>0</v>
      </c>
      <c r="AK351">
        <v>83</v>
      </c>
      <c r="AL351">
        <v>83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115</v>
      </c>
      <c r="AU351">
        <v>71</v>
      </c>
      <c r="AV351">
        <v>1</v>
      </c>
      <c r="AW351">
        <v>1</v>
      </c>
      <c r="AZ351">
        <v>7.13</v>
      </c>
      <c r="BA351">
        <v>1</v>
      </c>
      <c r="BB351">
        <v>1</v>
      </c>
      <c r="BC351">
        <v>7.13</v>
      </c>
      <c r="BD351" t="s">
        <v>6</v>
      </c>
      <c r="BE351" t="s">
        <v>6</v>
      </c>
      <c r="BF351" t="s">
        <v>6</v>
      </c>
      <c r="BG351" t="s">
        <v>6</v>
      </c>
      <c r="BH351">
        <v>3</v>
      </c>
      <c r="BI351">
        <v>1</v>
      </c>
      <c r="BJ351" t="s">
        <v>954</v>
      </c>
      <c r="BM351">
        <v>17001</v>
      </c>
      <c r="BN351">
        <v>0</v>
      </c>
      <c r="BO351" t="s">
        <v>6</v>
      </c>
      <c r="BP351">
        <v>0</v>
      </c>
      <c r="BQ351">
        <v>2</v>
      </c>
      <c r="BR351">
        <v>0</v>
      </c>
      <c r="BS351">
        <v>1</v>
      </c>
      <c r="BT351">
        <v>1</v>
      </c>
      <c r="BU351">
        <v>1</v>
      </c>
      <c r="BV351">
        <v>1</v>
      </c>
      <c r="BW351">
        <v>1</v>
      </c>
      <c r="BX351">
        <v>1</v>
      </c>
      <c r="BY351" t="s">
        <v>6</v>
      </c>
      <c r="BZ351">
        <v>128</v>
      </c>
      <c r="CA351">
        <v>83</v>
      </c>
      <c r="CE351">
        <v>0</v>
      </c>
      <c r="CF351">
        <v>0</v>
      </c>
      <c r="CG351">
        <v>0</v>
      </c>
      <c r="CM351">
        <v>0</v>
      </c>
      <c r="CN351" t="s">
        <v>6</v>
      </c>
      <c r="CO351">
        <v>0</v>
      </c>
      <c r="CP351">
        <f t="shared" si="319"/>
        <v>118.36</v>
      </c>
      <c r="CQ351">
        <f t="shared" si="320"/>
        <v>591.79</v>
      </c>
      <c r="CR351">
        <f t="shared" si="321"/>
        <v>0</v>
      </c>
      <c r="CS351">
        <f t="shared" si="322"/>
        <v>0</v>
      </c>
      <c r="CT351">
        <f t="shared" si="323"/>
        <v>0</v>
      </c>
      <c r="CU351">
        <f t="shared" si="324"/>
        <v>0</v>
      </c>
      <c r="CV351">
        <f t="shared" si="325"/>
        <v>0</v>
      </c>
      <c r="CW351">
        <f t="shared" si="326"/>
        <v>0</v>
      </c>
      <c r="CX351">
        <f t="shared" si="327"/>
        <v>0</v>
      </c>
      <c r="CY351">
        <f t="shared" si="328"/>
        <v>0</v>
      </c>
      <c r="CZ351">
        <f t="shared" si="329"/>
        <v>0</v>
      </c>
      <c r="DC351" t="s">
        <v>6</v>
      </c>
      <c r="DD351" t="s">
        <v>6</v>
      </c>
      <c r="DE351" t="s">
        <v>6</v>
      </c>
      <c r="DF351" t="s">
        <v>6</v>
      </c>
      <c r="DG351" t="s">
        <v>6</v>
      </c>
      <c r="DH351" t="s">
        <v>6</v>
      </c>
      <c r="DI351" t="s">
        <v>6</v>
      </c>
      <c r="DJ351" t="s">
        <v>6</v>
      </c>
      <c r="DK351" t="s">
        <v>6</v>
      </c>
      <c r="DL351" t="s">
        <v>6</v>
      </c>
      <c r="DM351" t="s">
        <v>6</v>
      </c>
      <c r="DN351">
        <v>0</v>
      </c>
      <c r="DO351">
        <v>0</v>
      </c>
      <c r="DP351">
        <v>1</v>
      </c>
      <c r="DQ351">
        <v>1</v>
      </c>
      <c r="DU351">
        <v>1010</v>
      </c>
      <c r="DV351" t="s">
        <v>243</v>
      </c>
      <c r="DW351" t="s">
        <v>243</v>
      </c>
      <c r="DX351">
        <v>100</v>
      </c>
      <c r="EE351">
        <v>16609132</v>
      </c>
      <c r="EF351">
        <v>2</v>
      </c>
      <c r="EG351" t="s">
        <v>14</v>
      </c>
      <c r="EH351">
        <v>0</v>
      </c>
      <c r="EI351" t="s">
        <v>6</v>
      </c>
      <c r="EJ351">
        <v>1</v>
      </c>
      <c r="EK351">
        <v>17001</v>
      </c>
      <c r="EL351" t="s">
        <v>941</v>
      </c>
      <c r="EM351" t="s">
        <v>942</v>
      </c>
      <c r="EO351" t="s">
        <v>6</v>
      </c>
      <c r="EQ351">
        <v>0</v>
      </c>
      <c r="ER351">
        <v>83</v>
      </c>
      <c r="ES351">
        <v>83</v>
      </c>
      <c r="ET351">
        <v>0</v>
      </c>
      <c r="EU351">
        <v>0</v>
      </c>
      <c r="EV351">
        <v>0</v>
      </c>
      <c r="EW351">
        <v>0</v>
      </c>
      <c r="EX351">
        <v>0</v>
      </c>
      <c r="FQ351">
        <v>0</v>
      </c>
      <c r="FR351">
        <f t="shared" si="330"/>
        <v>0</v>
      </c>
      <c r="FS351">
        <v>0</v>
      </c>
      <c r="FT351" t="s">
        <v>22</v>
      </c>
      <c r="FU351" t="s">
        <v>23</v>
      </c>
      <c r="FX351">
        <v>115.2</v>
      </c>
      <c r="FY351">
        <v>70.55</v>
      </c>
      <c r="GA351" t="s">
        <v>6</v>
      </c>
      <c r="GD351">
        <v>0</v>
      </c>
      <c r="GF351">
        <v>-66531260</v>
      </c>
      <c r="GG351">
        <v>1</v>
      </c>
      <c r="GH351">
        <v>1</v>
      </c>
      <c r="GI351">
        <v>4</v>
      </c>
      <c r="GJ351">
        <v>0</v>
      </c>
      <c r="GK351">
        <f>ROUND(R351*(R12)/100,2)</f>
        <v>0</v>
      </c>
      <c r="GL351">
        <f t="shared" si="331"/>
        <v>0</v>
      </c>
      <c r="GM351">
        <f t="shared" si="332"/>
        <v>118.36</v>
      </c>
      <c r="GN351">
        <f t="shared" si="333"/>
        <v>118.36</v>
      </c>
      <c r="GO351">
        <f t="shared" si="334"/>
        <v>0</v>
      </c>
      <c r="GP351">
        <f t="shared" si="335"/>
        <v>0</v>
      </c>
      <c r="GR351">
        <v>0</v>
      </c>
      <c r="GS351">
        <v>3</v>
      </c>
      <c r="GT351">
        <v>0</v>
      </c>
      <c r="GU351" t="s">
        <v>6</v>
      </c>
      <c r="GV351">
        <f t="shared" si="336"/>
        <v>0</v>
      </c>
      <c r="GW351">
        <v>1</v>
      </c>
      <c r="GX351">
        <f t="shared" si="337"/>
        <v>0</v>
      </c>
      <c r="HA351">
        <v>0</v>
      </c>
      <c r="HB351">
        <v>0</v>
      </c>
      <c r="HC351">
        <f t="shared" si="338"/>
        <v>0</v>
      </c>
      <c r="IK351">
        <v>0</v>
      </c>
    </row>
    <row r="352" spans="1:245" x14ac:dyDescent="0.2">
      <c r="A352">
        <v>17</v>
      </c>
      <c r="B352">
        <v>1</v>
      </c>
      <c r="C352">
        <f>ROW(SmtRes!A752)</f>
        <v>752</v>
      </c>
      <c r="D352">
        <f>ROW(EtalonRes!A754)</f>
        <v>754</v>
      </c>
      <c r="E352" t="s">
        <v>980</v>
      </c>
      <c r="F352" t="s">
        <v>981</v>
      </c>
      <c r="G352" t="s">
        <v>982</v>
      </c>
      <c r="H352" t="s">
        <v>983</v>
      </c>
      <c r="I352">
        <f>ROUND(4/10,9)</f>
        <v>0.4</v>
      </c>
      <c r="J352">
        <v>0</v>
      </c>
      <c r="O352">
        <f t="shared" si="299"/>
        <v>90.06</v>
      </c>
      <c r="P352">
        <f t="shared" si="300"/>
        <v>1.71</v>
      </c>
      <c r="Q352">
        <f t="shared" si="301"/>
        <v>0</v>
      </c>
      <c r="R352">
        <f t="shared" si="302"/>
        <v>0</v>
      </c>
      <c r="S352">
        <f t="shared" si="303"/>
        <v>88.35</v>
      </c>
      <c r="T352">
        <f t="shared" si="304"/>
        <v>0</v>
      </c>
      <c r="U352">
        <f t="shared" si="305"/>
        <v>1.288</v>
      </c>
      <c r="V352">
        <f t="shared" si="306"/>
        <v>0</v>
      </c>
      <c r="W352">
        <f t="shared" si="307"/>
        <v>0</v>
      </c>
      <c r="X352">
        <f t="shared" si="308"/>
        <v>101.6</v>
      </c>
      <c r="Y352">
        <f t="shared" si="309"/>
        <v>62.73</v>
      </c>
      <c r="AA352">
        <v>16630606</v>
      </c>
      <c r="AB352">
        <f t="shared" si="310"/>
        <v>31.58</v>
      </c>
      <c r="AC352">
        <f t="shared" si="311"/>
        <v>0.6</v>
      </c>
      <c r="AD352">
        <f>ROUND(((((ET352*1.25))-((EU352*1.25)))+AE352),2)</f>
        <v>0</v>
      </c>
      <c r="AE352">
        <f>ROUND(((EU352*1.25)),2)</f>
        <v>0</v>
      </c>
      <c r="AF352">
        <f>ROUND(((EV352*1.15)),2)</f>
        <v>30.98</v>
      </c>
      <c r="AG352">
        <f t="shared" si="315"/>
        <v>0</v>
      </c>
      <c r="AH352">
        <f>((EW352*1.15))</f>
        <v>3.2199999999999998</v>
      </c>
      <c r="AI352">
        <f>((EX352*1.25))</f>
        <v>0</v>
      </c>
      <c r="AJ352">
        <f t="shared" si="318"/>
        <v>0</v>
      </c>
      <c r="AK352">
        <v>27.54</v>
      </c>
      <c r="AL352">
        <v>0.6</v>
      </c>
      <c r="AM352">
        <v>0</v>
      </c>
      <c r="AN352">
        <v>0</v>
      </c>
      <c r="AO352">
        <v>26.94</v>
      </c>
      <c r="AP352">
        <v>0</v>
      </c>
      <c r="AQ352">
        <v>2.8</v>
      </c>
      <c r="AR352">
        <v>0</v>
      </c>
      <c r="AS352">
        <v>0</v>
      </c>
      <c r="AT352">
        <v>115</v>
      </c>
      <c r="AU352">
        <v>71</v>
      </c>
      <c r="AV352">
        <v>1</v>
      </c>
      <c r="AW352">
        <v>1</v>
      </c>
      <c r="AZ352">
        <v>7.13</v>
      </c>
      <c r="BA352">
        <v>7.13</v>
      </c>
      <c r="BB352">
        <v>7.13</v>
      </c>
      <c r="BC352">
        <v>7.13</v>
      </c>
      <c r="BD352" t="s">
        <v>6</v>
      </c>
      <c r="BE352" t="s">
        <v>6</v>
      </c>
      <c r="BF352" t="s">
        <v>6</v>
      </c>
      <c r="BG352" t="s">
        <v>6</v>
      </c>
      <c r="BH352">
        <v>0</v>
      </c>
      <c r="BI352">
        <v>1</v>
      </c>
      <c r="BJ352" t="s">
        <v>984</v>
      </c>
      <c r="BM352">
        <v>17001</v>
      </c>
      <c r="BN352">
        <v>0</v>
      </c>
      <c r="BO352" t="s">
        <v>6</v>
      </c>
      <c r="BP352">
        <v>0</v>
      </c>
      <c r="BQ352">
        <v>2</v>
      </c>
      <c r="BR352">
        <v>0</v>
      </c>
      <c r="BS352">
        <v>7.13</v>
      </c>
      <c r="BT352">
        <v>1</v>
      </c>
      <c r="BU352">
        <v>1</v>
      </c>
      <c r="BV352">
        <v>1</v>
      </c>
      <c r="BW352">
        <v>1</v>
      </c>
      <c r="BX352">
        <v>1</v>
      </c>
      <c r="BY352" t="s">
        <v>6</v>
      </c>
      <c r="BZ352">
        <v>128</v>
      </c>
      <c r="CA352">
        <v>83</v>
      </c>
      <c r="CE352">
        <v>0</v>
      </c>
      <c r="CF352">
        <v>0</v>
      </c>
      <c r="CG352">
        <v>0</v>
      </c>
      <c r="CM352">
        <v>0</v>
      </c>
      <c r="CN352" t="s">
        <v>1758</v>
      </c>
      <c r="CO352">
        <v>0</v>
      </c>
      <c r="CP352">
        <f t="shared" si="319"/>
        <v>90.059999999999988</v>
      </c>
      <c r="CQ352">
        <f t="shared" si="320"/>
        <v>4.2779999999999996</v>
      </c>
      <c r="CR352">
        <f t="shared" si="321"/>
        <v>0</v>
      </c>
      <c r="CS352">
        <f t="shared" si="322"/>
        <v>0</v>
      </c>
      <c r="CT352">
        <f t="shared" si="323"/>
        <v>220.88740000000001</v>
      </c>
      <c r="CU352">
        <f t="shared" si="324"/>
        <v>0</v>
      </c>
      <c r="CV352">
        <f t="shared" si="325"/>
        <v>3.2199999999999998</v>
      </c>
      <c r="CW352">
        <f t="shared" si="326"/>
        <v>0</v>
      </c>
      <c r="CX352">
        <f t="shared" si="327"/>
        <v>0</v>
      </c>
      <c r="CY352">
        <f t="shared" si="328"/>
        <v>101.60250000000001</v>
      </c>
      <c r="CZ352">
        <f t="shared" si="329"/>
        <v>62.728499999999997</v>
      </c>
      <c r="DC352" t="s">
        <v>6</v>
      </c>
      <c r="DD352" t="s">
        <v>6</v>
      </c>
      <c r="DE352" t="s">
        <v>81</v>
      </c>
      <c r="DF352" t="s">
        <v>81</v>
      </c>
      <c r="DG352" t="s">
        <v>82</v>
      </c>
      <c r="DH352" t="s">
        <v>6</v>
      </c>
      <c r="DI352" t="s">
        <v>82</v>
      </c>
      <c r="DJ352" t="s">
        <v>81</v>
      </c>
      <c r="DK352" t="s">
        <v>6</v>
      </c>
      <c r="DL352" t="s">
        <v>6</v>
      </c>
      <c r="DM352" t="s">
        <v>6</v>
      </c>
      <c r="DN352">
        <v>0</v>
      </c>
      <c r="DO352">
        <v>0</v>
      </c>
      <c r="DP352">
        <v>1</v>
      </c>
      <c r="DQ352">
        <v>1</v>
      </c>
      <c r="DU352">
        <v>1013</v>
      </c>
      <c r="DV352" t="s">
        <v>983</v>
      </c>
      <c r="DW352" t="s">
        <v>983</v>
      </c>
      <c r="DX352">
        <v>1</v>
      </c>
      <c r="EE352">
        <v>16609132</v>
      </c>
      <c r="EF352">
        <v>2</v>
      </c>
      <c r="EG352" t="s">
        <v>14</v>
      </c>
      <c r="EH352">
        <v>0</v>
      </c>
      <c r="EI352" t="s">
        <v>6</v>
      </c>
      <c r="EJ352">
        <v>1</v>
      </c>
      <c r="EK352">
        <v>17001</v>
      </c>
      <c r="EL352" t="s">
        <v>941</v>
      </c>
      <c r="EM352" t="s">
        <v>942</v>
      </c>
      <c r="EO352" t="s">
        <v>83</v>
      </c>
      <c r="EQ352">
        <v>131072</v>
      </c>
      <c r="ER352">
        <v>27.54</v>
      </c>
      <c r="ES352">
        <v>0.6</v>
      </c>
      <c r="ET352">
        <v>0</v>
      </c>
      <c r="EU352">
        <v>0</v>
      </c>
      <c r="EV352">
        <v>26.94</v>
      </c>
      <c r="EW352">
        <v>2.8</v>
      </c>
      <c r="EX352">
        <v>0</v>
      </c>
      <c r="EY352">
        <v>0</v>
      </c>
      <c r="FQ352">
        <v>0</v>
      </c>
      <c r="FR352">
        <f t="shared" si="330"/>
        <v>0</v>
      </c>
      <c r="FS352">
        <v>0</v>
      </c>
      <c r="FT352" t="s">
        <v>22</v>
      </c>
      <c r="FU352" t="s">
        <v>23</v>
      </c>
      <c r="FX352">
        <v>115.2</v>
      </c>
      <c r="FY352">
        <v>70.55</v>
      </c>
      <c r="GA352" t="s">
        <v>6</v>
      </c>
      <c r="GD352">
        <v>0</v>
      </c>
      <c r="GF352">
        <v>-1697463624</v>
      </c>
      <c r="GG352">
        <v>1</v>
      </c>
      <c r="GH352">
        <v>1</v>
      </c>
      <c r="GI352">
        <v>4</v>
      </c>
      <c r="GJ352">
        <v>0</v>
      </c>
      <c r="GK352">
        <f>ROUND(R352*(R12)/100,2)</f>
        <v>0</v>
      </c>
      <c r="GL352">
        <f t="shared" si="331"/>
        <v>0</v>
      </c>
      <c r="GM352">
        <f t="shared" si="332"/>
        <v>254.39</v>
      </c>
      <c r="GN352">
        <f t="shared" si="333"/>
        <v>254.39</v>
      </c>
      <c r="GO352">
        <f t="shared" si="334"/>
        <v>0</v>
      </c>
      <c r="GP352">
        <f t="shared" si="335"/>
        <v>0</v>
      </c>
      <c r="GR352">
        <v>0</v>
      </c>
      <c r="GS352">
        <v>3</v>
      </c>
      <c r="GT352">
        <v>0</v>
      </c>
      <c r="GU352" t="s">
        <v>6</v>
      </c>
      <c r="GV352">
        <f t="shared" si="336"/>
        <v>0</v>
      </c>
      <c r="GW352">
        <v>1</v>
      </c>
      <c r="GX352">
        <f t="shared" si="337"/>
        <v>0</v>
      </c>
      <c r="HA352">
        <v>0</v>
      </c>
      <c r="HB352">
        <v>0</v>
      </c>
      <c r="HC352">
        <f t="shared" si="338"/>
        <v>0</v>
      </c>
      <c r="IK352">
        <v>0</v>
      </c>
    </row>
    <row r="353" spans="1:245" x14ac:dyDescent="0.2">
      <c r="A353">
        <v>18</v>
      </c>
      <c r="B353">
        <v>1</v>
      </c>
      <c r="C353">
        <v>750</v>
      </c>
      <c r="E353" t="s">
        <v>985</v>
      </c>
      <c r="F353" t="s">
        <v>986</v>
      </c>
      <c r="G353" t="s">
        <v>987</v>
      </c>
      <c r="H353" t="s">
        <v>243</v>
      </c>
      <c r="I353">
        <f>I352*J353</f>
        <v>0.08</v>
      </c>
      <c r="J353">
        <v>0.19999999999999998</v>
      </c>
      <c r="O353">
        <f t="shared" si="299"/>
        <v>26.18</v>
      </c>
      <c r="P353">
        <f t="shared" si="300"/>
        <v>26.18</v>
      </c>
      <c r="Q353">
        <f t="shared" si="301"/>
        <v>0</v>
      </c>
      <c r="R353">
        <f t="shared" si="302"/>
        <v>0</v>
      </c>
      <c r="S353">
        <f t="shared" si="303"/>
        <v>0</v>
      </c>
      <c r="T353">
        <f t="shared" si="304"/>
        <v>0</v>
      </c>
      <c r="U353">
        <f t="shared" si="305"/>
        <v>0</v>
      </c>
      <c r="V353">
        <f t="shared" si="306"/>
        <v>0</v>
      </c>
      <c r="W353">
        <f t="shared" si="307"/>
        <v>0</v>
      </c>
      <c r="X353">
        <f t="shared" si="308"/>
        <v>0</v>
      </c>
      <c r="Y353">
        <f t="shared" si="309"/>
        <v>0</v>
      </c>
      <c r="AA353">
        <v>16630606</v>
      </c>
      <c r="AB353">
        <f t="shared" si="310"/>
        <v>45.9</v>
      </c>
      <c r="AC353">
        <f t="shared" si="311"/>
        <v>45.9</v>
      </c>
      <c r="AD353">
        <f>ROUND((((ET353)-(EU353))+AE353),2)</f>
        <v>0</v>
      </c>
      <c r="AE353">
        <f>ROUND((EU353),2)</f>
        <v>0</v>
      </c>
      <c r="AF353">
        <f>ROUND((EV353),2)</f>
        <v>0</v>
      </c>
      <c r="AG353">
        <f t="shared" si="315"/>
        <v>0</v>
      </c>
      <c r="AH353">
        <f>(EW353)</f>
        <v>0</v>
      </c>
      <c r="AI353">
        <f>(EX353)</f>
        <v>0</v>
      </c>
      <c r="AJ353">
        <f t="shared" si="318"/>
        <v>0</v>
      </c>
      <c r="AK353">
        <v>45.9</v>
      </c>
      <c r="AL353">
        <v>45.9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115</v>
      </c>
      <c r="AU353">
        <v>71</v>
      </c>
      <c r="AV353">
        <v>1</v>
      </c>
      <c r="AW353">
        <v>1</v>
      </c>
      <c r="AZ353">
        <v>7.13</v>
      </c>
      <c r="BA353">
        <v>1</v>
      </c>
      <c r="BB353">
        <v>1</v>
      </c>
      <c r="BC353">
        <v>7.13</v>
      </c>
      <c r="BD353" t="s">
        <v>6</v>
      </c>
      <c r="BE353" t="s">
        <v>6</v>
      </c>
      <c r="BF353" t="s">
        <v>6</v>
      </c>
      <c r="BG353" t="s">
        <v>6</v>
      </c>
      <c r="BH353">
        <v>3</v>
      </c>
      <c r="BI353">
        <v>1</v>
      </c>
      <c r="BJ353" t="s">
        <v>988</v>
      </c>
      <c r="BM353">
        <v>17001</v>
      </c>
      <c r="BN353">
        <v>0</v>
      </c>
      <c r="BO353" t="s">
        <v>6</v>
      </c>
      <c r="BP353">
        <v>0</v>
      </c>
      <c r="BQ353">
        <v>2</v>
      </c>
      <c r="BR353">
        <v>0</v>
      </c>
      <c r="BS353">
        <v>1</v>
      </c>
      <c r="BT353">
        <v>1</v>
      </c>
      <c r="BU353">
        <v>1</v>
      </c>
      <c r="BV353">
        <v>1</v>
      </c>
      <c r="BW353">
        <v>1</v>
      </c>
      <c r="BX353">
        <v>1</v>
      </c>
      <c r="BY353" t="s">
        <v>6</v>
      </c>
      <c r="BZ353">
        <v>128</v>
      </c>
      <c r="CA353">
        <v>83</v>
      </c>
      <c r="CE353">
        <v>0</v>
      </c>
      <c r="CF353">
        <v>0</v>
      </c>
      <c r="CG353">
        <v>0</v>
      </c>
      <c r="CM353">
        <v>0</v>
      </c>
      <c r="CN353" t="s">
        <v>6</v>
      </c>
      <c r="CO353">
        <v>0</v>
      </c>
      <c r="CP353">
        <f t="shared" si="319"/>
        <v>26.18</v>
      </c>
      <c r="CQ353">
        <f t="shared" si="320"/>
        <v>327.267</v>
      </c>
      <c r="CR353">
        <f t="shared" si="321"/>
        <v>0</v>
      </c>
      <c r="CS353">
        <f t="shared" si="322"/>
        <v>0</v>
      </c>
      <c r="CT353">
        <f t="shared" si="323"/>
        <v>0</v>
      </c>
      <c r="CU353">
        <f t="shared" si="324"/>
        <v>0</v>
      </c>
      <c r="CV353">
        <f t="shared" si="325"/>
        <v>0</v>
      </c>
      <c r="CW353">
        <f t="shared" si="326"/>
        <v>0</v>
      </c>
      <c r="CX353">
        <f t="shared" si="327"/>
        <v>0</v>
      </c>
      <c r="CY353">
        <f t="shared" si="328"/>
        <v>0</v>
      </c>
      <c r="CZ353">
        <f t="shared" si="329"/>
        <v>0</v>
      </c>
      <c r="DC353" t="s">
        <v>6</v>
      </c>
      <c r="DD353" t="s">
        <v>6</v>
      </c>
      <c r="DE353" t="s">
        <v>6</v>
      </c>
      <c r="DF353" t="s">
        <v>6</v>
      </c>
      <c r="DG353" t="s">
        <v>6</v>
      </c>
      <c r="DH353" t="s">
        <v>6</v>
      </c>
      <c r="DI353" t="s">
        <v>6</v>
      </c>
      <c r="DJ353" t="s">
        <v>6</v>
      </c>
      <c r="DK353" t="s">
        <v>6</v>
      </c>
      <c r="DL353" t="s">
        <v>6</v>
      </c>
      <c r="DM353" t="s">
        <v>6</v>
      </c>
      <c r="DN353">
        <v>0</v>
      </c>
      <c r="DO353">
        <v>0</v>
      </c>
      <c r="DP353">
        <v>1</v>
      </c>
      <c r="DQ353">
        <v>1</v>
      </c>
      <c r="DU353">
        <v>1010</v>
      </c>
      <c r="DV353" t="s">
        <v>243</v>
      </c>
      <c r="DW353" t="s">
        <v>243</v>
      </c>
      <c r="DX353">
        <v>100</v>
      </c>
      <c r="EE353">
        <v>16609132</v>
      </c>
      <c r="EF353">
        <v>2</v>
      </c>
      <c r="EG353" t="s">
        <v>14</v>
      </c>
      <c r="EH353">
        <v>0</v>
      </c>
      <c r="EI353" t="s">
        <v>6</v>
      </c>
      <c r="EJ353">
        <v>1</v>
      </c>
      <c r="EK353">
        <v>17001</v>
      </c>
      <c r="EL353" t="s">
        <v>941</v>
      </c>
      <c r="EM353" t="s">
        <v>942</v>
      </c>
      <c r="EO353" t="s">
        <v>6</v>
      </c>
      <c r="EQ353">
        <v>0</v>
      </c>
      <c r="ER353">
        <v>45.9</v>
      </c>
      <c r="ES353">
        <v>45.9</v>
      </c>
      <c r="ET353">
        <v>0</v>
      </c>
      <c r="EU353">
        <v>0</v>
      </c>
      <c r="EV353">
        <v>0</v>
      </c>
      <c r="EW353">
        <v>0</v>
      </c>
      <c r="EX353">
        <v>0</v>
      </c>
      <c r="FQ353">
        <v>0</v>
      </c>
      <c r="FR353">
        <f t="shared" si="330"/>
        <v>0</v>
      </c>
      <c r="FS353">
        <v>0</v>
      </c>
      <c r="FT353" t="s">
        <v>22</v>
      </c>
      <c r="FU353" t="s">
        <v>23</v>
      </c>
      <c r="FX353">
        <v>115.2</v>
      </c>
      <c r="FY353">
        <v>70.55</v>
      </c>
      <c r="GA353" t="s">
        <v>6</v>
      </c>
      <c r="GD353">
        <v>0</v>
      </c>
      <c r="GF353">
        <v>-1552274619</v>
      </c>
      <c r="GG353">
        <v>1</v>
      </c>
      <c r="GH353">
        <v>1</v>
      </c>
      <c r="GI353">
        <v>4</v>
      </c>
      <c r="GJ353">
        <v>0</v>
      </c>
      <c r="GK353">
        <f>ROUND(R353*(R12)/100,2)</f>
        <v>0</v>
      </c>
      <c r="GL353">
        <f t="shared" si="331"/>
        <v>0</v>
      </c>
      <c r="GM353">
        <f t="shared" si="332"/>
        <v>26.18</v>
      </c>
      <c r="GN353">
        <f t="shared" si="333"/>
        <v>26.18</v>
      </c>
      <c r="GO353">
        <f t="shared" si="334"/>
        <v>0</v>
      </c>
      <c r="GP353">
        <f t="shared" si="335"/>
        <v>0</v>
      </c>
      <c r="GR353">
        <v>0</v>
      </c>
      <c r="GS353">
        <v>3</v>
      </c>
      <c r="GT353">
        <v>0</v>
      </c>
      <c r="GU353" t="s">
        <v>6</v>
      </c>
      <c r="GV353">
        <f t="shared" si="336"/>
        <v>0</v>
      </c>
      <c r="GW353">
        <v>1</v>
      </c>
      <c r="GX353">
        <f t="shared" si="337"/>
        <v>0</v>
      </c>
      <c r="HA353">
        <v>0</v>
      </c>
      <c r="HB353">
        <v>0</v>
      </c>
      <c r="HC353">
        <f t="shared" si="338"/>
        <v>0</v>
      </c>
      <c r="IK353">
        <v>0</v>
      </c>
    </row>
    <row r="354" spans="1:245" x14ac:dyDescent="0.2">
      <c r="A354">
        <v>18</v>
      </c>
      <c r="B354">
        <v>1</v>
      </c>
      <c r="C354">
        <v>752</v>
      </c>
      <c r="E354" t="s">
        <v>989</v>
      </c>
      <c r="F354" t="s">
        <v>990</v>
      </c>
      <c r="G354" t="s">
        <v>991</v>
      </c>
      <c r="H354" t="s">
        <v>87</v>
      </c>
      <c r="I354">
        <f>I352*J354</f>
        <v>1.2</v>
      </c>
      <c r="J354">
        <v>2.9999999999999996</v>
      </c>
      <c r="O354">
        <f t="shared" si="299"/>
        <v>1812.25</v>
      </c>
      <c r="P354">
        <f t="shared" si="300"/>
        <v>1812.25</v>
      </c>
      <c r="Q354">
        <f t="shared" si="301"/>
        <v>0</v>
      </c>
      <c r="R354">
        <f t="shared" si="302"/>
        <v>0</v>
      </c>
      <c r="S354">
        <f t="shared" si="303"/>
        <v>0</v>
      </c>
      <c r="T354">
        <f t="shared" si="304"/>
        <v>0</v>
      </c>
      <c r="U354">
        <f t="shared" si="305"/>
        <v>0</v>
      </c>
      <c r="V354">
        <f t="shared" si="306"/>
        <v>0</v>
      </c>
      <c r="W354">
        <f t="shared" si="307"/>
        <v>0</v>
      </c>
      <c r="X354">
        <f t="shared" si="308"/>
        <v>0</v>
      </c>
      <c r="Y354">
        <f t="shared" si="309"/>
        <v>0</v>
      </c>
      <c r="AA354">
        <v>16630606</v>
      </c>
      <c r="AB354">
        <f t="shared" si="310"/>
        <v>211.81</v>
      </c>
      <c r="AC354">
        <f t="shared" si="311"/>
        <v>211.81</v>
      </c>
      <c r="AD354">
        <f>ROUND((((ET354)-(EU354))+AE354),2)</f>
        <v>0</v>
      </c>
      <c r="AE354">
        <f>ROUND((EU354),2)</f>
        <v>0</v>
      </c>
      <c r="AF354">
        <f>ROUND((EV354),2)</f>
        <v>0</v>
      </c>
      <c r="AG354">
        <f t="shared" si="315"/>
        <v>0</v>
      </c>
      <c r="AH354">
        <f>(EW354)</f>
        <v>0</v>
      </c>
      <c r="AI354">
        <f>(EX354)</f>
        <v>0</v>
      </c>
      <c r="AJ354">
        <f t="shared" si="318"/>
        <v>0</v>
      </c>
      <c r="AK354">
        <v>211.81</v>
      </c>
      <c r="AL354">
        <v>211.81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115</v>
      </c>
      <c r="AU354">
        <v>71</v>
      </c>
      <c r="AV354">
        <v>1</v>
      </c>
      <c r="AW354">
        <v>1</v>
      </c>
      <c r="AZ354">
        <v>7.13</v>
      </c>
      <c r="BA354">
        <v>1</v>
      </c>
      <c r="BB354">
        <v>1</v>
      </c>
      <c r="BC354">
        <v>7.13</v>
      </c>
      <c r="BD354" t="s">
        <v>6</v>
      </c>
      <c r="BE354" t="s">
        <v>6</v>
      </c>
      <c r="BF354" t="s">
        <v>6</v>
      </c>
      <c r="BG354" t="s">
        <v>6</v>
      </c>
      <c r="BH354">
        <v>3</v>
      </c>
      <c r="BI354">
        <v>1</v>
      </c>
      <c r="BJ354" t="s">
        <v>992</v>
      </c>
      <c r="BM354">
        <v>17001</v>
      </c>
      <c r="BN354">
        <v>0</v>
      </c>
      <c r="BO354" t="s">
        <v>6</v>
      </c>
      <c r="BP354">
        <v>0</v>
      </c>
      <c r="BQ354">
        <v>2</v>
      </c>
      <c r="BR354">
        <v>0</v>
      </c>
      <c r="BS354">
        <v>1</v>
      </c>
      <c r="BT354">
        <v>1</v>
      </c>
      <c r="BU354">
        <v>1</v>
      </c>
      <c r="BV354">
        <v>1</v>
      </c>
      <c r="BW354">
        <v>1</v>
      </c>
      <c r="BX354">
        <v>1</v>
      </c>
      <c r="BY354" t="s">
        <v>6</v>
      </c>
      <c r="BZ354">
        <v>128</v>
      </c>
      <c r="CA354">
        <v>83</v>
      </c>
      <c r="CE354">
        <v>0</v>
      </c>
      <c r="CF354">
        <v>0</v>
      </c>
      <c r="CG354">
        <v>0</v>
      </c>
      <c r="CM354">
        <v>0</v>
      </c>
      <c r="CN354" t="s">
        <v>6</v>
      </c>
      <c r="CO354">
        <v>0</v>
      </c>
      <c r="CP354">
        <f t="shared" si="319"/>
        <v>1812.25</v>
      </c>
      <c r="CQ354">
        <f t="shared" si="320"/>
        <v>1510.2053000000001</v>
      </c>
      <c r="CR354">
        <f t="shared" si="321"/>
        <v>0</v>
      </c>
      <c r="CS354">
        <f t="shared" si="322"/>
        <v>0</v>
      </c>
      <c r="CT354">
        <f t="shared" si="323"/>
        <v>0</v>
      </c>
      <c r="CU354">
        <f t="shared" si="324"/>
        <v>0</v>
      </c>
      <c r="CV354">
        <f t="shared" si="325"/>
        <v>0</v>
      </c>
      <c r="CW354">
        <f t="shared" si="326"/>
        <v>0</v>
      </c>
      <c r="CX354">
        <f t="shared" si="327"/>
        <v>0</v>
      </c>
      <c r="CY354">
        <f t="shared" si="328"/>
        <v>0</v>
      </c>
      <c r="CZ354">
        <f t="shared" si="329"/>
        <v>0</v>
      </c>
      <c r="DC354" t="s">
        <v>6</v>
      </c>
      <c r="DD354" t="s">
        <v>6</v>
      </c>
      <c r="DE354" t="s">
        <v>6</v>
      </c>
      <c r="DF354" t="s">
        <v>6</v>
      </c>
      <c r="DG354" t="s">
        <v>6</v>
      </c>
      <c r="DH354" t="s">
        <v>6</v>
      </c>
      <c r="DI354" t="s">
        <v>6</v>
      </c>
      <c r="DJ354" t="s">
        <v>6</v>
      </c>
      <c r="DK354" t="s">
        <v>6</v>
      </c>
      <c r="DL354" t="s">
        <v>6</v>
      </c>
      <c r="DM354" t="s">
        <v>6</v>
      </c>
      <c r="DN354">
        <v>0</v>
      </c>
      <c r="DO354">
        <v>0</v>
      </c>
      <c r="DP354">
        <v>1</v>
      </c>
      <c r="DQ354">
        <v>1</v>
      </c>
      <c r="DU354">
        <v>1005</v>
      </c>
      <c r="DV354" t="s">
        <v>87</v>
      </c>
      <c r="DW354" t="s">
        <v>87</v>
      </c>
      <c r="DX354">
        <v>1</v>
      </c>
      <c r="EE354">
        <v>16609132</v>
      </c>
      <c r="EF354">
        <v>2</v>
      </c>
      <c r="EG354" t="s">
        <v>14</v>
      </c>
      <c r="EH354">
        <v>0</v>
      </c>
      <c r="EI354" t="s">
        <v>6</v>
      </c>
      <c r="EJ354">
        <v>1</v>
      </c>
      <c r="EK354">
        <v>17001</v>
      </c>
      <c r="EL354" t="s">
        <v>941</v>
      </c>
      <c r="EM354" t="s">
        <v>942</v>
      </c>
      <c r="EO354" t="s">
        <v>6</v>
      </c>
      <c r="EQ354">
        <v>0</v>
      </c>
      <c r="ER354">
        <v>211.81</v>
      </c>
      <c r="ES354">
        <v>211.81</v>
      </c>
      <c r="ET354">
        <v>0</v>
      </c>
      <c r="EU354">
        <v>0</v>
      </c>
      <c r="EV354">
        <v>0</v>
      </c>
      <c r="EW354">
        <v>0</v>
      </c>
      <c r="EX354">
        <v>0</v>
      </c>
      <c r="FQ354">
        <v>0</v>
      </c>
      <c r="FR354">
        <f t="shared" si="330"/>
        <v>0</v>
      </c>
      <c r="FS354">
        <v>0</v>
      </c>
      <c r="FT354" t="s">
        <v>22</v>
      </c>
      <c r="FU354" t="s">
        <v>23</v>
      </c>
      <c r="FX354">
        <v>115.2</v>
      </c>
      <c r="FY354">
        <v>70.55</v>
      </c>
      <c r="GA354" t="s">
        <v>6</v>
      </c>
      <c r="GD354">
        <v>0</v>
      </c>
      <c r="GF354">
        <v>-95337833</v>
      </c>
      <c r="GG354">
        <v>1</v>
      </c>
      <c r="GH354">
        <v>1</v>
      </c>
      <c r="GI354">
        <v>4</v>
      </c>
      <c r="GJ354">
        <v>0</v>
      </c>
      <c r="GK354">
        <f>ROUND(R354*(R12)/100,2)</f>
        <v>0</v>
      </c>
      <c r="GL354">
        <f t="shared" si="331"/>
        <v>0</v>
      </c>
      <c r="GM354">
        <f t="shared" si="332"/>
        <v>1812.25</v>
      </c>
      <c r="GN354">
        <f t="shared" si="333"/>
        <v>1812.25</v>
      </c>
      <c r="GO354">
        <f t="shared" si="334"/>
        <v>0</v>
      </c>
      <c r="GP354">
        <f t="shared" si="335"/>
        <v>0</v>
      </c>
      <c r="GR354">
        <v>0</v>
      </c>
      <c r="GS354">
        <v>3</v>
      </c>
      <c r="GT354">
        <v>0</v>
      </c>
      <c r="GU354" t="s">
        <v>6</v>
      </c>
      <c r="GV354">
        <f t="shared" si="336"/>
        <v>0</v>
      </c>
      <c r="GW354">
        <v>1</v>
      </c>
      <c r="GX354">
        <f t="shared" si="337"/>
        <v>0</v>
      </c>
      <c r="HA354">
        <v>0</v>
      </c>
      <c r="HB354">
        <v>0</v>
      </c>
      <c r="HC354">
        <f t="shared" si="338"/>
        <v>0</v>
      </c>
      <c r="IK354">
        <v>0</v>
      </c>
    </row>
    <row r="355" spans="1:245" x14ac:dyDescent="0.2">
      <c r="A355">
        <v>17</v>
      </c>
      <c r="B355">
        <v>1</v>
      </c>
      <c r="C355">
        <f>ROW(SmtRes!A760)</f>
        <v>760</v>
      </c>
      <c r="D355">
        <f>ROW(EtalonRes!A762)</f>
        <v>762</v>
      </c>
      <c r="E355" t="s">
        <v>993</v>
      </c>
      <c r="F355" t="s">
        <v>994</v>
      </c>
      <c r="G355" t="s">
        <v>995</v>
      </c>
      <c r="H355" t="s">
        <v>127</v>
      </c>
      <c r="I355">
        <v>3</v>
      </c>
      <c r="J355">
        <v>0</v>
      </c>
      <c r="O355">
        <f t="shared" si="299"/>
        <v>2996.52</v>
      </c>
      <c r="P355">
        <f t="shared" si="300"/>
        <v>1499.44</v>
      </c>
      <c r="Q355">
        <f t="shared" si="301"/>
        <v>17.75</v>
      </c>
      <c r="R355">
        <f t="shared" si="302"/>
        <v>3.21</v>
      </c>
      <c r="S355">
        <f t="shared" si="303"/>
        <v>1479.33</v>
      </c>
      <c r="T355">
        <f t="shared" si="304"/>
        <v>0</v>
      </c>
      <c r="U355">
        <f t="shared" si="305"/>
        <v>24.322499999999998</v>
      </c>
      <c r="V355">
        <f t="shared" si="306"/>
        <v>3.7500000000000006E-2</v>
      </c>
      <c r="W355">
        <f t="shared" si="307"/>
        <v>0</v>
      </c>
      <c r="X355">
        <f t="shared" si="308"/>
        <v>1704.92</v>
      </c>
      <c r="Y355">
        <f t="shared" si="309"/>
        <v>1052.5999999999999</v>
      </c>
      <c r="AA355">
        <v>16630606</v>
      </c>
      <c r="AB355">
        <f t="shared" si="310"/>
        <v>140.09</v>
      </c>
      <c r="AC355">
        <f t="shared" si="311"/>
        <v>70.099999999999994</v>
      </c>
      <c r="AD355">
        <f>ROUND(((((ET355*1.25))-((EU355*1.25)))+AE355),2)</f>
        <v>0.83</v>
      </c>
      <c r="AE355">
        <f>ROUND(((EU355*1.25)),2)</f>
        <v>0.15</v>
      </c>
      <c r="AF355">
        <f>ROUND(((EV355*1.15)),2)</f>
        <v>69.16</v>
      </c>
      <c r="AG355">
        <f t="shared" si="315"/>
        <v>0</v>
      </c>
      <c r="AH355">
        <f>((EW355*1.15))</f>
        <v>8.1074999999999999</v>
      </c>
      <c r="AI355">
        <f>((EX355*1.25))</f>
        <v>1.2500000000000001E-2</v>
      </c>
      <c r="AJ355">
        <f t="shared" si="318"/>
        <v>0</v>
      </c>
      <c r="AK355">
        <v>130.9</v>
      </c>
      <c r="AL355">
        <v>70.099999999999994</v>
      </c>
      <c r="AM355">
        <v>0.66</v>
      </c>
      <c r="AN355">
        <v>0.12</v>
      </c>
      <c r="AO355">
        <v>60.14</v>
      </c>
      <c r="AP355">
        <v>0</v>
      </c>
      <c r="AQ355">
        <v>7.05</v>
      </c>
      <c r="AR355">
        <v>0.01</v>
      </c>
      <c r="AS355">
        <v>0</v>
      </c>
      <c r="AT355">
        <v>115</v>
      </c>
      <c r="AU355">
        <v>71</v>
      </c>
      <c r="AV355">
        <v>1</v>
      </c>
      <c r="AW355">
        <v>1</v>
      </c>
      <c r="AZ355">
        <v>7.13</v>
      </c>
      <c r="BA355">
        <v>7.13</v>
      </c>
      <c r="BB355">
        <v>7.13</v>
      </c>
      <c r="BC355">
        <v>7.13</v>
      </c>
      <c r="BD355" t="s">
        <v>6</v>
      </c>
      <c r="BE355" t="s">
        <v>6</v>
      </c>
      <c r="BF355" t="s">
        <v>6</v>
      </c>
      <c r="BG355" t="s">
        <v>6</v>
      </c>
      <c r="BH355">
        <v>0</v>
      </c>
      <c r="BI355">
        <v>1</v>
      </c>
      <c r="BJ355" t="s">
        <v>996</v>
      </c>
      <c r="BM355">
        <v>16001</v>
      </c>
      <c r="BN355">
        <v>0</v>
      </c>
      <c r="BO355" t="s">
        <v>6</v>
      </c>
      <c r="BP355">
        <v>0</v>
      </c>
      <c r="BQ355">
        <v>2</v>
      </c>
      <c r="BR355">
        <v>0</v>
      </c>
      <c r="BS355">
        <v>7.13</v>
      </c>
      <c r="BT355">
        <v>1</v>
      </c>
      <c r="BU355">
        <v>1</v>
      </c>
      <c r="BV355">
        <v>1</v>
      </c>
      <c r="BW355">
        <v>1</v>
      </c>
      <c r="BX355">
        <v>1</v>
      </c>
      <c r="BY355" t="s">
        <v>6</v>
      </c>
      <c r="BZ355">
        <v>128</v>
      </c>
      <c r="CA355">
        <v>83</v>
      </c>
      <c r="CE355">
        <v>0</v>
      </c>
      <c r="CF355">
        <v>0</v>
      </c>
      <c r="CG355">
        <v>0</v>
      </c>
      <c r="CM355">
        <v>0</v>
      </c>
      <c r="CN355" t="s">
        <v>1758</v>
      </c>
      <c r="CO355">
        <v>0</v>
      </c>
      <c r="CP355">
        <f t="shared" si="319"/>
        <v>2996.52</v>
      </c>
      <c r="CQ355">
        <f t="shared" si="320"/>
        <v>499.81299999999993</v>
      </c>
      <c r="CR355">
        <f t="shared" si="321"/>
        <v>5.9178999999999995</v>
      </c>
      <c r="CS355">
        <f t="shared" si="322"/>
        <v>1.0694999999999999</v>
      </c>
      <c r="CT355">
        <f t="shared" si="323"/>
        <v>493.11079999999998</v>
      </c>
      <c r="CU355">
        <f t="shared" si="324"/>
        <v>0</v>
      </c>
      <c r="CV355">
        <f t="shared" si="325"/>
        <v>8.1074999999999999</v>
      </c>
      <c r="CW355">
        <f t="shared" si="326"/>
        <v>1.2500000000000001E-2</v>
      </c>
      <c r="CX355">
        <f t="shared" si="327"/>
        <v>0</v>
      </c>
      <c r="CY355">
        <f t="shared" si="328"/>
        <v>1704.921</v>
      </c>
      <c r="CZ355">
        <f t="shared" si="329"/>
        <v>1052.6034</v>
      </c>
      <c r="DC355" t="s">
        <v>6</v>
      </c>
      <c r="DD355" t="s">
        <v>6</v>
      </c>
      <c r="DE355" t="s">
        <v>81</v>
      </c>
      <c r="DF355" t="s">
        <v>81</v>
      </c>
      <c r="DG355" t="s">
        <v>82</v>
      </c>
      <c r="DH355" t="s">
        <v>6</v>
      </c>
      <c r="DI355" t="s">
        <v>82</v>
      </c>
      <c r="DJ355" t="s">
        <v>81</v>
      </c>
      <c r="DK355" t="s">
        <v>6</v>
      </c>
      <c r="DL355" t="s">
        <v>6</v>
      </c>
      <c r="DM355" t="s">
        <v>6</v>
      </c>
      <c r="DN355">
        <v>0</v>
      </c>
      <c r="DO355">
        <v>0</v>
      </c>
      <c r="DP355">
        <v>1</v>
      </c>
      <c r="DQ355">
        <v>1</v>
      </c>
      <c r="DU355">
        <v>1013</v>
      </c>
      <c r="DV355" t="s">
        <v>127</v>
      </c>
      <c r="DW355" t="s">
        <v>127</v>
      </c>
      <c r="DX355">
        <v>1</v>
      </c>
      <c r="EE355">
        <v>16609131</v>
      </c>
      <c r="EF355">
        <v>2</v>
      </c>
      <c r="EG355" t="s">
        <v>14</v>
      </c>
      <c r="EH355">
        <v>0</v>
      </c>
      <c r="EI355" t="s">
        <v>6</v>
      </c>
      <c r="EJ355">
        <v>1</v>
      </c>
      <c r="EK355">
        <v>16001</v>
      </c>
      <c r="EL355" t="s">
        <v>730</v>
      </c>
      <c r="EM355" t="s">
        <v>731</v>
      </c>
      <c r="EO355" t="s">
        <v>83</v>
      </c>
      <c r="EQ355">
        <v>131072</v>
      </c>
      <c r="ER355">
        <v>130.9</v>
      </c>
      <c r="ES355">
        <v>70.099999999999994</v>
      </c>
      <c r="ET355">
        <v>0.66</v>
      </c>
      <c r="EU355">
        <v>0.12</v>
      </c>
      <c r="EV355">
        <v>60.14</v>
      </c>
      <c r="EW355">
        <v>7.05</v>
      </c>
      <c r="EX355">
        <v>0.01</v>
      </c>
      <c r="EY355">
        <v>0</v>
      </c>
      <c r="FQ355">
        <v>0</v>
      </c>
      <c r="FR355">
        <f t="shared" si="330"/>
        <v>0</v>
      </c>
      <c r="FS355">
        <v>0</v>
      </c>
      <c r="FT355" t="s">
        <v>22</v>
      </c>
      <c r="FU355" t="s">
        <v>23</v>
      </c>
      <c r="FX355">
        <v>115.2</v>
      </c>
      <c r="FY355">
        <v>70.55</v>
      </c>
      <c r="GA355" t="s">
        <v>6</v>
      </c>
      <c r="GD355">
        <v>0</v>
      </c>
      <c r="GF355">
        <v>-497237110</v>
      </c>
      <c r="GG355">
        <v>1</v>
      </c>
      <c r="GH355">
        <v>1</v>
      </c>
      <c r="GI355">
        <v>4</v>
      </c>
      <c r="GJ355">
        <v>0</v>
      </c>
      <c r="GK355">
        <f>ROUND(R355*(R12)/100,2)</f>
        <v>0</v>
      </c>
      <c r="GL355">
        <f t="shared" si="331"/>
        <v>0</v>
      </c>
      <c r="GM355">
        <f t="shared" si="332"/>
        <v>5754.04</v>
      </c>
      <c r="GN355">
        <f t="shared" si="333"/>
        <v>5754.04</v>
      </c>
      <c r="GO355">
        <f t="shared" si="334"/>
        <v>0</v>
      </c>
      <c r="GP355">
        <f t="shared" si="335"/>
        <v>0</v>
      </c>
      <c r="GR355">
        <v>0</v>
      </c>
      <c r="GS355">
        <v>3</v>
      </c>
      <c r="GT355">
        <v>0</v>
      </c>
      <c r="GU355" t="s">
        <v>6</v>
      </c>
      <c r="GV355">
        <f t="shared" si="336"/>
        <v>0</v>
      </c>
      <c r="GW355">
        <v>1</v>
      </c>
      <c r="GX355">
        <f t="shared" si="337"/>
        <v>0</v>
      </c>
      <c r="HA355">
        <v>0</v>
      </c>
      <c r="HB355">
        <v>0</v>
      </c>
      <c r="HC355">
        <f t="shared" si="338"/>
        <v>0</v>
      </c>
      <c r="IK355">
        <v>0</v>
      </c>
    </row>
    <row r="356" spans="1:245" x14ac:dyDescent="0.2">
      <c r="A356">
        <v>17</v>
      </c>
      <c r="B356">
        <v>1</v>
      </c>
      <c r="C356">
        <f>ROW(SmtRes!A768)</f>
        <v>768</v>
      </c>
      <c r="D356">
        <f>ROW(EtalonRes!A770)</f>
        <v>770</v>
      </c>
      <c r="E356" t="s">
        <v>997</v>
      </c>
      <c r="F356" t="s">
        <v>998</v>
      </c>
      <c r="G356" t="s">
        <v>999</v>
      </c>
      <c r="H356" t="s">
        <v>127</v>
      </c>
      <c r="I356">
        <v>3</v>
      </c>
      <c r="J356">
        <v>0</v>
      </c>
      <c r="O356">
        <f t="shared" si="299"/>
        <v>4792.21</v>
      </c>
      <c r="P356">
        <f t="shared" si="300"/>
        <v>2898.56</v>
      </c>
      <c r="Q356">
        <f t="shared" si="301"/>
        <v>17.75</v>
      </c>
      <c r="R356">
        <f t="shared" si="302"/>
        <v>3.21</v>
      </c>
      <c r="S356">
        <f t="shared" si="303"/>
        <v>1875.9</v>
      </c>
      <c r="T356">
        <f t="shared" si="304"/>
        <v>0</v>
      </c>
      <c r="U356">
        <f t="shared" si="305"/>
        <v>30.842999999999996</v>
      </c>
      <c r="V356">
        <f t="shared" si="306"/>
        <v>3.7500000000000006E-2</v>
      </c>
      <c r="W356">
        <f t="shared" si="307"/>
        <v>0</v>
      </c>
      <c r="X356">
        <f t="shared" si="308"/>
        <v>2160.98</v>
      </c>
      <c r="Y356">
        <f t="shared" si="309"/>
        <v>1334.17</v>
      </c>
      <c r="AA356">
        <v>16630606</v>
      </c>
      <c r="AB356">
        <f t="shared" si="310"/>
        <v>224.04</v>
      </c>
      <c r="AC356">
        <f t="shared" si="311"/>
        <v>135.51</v>
      </c>
      <c r="AD356">
        <f>ROUND(((((ET356*1.25))-((EU356*1.25)))+AE356),2)</f>
        <v>0.83</v>
      </c>
      <c r="AE356">
        <f>ROUND(((EU356*1.25)),2)</f>
        <v>0.15</v>
      </c>
      <c r="AF356">
        <f>ROUND(((EV356*1.15)),2)</f>
        <v>87.7</v>
      </c>
      <c r="AG356">
        <f t="shared" si="315"/>
        <v>0</v>
      </c>
      <c r="AH356">
        <f>((EW356*1.15))</f>
        <v>10.280999999999999</v>
      </c>
      <c r="AI356">
        <f>((EX356*1.25))</f>
        <v>1.2500000000000001E-2</v>
      </c>
      <c r="AJ356">
        <f t="shared" si="318"/>
        <v>0</v>
      </c>
      <c r="AK356">
        <v>212.43</v>
      </c>
      <c r="AL356">
        <v>135.51</v>
      </c>
      <c r="AM356">
        <v>0.66</v>
      </c>
      <c r="AN356">
        <v>0.12</v>
      </c>
      <c r="AO356">
        <v>76.260000000000005</v>
      </c>
      <c r="AP356">
        <v>0</v>
      </c>
      <c r="AQ356">
        <v>8.94</v>
      </c>
      <c r="AR356">
        <v>0.01</v>
      </c>
      <c r="AS356">
        <v>0</v>
      </c>
      <c r="AT356">
        <v>115</v>
      </c>
      <c r="AU356">
        <v>71</v>
      </c>
      <c r="AV356">
        <v>1</v>
      </c>
      <c r="AW356">
        <v>1</v>
      </c>
      <c r="AZ356">
        <v>7.13</v>
      </c>
      <c r="BA356">
        <v>7.13</v>
      </c>
      <c r="BB356">
        <v>7.13</v>
      </c>
      <c r="BC356">
        <v>7.13</v>
      </c>
      <c r="BD356" t="s">
        <v>6</v>
      </c>
      <c r="BE356" t="s">
        <v>6</v>
      </c>
      <c r="BF356" t="s">
        <v>6</v>
      </c>
      <c r="BG356" t="s">
        <v>6</v>
      </c>
      <c r="BH356">
        <v>0</v>
      </c>
      <c r="BI356">
        <v>1</v>
      </c>
      <c r="BJ356" t="s">
        <v>1000</v>
      </c>
      <c r="BM356">
        <v>16001</v>
      </c>
      <c r="BN356">
        <v>0</v>
      </c>
      <c r="BO356" t="s">
        <v>6</v>
      </c>
      <c r="BP356">
        <v>0</v>
      </c>
      <c r="BQ356">
        <v>2</v>
      </c>
      <c r="BR356">
        <v>0</v>
      </c>
      <c r="BS356">
        <v>7.13</v>
      </c>
      <c r="BT356">
        <v>1</v>
      </c>
      <c r="BU356">
        <v>1</v>
      </c>
      <c r="BV356">
        <v>1</v>
      </c>
      <c r="BW356">
        <v>1</v>
      </c>
      <c r="BX356">
        <v>1</v>
      </c>
      <c r="BY356" t="s">
        <v>6</v>
      </c>
      <c r="BZ356">
        <v>128</v>
      </c>
      <c r="CA356">
        <v>83</v>
      </c>
      <c r="CE356">
        <v>0</v>
      </c>
      <c r="CF356">
        <v>0</v>
      </c>
      <c r="CG356">
        <v>0</v>
      </c>
      <c r="CM356">
        <v>0</v>
      </c>
      <c r="CN356" t="s">
        <v>1758</v>
      </c>
      <c r="CO356">
        <v>0</v>
      </c>
      <c r="CP356">
        <f t="shared" si="319"/>
        <v>4792.21</v>
      </c>
      <c r="CQ356">
        <f t="shared" si="320"/>
        <v>966.18629999999996</v>
      </c>
      <c r="CR356">
        <f t="shared" si="321"/>
        <v>5.9178999999999995</v>
      </c>
      <c r="CS356">
        <f t="shared" si="322"/>
        <v>1.0694999999999999</v>
      </c>
      <c r="CT356">
        <f t="shared" si="323"/>
        <v>625.30100000000004</v>
      </c>
      <c r="CU356">
        <f t="shared" si="324"/>
        <v>0</v>
      </c>
      <c r="CV356">
        <f t="shared" si="325"/>
        <v>10.280999999999999</v>
      </c>
      <c r="CW356">
        <f t="shared" si="326"/>
        <v>1.2500000000000001E-2</v>
      </c>
      <c r="CX356">
        <f t="shared" si="327"/>
        <v>0</v>
      </c>
      <c r="CY356">
        <f t="shared" si="328"/>
        <v>2160.9765000000002</v>
      </c>
      <c r="CZ356">
        <f t="shared" si="329"/>
        <v>1334.1680999999999</v>
      </c>
      <c r="DC356" t="s">
        <v>6</v>
      </c>
      <c r="DD356" t="s">
        <v>6</v>
      </c>
      <c r="DE356" t="s">
        <v>81</v>
      </c>
      <c r="DF356" t="s">
        <v>81</v>
      </c>
      <c r="DG356" t="s">
        <v>82</v>
      </c>
      <c r="DH356" t="s">
        <v>6</v>
      </c>
      <c r="DI356" t="s">
        <v>82</v>
      </c>
      <c r="DJ356" t="s">
        <v>81</v>
      </c>
      <c r="DK356" t="s">
        <v>6</v>
      </c>
      <c r="DL356" t="s">
        <v>6</v>
      </c>
      <c r="DM356" t="s">
        <v>6</v>
      </c>
      <c r="DN356">
        <v>0</v>
      </c>
      <c r="DO356">
        <v>0</v>
      </c>
      <c r="DP356">
        <v>1</v>
      </c>
      <c r="DQ356">
        <v>1</v>
      </c>
      <c r="DU356">
        <v>1013</v>
      </c>
      <c r="DV356" t="s">
        <v>127</v>
      </c>
      <c r="DW356" t="s">
        <v>127</v>
      </c>
      <c r="DX356">
        <v>1</v>
      </c>
      <c r="EE356">
        <v>16609131</v>
      </c>
      <c r="EF356">
        <v>2</v>
      </c>
      <c r="EG356" t="s">
        <v>14</v>
      </c>
      <c r="EH356">
        <v>0</v>
      </c>
      <c r="EI356" t="s">
        <v>6</v>
      </c>
      <c r="EJ356">
        <v>1</v>
      </c>
      <c r="EK356">
        <v>16001</v>
      </c>
      <c r="EL356" t="s">
        <v>730</v>
      </c>
      <c r="EM356" t="s">
        <v>731</v>
      </c>
      <c r="EO356" t="s">
        <v>83</v>
      </c>
      <c r="EQ356">
        <v>131072</v>
      </c>
      <c r="ER356">
        <v>212.43</v>
      </c>
      <c r="ES356">
        <v>135.51</v>
      </c>
      <c r="ET356">
        <v>0.66</v>
      </c>
      <c r="EU356">
        <v>0.12</v>
      </c>
      <c r="EV356">
        <v>76.260000000000005</v>
      </c>
      <c r="EW356">
        <v>8.94</v>
      </c>
      <c r="EX356">
        <v>0.01</v>
      </c>
      <c r="EY356">
        <v>0</v>
      </c>
      <c r="FQ356">
        <v>0</v>
      </c>
      <c r="FR356">
        <f t="shared" si="330"/>
        <v>0</v>
      </c>
      <c r="FS356">
        <v>0</v>
      </c>
      <c r="FT356" t="s">
        <v>22</v>
      </c>
      <c r="FU356" t="s">
        <v>23</v>
      </c>
      <c r="FX356">
        <v>115.2</v>
      </c>
      <c r="FY356">
        <v>70.55</v>
      </c>
      <c r="GA356" t="s">
        <v>6</v>
      </c>
      <c r="GD356">
        <v>0</v>
      </c>
      <c r="GF356">
        <v>608638375</v>
      </c>
      <c r="GG356">
        <v>1</v>
      </c>
      <c r="GH356">
        <v>1</v>
      </c>
      <c r="GI356">
        <v>4</v>
      </c>
      <c r="GJ356">
        <v>0</v>
      </c>
      <c r="GK356">
        <f>ROUND(R356*(R12)/100,2)</f>
        <v>0</v>
      </c>
      <c r="GL356">
        <f t="shared" si="331"/>
        <v>0</v>
      </c>
      <c r="GM356">
        <f t="shared" si="332"/>
        <v>8287.36</v>
      </c>
      <c r="GN356">
        <f t="shared" si="333"/>
        <v>8287.36</v>
      </c>
      <c r="GO356">
        <f t="shared" si="334"/>
        <v>0</v>
      </c>
      <c r="GP356">
        <f t="shared" si="335"/>
        <v>0</v>
      </c>
      <c r="GR356">
        <v>0</v>
      </c>
      <c r="GS356">
        <v>3</v>
      </c>
      <c r="GT356">
        <v>0</v>
      </c>
      <c r="GU356" t="s">
        <v>6</v>
      </c>
      <c r="GV356">
        <f t="shared" si="336"/>
        <v>0</v>
      </c>
      <c r="GW356">
        <v>1</v>
      </c>
      <c r="GX356">
        <f t="shared" si="337"/>
        <v>0</v>
      </c>
      <c r="HA356">
        <v>0</v>
      </c>
      <c r="HB356">
        <v>0</v>
      </c>
      <c r="HC356">
        <f t="shared" si="338"/>
        <v>0</v>
      </c>
      <c r="IK356">
        <v>0</v>
      </c>
    </row>
    <row r="358" spans="1:245" x14ac:dyDescent="0.2">
      <c r="A358" s="2">
        <v>51</v>
      </c>
      <c r="B358" s="2">
        <f>B318</f>
        <v>1</v>
      </c>
      <c r="C358" s="2">
        <f>A318</f>
        <v>4</v>
      </c>
      <c r="D358" s="2">
        <f>ROW(A318)</f>
        <v>318</v>
      </c>
      <c r="E358" s="2"/>
      <c r="F358" s="2" t="str">
        <f>IF(F318&lt;&gt;"",F318,"")</f>
        <v>Новый раздел</v>
      </c>
      <c r="G358" s="2" t="str">
        <f>IF(G318&lt;&gt;"",G318,"")</f>
        <v>Внутренняя система канализации</v>
      </c>
      <c r="H358" s="2">
        <v>0</v>
      </c>
      <c r="I358" s="2"/>
      <c r="J358" s="2"/>
      <c r="K358" s="2"/>
      <c r="L358" s="2"/>
      <c r="M358" s="2"/>
      <c r="N358" s="2"/>
      <c r="O358" s="2">
        <f t="shared" ref="O358:T358" si="345">ROUND(AB358,2)</f>
        <v>71787.97</v>
      </c>
      <c r="P358" s="2">
        <f t="shared" si="345"/>
        <v>62666.98</v>
      </c>
      <c r="Q358" s="2">
        <f t="shared" si="345"/>
        <v>325.58</v>
      </c>
      <c r="R358" s="2">
        <f t="shared" si="345"/>
        <v>81.849999999999994</v>
      </c>
      <c r="S358" s="2">
        <f t="shared" si="345"/>
        <v>8795.41</v>
      </c>
      <c r="T358" s="2">
        <f t="shared" si="345"/>
        <v>0</v>
      </c>
      <c r="U358" s="2">
        <f>AH358</f>
        <v>138.16720199999997</v>
      </c>
      <c r="V358" s="2">
        <f>AI358</f>
        <v>0.91382250000000009</v>
      </c>
      <c r="W358" s="2">
        <f>ROUND(AJ358,2)</f>
        <v>0</v>
      </c>
      <c r="X358" s="2">
        <f>ROUND(AK358,2)</f>
        <v>9297.7900000000009</v>
      </c>
      <c r="Y358" s="2">
        <f>ROUND(AL358,2)</f>
        <v>5833.19</v>
      </c>
      <c r="Z358" s="2"/>
      <c r="AA358" s="2"/>
      <c r="AB358" s="2">
        <f>ROUND(SUMIF(AA322:AA356,"=16630606",O322:O356),2)</f>
        <v>71787.97</v>
      </c>
      <c r="AC358" s="2">
        <f>ROUND(SUMIF(AA322:AA356,"=16630606",P322:P356),2)</f>
        <v>62666.98</v>
      </c>
      <c r="AD358" s="2">
        <f>ROUND(SUMIF(AA322:AA356,"=16630606",Q322:Q356),2)</f>
        <v>325.58</v>
      </c>
      <c r="AE358" s="2">
        <f>ROUND(SUMIF(AA322:AA356,"=16630606",R322:R356),2)</f>
        <v>81.849999999999994</v>
      </c>
      <c r="AF358" s="2">
        <f>ROUND(SUMIF(AA322:AA356,"=16630606",S322:S356),2)</f>
        <v>8795.41</v>
      </c>
      <c r="AG358" s="2">
        <f>ROUND(SUMIF(AA322:AA356,"=16630606",T322:T356),2)</f>
        <v>0</v>
      </c>
      <c r="AH358" s="2">
        <f>SUMIF(AA322:AA356,"=16630606",U322:U356)</f>
        <v>138.16720199999997</v>
      </c>
      <c r="AI358" s="2">
        <f>SUMIF(AA322:AA356,"=16630606",V322:V356)</f>
        <v>0.91382250000000009</v>
      </c>
      <c r="AJ358" s="2">
        <f>ROUND(SUMIF(AA322:AA356,"=16630606",W322:W356),2)</f>
        <v>0</v>
      </c>
      <c r="AK358" s="2">
        <f>ROUND(SUMIF(AA322:AA356,"=16630606",X322:X356),2)</f>
        <v>9297.7900000000009</v>
      </c>
      <c r="AL358" s="2">
        <f>ROUND(SUMIF(AA322:AA356,"=16630606",Y322:Y356),2)</f>
        <v>5833.19</v>
      </c>
      <c r="AM358" s="2"/>
      <c r="AN358" s="2"/>
      <c r="AO358" s="2">
        <f t="shared" ref="AO358:BC358" si="346">ROUND(BX358,2)</f>
        <v>0</v>
      </c>
      <c r="AP358" s="2">
        <f t="shared" si="346"/>
        <v>0</v>
      </c>
      <c r="AQ358" s="2">
        <f t="shared" si="346"/>
        <v>0</v>
      </c>
      <c r="AR358" s="2">
        <f t="shared" si="346"/>
        <v>86918.95</v>
      </c>
      <c r="AS358" s="2">
        <f t="shared" si="346"/>
        <v>86918.95</v>
      </c>
      <c r="AT358" s="2">
        <f t="shared" si="346"/>
        <v>0</v>
      </c>
      <c r="AU358" s="2">
        <f t="shared" si="346"/>
        <v>0</v>
      </c>
      <c r="AV358" s="2">
        <f t="shared" si="346"/>
        <v>62666.98</v>
      </c>
      <c r="AW358" s="2">
        <f t="shared" si="346"/>
        <v>62666.98</v>
      </c>
      <c r="AX358" s="2">
        <f t="shared" si="346"/>
        <v>0</v>
      </c>
      <c r="AY358" s="2">
        <f t="shared" si="346"/>
        <v>62666.98</v>
      </c>
      <c r="AZ358" s="2">
        <f t="shared" si="346"/>
        <v>0</v>
      </c>
      <c r="BA358" s="2">
        <f t="shared" si="346"/>
        <v>0</v>
      </c>
      <c r="BB358" s="2">
        <f t="shared" si="346"/>
        <v>0</v>
      </c>
      <c r="BC358" s="2">
        <f t="shared" si="346"/>
        <v>0</v>
      </c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>
        <f>ROUND(SUMIF(AA322:AA356,"=16630606",FQ322:FQ356),2)</f>
        <v>0</v>
      </c>
      <c r="BY358" s="2">
        <f>ROUND(SUMIF(AA322:AA356,"=16630606",FR322:FR356),2)</f>
        <v>0</v>
      </c>
      <c r="BZ358" s="2">
        <f>ROUND(SUMIF(AA322:AA356,"=16630606",GL322:GL356),2)</f>
        <v>0</v>
      </c>
      <c r="CA358" s="2">
        <f>ROUND(SUMIF(AA322:AA356,"=16630606",GM322:GM356),2)</f>
        <v>86918.95</v>
      </c>
      <c r="CB358" s="2">
        <f>ROUND(SUMIF(AA322:AA356,"=16630606",GN322:GN356),2)</f>
        <v>86918.95</v>
      </c>
      <c r="CC358" s="2">
        <f>ROUND(SUMIF(AA322:AA356,"=16630606",GO322:GO356),2)</f>
        <v>0</v>
      </c>
      <c r="CD358" s="2">
        <f>ROUND(SUMIF(AA322:AA356,"=16630606",GP322:GP356),2)</f>
        <v>0</v>
      </c>
      <c r="CE358" s="2">
        <f>AC358-BX358</f>
        <v>62666.98</v>
      </c>
      <c r="CF358" s="2">
        <f>AC358-BY358</f>
        <v>62666.98</v>
      </c>
      <c r="CG358" s="2">
        <f>BX358-BZ358</f>
        <v>0</v>
      </c>
      <c r="CH358" s="2">
        <f>AC358-BX358-BY358+BZ358</f>
        <v>62666.98</v>
      </c>
      <c r="CI358" s="2">
        <f>BY358-BZ358</f>
        <v>0</v>
      </c>
      <c r="CJ358" s="2">
        <f>ROUND(SUMIF(AA322:AA356,"=16630606",GX322:GX356),2)</f>
        <v>0</v>
      </c>
      <c r="CK358" s="2">
        <f>ROUND(SUMIF(AA322:AA356,"=16630606",GY322:GY356),2)</f>
        <v>0</v>
      </c>
      <c r="CL358" s="2">
        <f>ROUND(SUMIF(AA322:AA356,"=16630606",GZ322:GZ356),2)</f>
        <v>0</v>
      </c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  <c r="EB358" s="3"/>
      <c r="EC358" s="3"/>
      <c r="ED358" s="3"/>
      <c r="EE358" s="3"/>
      <c r="EF358" s="3"/>
      <c r="EG358" s="3"/>
      <c r="EH358" s="3"/>
      <c r="EI358" s="3"/>
      <c r="EJ358" s="3"/>
      <c r="EK358" s="3"/>
      <c r="EL358" s="3"/>
      <c r="EM358" s="3"/>
      <c r="EN358" s="3"/>
      <c r="EO358" s="3"/>
      <c r="EP358" s="3"/>
      <c r="EQ358" s="3"/>
      <c r="ER358" s="3"/>
      <c r="ES358" s="3"/>
      <c r="ET358" s="3"/>
      <c r="EU358" s="3"/>
      <c r="EV358" s="3"/>
      <c r="EW358" s="3"/>
      <c r="EX358" s="3"/>
      <c r="EY358" s="3"/>
      <c r="EZ358" s="3"/>
      <c r="FA358" s="3"/>
      <c r="FB358" s="3"/>
      <c r="FC358" s="3"/>
      <c r="FD358" s="3"/>
      <c r="FE358" s="3"/>
      <c r="FF358" s="3"/>
      <c r="FG358" s="3"/>
      <c r="FH358" s="3"/>
      <c r="FI358" s="3"/>
      <c r="FJ358" s="3"/>
      <c r="FK358" s="3"/>
      <c r="FL358" s="3"/>
      <c r="FM358" s="3"/>
      <c r="FN358" s="3"/>
      <c r="FO358" s="3"/>
      <c r="FP358" s="3"/>
      <c r="FQ358" s="3"/>
      <c r="FR358" s="3"/>
      <c r="FS358" s="3"/>
      <c r="FT358" s="3"/>
      <c r="FU358" s="3"/>
      <c r="FV358" s="3"/>
      <c r="FW358" s="3"/>
      <c r="FX358" s="3"/>
      <c r="FY358" s="3"/>
      <c r="FZ358" s="3"/>
      <c r="GA358" s="3"/>
      <c r="GB358" s="3"/>
      <c r="GC358" s="3"/>
      <c r="GD358" s="3"/>
      <c r="GE358" s="3"/>
      <c r="GF358" s="3"/>
      <c r="GG358" s="3"/>
      <c r="GH358" s="3"/>
      <c r="GI358" s="3"/>
      <c r="GJ358" s="3"/>
      <c r="GK358" s="3"/>
      <c r="GL358" s="3"/>
      <c r="GM358" s="3"/>
      <c r="GN358" s="3"/>
      <c r="GO358" s="3"/>
      <c r="GP358" s="3"/>
      <c r="GQ358" s="3"/>
      <c r="GR358" s="3"/>
      <c r="GS358" s="3"/>
      <c r="GT358" s="3"/>
      <c r="GU358" s="3"/>
      <c r="GV358" s="3"/>
      <c r="GW358" s="3"/>
      <c r="GX358" s="3">
        <v>0</v>
      </c>
    </row>
    <row r="360" spans="1:245" x14ac:dyDescent="0.2">
      <c r="A360" s="4">
        <v>50</v>
      </c>
      <c r="B360" s="4">
        <v>0</v>
      </c>
      <c r="C360" s="4">
        <v>0</v>
      </c>
      <c r="D360" s="4">
        <v>1</v>
      </c>
      <c r="E360" s="4">
        <v>201</v>
      </c>
      <c r="F360" s="4">
        <f>ROUND(Source!O358,O360)</f>
        <v>71787.97</v>
      </c>
      <c r="G360" s="4" t="s">
        <v>428</v>
      </c>
      <c r="H360" s="4" t="s">
        <v>429</v>
      </c>
      <c r="I360" s="4"/>
      <c r="J360" s="4"/>
      <c r="K360" s="4">
        <v>201</v>
      </c>
      <c r="L360" s="4">
        <v>1</v>
      </c>
      <c r="M360" s="4">
        <v>3</v>
      </c>
      <c r="N360" s="4" t="s">
        <v>6</v>
      </c>
      <c r="O360" s="4">
        <v>2</v>
      </c>
      <c r="P360" s="4"/>
      <c r="Q360" s="4"/>
      <c r="R360" s="4"/>
      <c r="S360" s="4"/>
      <c r="T360" s="4"/>
      <c r="U360" s="4"/>
      <c r="V360" s="4"/>
      <c r="W360" s="4"/>
    </row>
    <row r="361" spans="1:245" x14ac:dyDescent="0.2">
      <c r="A361" s="4">
        <v>50</v>
      </c>
      <c r="B361" s="4">
        <v>0</v>
      </c>
      <c r="C361" s="4">
        <v>0</v>
      </c>
      <c r="D361" s="4">
        <v>1</v>
      </c>
      <c r="E361" s="4">
        <v>202</v>
      </c>
      <c r="F361" s="4">
        <f>ROUND(Source!P358,O361)</f>
        <v>62666.98</v>
      </c>
      <c r="G361" s="4" t="s">
        <v>430</v>
      </c>
      <c r="H361" s="4" t="s">
        <v>431</v>
      </c>
      <c r="I361" s="4"/>
      <c r="J361" s="4"/>
      <c r="K361" s="4">
        <v>202</v>
      </c>
      <c r="L361" s="4">
        <v>2</v>
      </c>
      <c r="M361" s="4">
        <v>3</v>
      </c>
      <c r="N361" s="4" t="s">
        <v>6</v>
      </c>
      <c r="O361" s="4">
        <v>2</v>
      </c>
      <c r="P361" s="4"/>
      <c r="Q361" s="4"/>
      <c r="R361" s="4"/>
      <c r="S361" s="4"/>
      <c r="T361" s="4"/>
      <c r="U361" s="4"/>
      <c r="V361" s="4"/>
      <c r="W361" s="4"/>
    </row>
    <row r="362" spans="1:245" x14ac:dyDescent="0.2">
      <c r="A362" s="4">
        <v>50</v>
      </c>
      <c r="B362" s="4">
        <v>0</v>
      </c>
      <c r="C362" s="4">
        <v>0</v>
      </c>
      <c r="D362" s="4">
        <v>1</v>
      </c>
      <c r="E362" s="4">
        <v>222</v>
      </c>
      <c r="F362" s="4">
        <f>ROUND(Source!AO358,O362)</f>
        <v>0</v>
      </c>
      <c r="G362" s="4" t="s">
        <v>432</v>
      </c>
      <c r="H362" s="4" t="s">
        <v>433</v>
      </c>
      <c r="I362" s="4"/>
      <c r="J362" s="4"/>
      <c r="K362" s="4">
        <v>222</v>
      </c>
      <c r="L362" s="4">
        <v>3</v>
      </c>
      <c r="M362" s="4">
        <v>3</v>
      </c>
      <c r="N362" s="4" t="s">
        <v>6</v>
      </c>
      <c r="O362" s="4">
        <v>2</v>
      </c>
      <c r="P362" s="4"/>
      <c r="Q362" s="4"/>
      <c r="R362" s="4"/>
      <c r="S362" s="4"/>
      <c r="T362" s="4"/>
      <c r="U362" s="4"/>
      <c r="V362" s="4"/>
      <c r="W362" s="4"/>
    </row>
    <row r="363" spans="1:245" x14ac:dyDescent="0.2">
      <c r="A363" s="4">
        <v>50</v>
      </c>
      <c r="B363" s="4">
        <v>0</v>
      </c>
      <c r="C363" s="4">
        <v>0</v>
      </c>
      <c r="D363" s="4">
        <v>1</v>
      </c>
      <c r="E363" s="4">
        <v>225</v>
      </c>
      <c r="F363" s="4">
        <f>ROUND(Source!AV358,O363)</f>
        <v>62666.98</v>
      </c>
      <c r="G363" s="4" t="s">
        <v>434</v>
      </c>
      <c r="H363" s="4" t="s">
        <v>435</v>
      </c>
      <c r="I363" s="4"/>
      <c r="J363" s="4"/>
      <c r="K363" s="4">
        <v>225</v>
      </c>
      <c r="L363" s="4">
        <v>4</v>
      </c>
      <c r="M363" s="4">
        <v>3</v>
      </c>
      <c r="N363" s="4" t="s">
        <v>6</v>
      </c>
      <c r="O363" s="4">
        <v>2</v>
      </c>
      <c r="P363" s="4"/>
      <c r="Q363" s="4"/>
      <c r="R363" s="4"/>
      <c r="S363" s="4"/>
      <c r="T363" s="4"/>
      <c r="U363" s="4"/>
      <c r="V363" s="4"/>
      <c r="W363" s="4"/>
    </row>
    <row r="364" spans="1:245" x14ac:dyDescent="0.2">
      <c r="A364" s="4">
        <v>50</v>
      </c>
      <c r="B364" s="4">
        <v>0</v>
      </c>
      <c r="C364" s="4">
        <v>0</v>
      </c>
      <c r="D364" s="4">
        <v>1</v>
      </c>
      <c r="E364" s="4">
        <v>226</v>
      </c>
      <c r="F364" s="4">
        <f>ROUND(Source!AW358,O364)</f>
        <v>62666.98</v>
      </c>
      <c r="G364" s="4" t="s">
        <v>436</v>
      </c>
      <c r="H364" s="4" t="s">
        <v>437</v>
      </c>
      <c r="I364" s="4"/>
      <c r="J364" s="4"/>
      <c r="K364" s="4">
        <v>226</v>
      </c>
      <c r="L364" s="4">
        <v>5</v>
      </c>
      <c r="M364" s="4">
        <v>3</v>
      </c>
      <c r="N364" s="4" t="s">
        <v>6</v>
      </c>
      <c r="O364" s="4">
        <v>2</v>
      </c>
      <c r="P364" s="4"/>
      <c r="Q364" s="4"/>
      <c r="R364" s="4"/>
      <c r="S364" s="4"/>
      <c r="T364" s="4"/>
      <c r="U364" s="4"/>
      <c r="V364" s="4"/>
      <c r="W364" s="4"/>
    </row>
    <row r="365" spans="1:245" x14ac:dyDescent="0.2">
      <c r="A365" s="4">
        <v>50</v>
      </c>
      <c r="B365" s="4">
        <v>0</v>
      </c>
      <c r="C365" s="4">
        <v>0</v>
      </c>
      <c r="D365" s="4">
        <v>1</v>
      </c>
      <c r="E365" s="4">
        <v>227</v>
      </c>
      <c r="F365" s="4">
        <f>ROUND(Source!AX358,O365)</f>
        <v>0</v>
      </c>
      <c r="G365" s="4" t="s">
        <v>438</v>
      </c>
      <c r="H365" s="4" t="s">
        <v>439</v>
      </c>
      <c r="I365" s="4"/>
      <c r="J365" s="4"/>
      <c r="K365" s="4">
        <v>227</v>
      </c>
      <c r="L365" s="4">
        <v>6</v>
      </c>
      <c r="M365" s="4">
        <v>3</v>
      </c>
      <c r="N365" s="4" t="s">
        <v>6</v>
      </c>
      <c r="O365" s="4">
        <v>2</v>
      </c>
      <c r="P365" s="4"/>
      <c r="Q365" s="4"/>
      <c r="R365" s="4"/>
      <c r="S365" s="4"/>
      <c r="T365" s="4"/>
      <c r="U365" s="4"/>
      <c r="V365" s="4"/>
      <c r="W365" s="4"/>
    </row>
    <row r="366" spans="1:245" x14ac:dyDescent="0.2">
      <c r="A366" s="4">
        <v>50</v>
      </c>
      <c r="B366" s="4">
        <v>0</v>
      </c>
      <c r="C366" s="4">
        <v>0</v>
      </c>
      <c r="D366" s="4">
        <v>1</v>
      </c>
      <c r="E366" s="4">
        <v>228</v>
      </c>
      <c r="F366" s="4">
        <f>ROUND(Source!AY358,O366)</f>
        <v>62666.98</v>
      </c>
      <c r="G366" s="4" t="s">
        <v>440</v>
      </c>
      <c r="H366" s="4" t="s">
        <v>441</v>
      </c>
      <c r="I366" s="4"/>
      <c r="J366" s="4"/>
      <c r="K366" s="4">
        <v>228</v>
      </c>
      <c r="L366" s="4">
        <v>7</v>
      </c>
      <c r="M366" s="4">
        <v>3</v>
      </c>
      <c r="N366" s="4" t="s">
        <v>6</v>
      </c>
      <c r="O366" s="4">
        <v>2</v>
      </c>
      <c r="P366" s="4"/>
      <c r="Q366" s="4"/>
      <c r="R366" s="4"/>
      <c r="S366" s="4"/>
      <c r="T366" s="4"/>
      <c r="U366" s="4"/>
      <c r="V366" s="4"/>
      <c r="W366" s="4"/>
    </row>
    <row r="367" spans="1:245" x14ac:dyDescent="0.2">
      <c r="A367" s="4">
        <v>50</v>
      </c>
      <c r="B367" s="4">
        <v>0</v>
      </c>
      <c r="C367" s="4">
        <v>0</v>
      </c>
      <c r="D367" s="4">
        <v>1</v>
      </c>
      <c r="E367" s="4">
        <v>216</v>
      </c>
      <c r="F367" s="4">
        <f>ROUND(Source!AP358,O367)</f>
        <v>0</v>
      </c>
      <c r="G367" s="4" t="s">
        <v>442</v>
      </c>
      <c r="H367" s="4" t="s">
        <v>443</v>
      </c>
      <c r="I367" s="4"/>
      <c r="J367" s="4"/>
      <c r="K367" s="4">
        <v>216</v>
      </c>
      <c r="L367" s="4">
        <v>8</v>
      </c>
      <c r="M367" s="4">
        <v>3</v>
      </c>
      <c r="N367" s="4" t="s">
        <v>6</v>
      </c>
      <c r="O367" s="4">
        <v>2</v>
      </c>
      <c r="P367" s="4"/>
      <c r="Q367" s="4"/>
      <c r="R367" s="4"/>
      <c r="S367" s="4"/>
      <c r="T367" s="4"/>
      <c r="U367" s="4"/>
      <c r="V367" s="4"/>
      <c r="W367" s="4"/>
    </row>
    <row r="368" spans="1:245" x14ac:dyDescent="0.2">
      <c r="A368" s="4">
        <v>50</v>
      </c>
      <c r="B368" s="4">
        <v>0</v>
      </c>
      <c r="C368" s="4">
        <v>0</v>
      </c>
      <c r="D368" s="4">
        <v>1</v>
      </c>
      <c r="E368" s="4">
        <v>223</v>
      </c>
      <c r="F368" s="4">
        <f>ROUND(Source!AQ358,O368)</f>
        <v>0</v>
      </c>
      <c r="G368" s="4" t="s">
        <v>444</v>
      </c>
      <c r="H368" s="4" t="s">
        <v>445</v>
      </c>
      <c r="I368" s="4"/>
      <c r="J368" s="4"/>
      <c r="K368" s="4">
        <v>223</v>
      </c>
      <c r="L368" s="4">
        <v>9</v>
      </c>
      <c r="M368" s="4">
        <v>3</v>
      </c>
      <c r="N368" s="4" t="s">
        <v>6</v>
      </c>
      <c r="O368" s="4">
        <v>2</v>
      </c>
      <c r="P368" s="4"/>
      <c r="Q368" s="4"/>
      <c r="R368" s="4"/>
      <c r="S368" s="4"/>
      <c r="T368" s="4"/>
      <c r="U368" s="4"/>
      <c r="V368" s="4"/>
      <c r="W368" s="4"/>
    </row>
    <row r="369" spans="1:23" x14ac:dyDescent="0.2">
      <c r="A369" s="4">
        <v>50</v>
      </c>
      <c r="B369" s="4">
        <v>0</v>
      </c>
      <c r="C369" s="4">
        <v>0</v>
      </c>
      <c r="D369" s="4">
        <v>1</v>
      </c>
      <c r="E369" s="4">
        <v>229</v>
      </c>
      <c r="F369" s="4">
        <f>ROUND(Source!AZ358,O369)</f>
        <v>0</v>
      </c>
      <c r="G369" s="4" t="s">
        <v>446</v>
      </c>
      <c r="H369" s="4" t="s">
        <v>447</v>
      </c>
      <c r="I369" s="4"/>
      <c r="J369" s="4"/>
      <c r="K369" s="4">
        <v>229</v>
      </c>
      <c r="L369" s="4">
        <v>10</v>
      </c>
      <c r="M369" s="4">
        <v>3</v>
      </c>
      <c r="N369" s="4" t="s">
        <v>6</v>
      </c>
      <c r="O369" s="4">
        <v>2</v>
      </c>
      <c r="P369" s="4"/>
      <c r="Q369" s="4"/>
      <c r="R369" s="4"/>
      <c r="S369" s="4"/>
      <c r="T369" s="4"/>
      <c r="U369" s="4"/>
      <c r="V369" s="4"/>
      <c r="W369" s="4"/>
    </row>
    <row r="370" spans="1:23" x14ac:dyDescent="0.2">
      <c r="A370" s="4">
        <v>50</v>
      </c>
      <c r="B370" s="4">
        <v>0</v>
      </c>
      <c r="C370" s="4">
        <v>0</v>
      </c>
      <c r="D370" s="4">
        <v>1</v>
      </c>
      <c r="E370" s="4">
        <v>203</v>
      </c>
      <c r="F370" s="4">
        <f>ROUND(Source!Q358,O370)</f>
        <v>325.58</v>
      </c>
      <c r="G370" s="4" t="s">
        <v>448</v>
      </c>
      <c r="H370" s="4" t="s">
        <v>449</v>
      </c>
      <c r="I370" s="4"/>
      <c r="J370" s="4"/>
      <c r="K370" s="4">
        <v>203</v>
      </c>
      <c r="L370" s="4">
        <v>11</v>
      </c>
      <c r="M370" s="4">
        <v>3</v>
      </c>
      <c r="N370" s="4" t="s">
        <v>6</v>
      </c>
      <c r="O370" s="4">
        <v>2</v>
      </c>
      <c r="P370" s="4"/>
      <c r="Q370" s="4"/>
      <c r="R370" s="4"/>
      <c r="S370" s="4"/>
      <c r="T370" s="4"/>
      <c r="U370" s="4"/>
      <c r="V370" s="4"/>
      <c r="W370" s="4"/>
    </row>
    <row r="371" spans="1:23" x14ac:dyDescent="0.2">
      <c r="A371" s="4">
        <v>50</v>
      </c>
      <c r="B371" s="4">
        <v>0</v>
      </c>
      <c r="C371" s="4">
        <v>0</v>
      </c>
      <c r="D371" s="4">
        <v>1</v>
      </c>
      <c r="E371" s="4">
        <v>231</v>
      </c>
      <c r="F371" s="4">
        <f>ROUND(Source!BB358,O371)</f>
        <v>0</v>
      </c>
      <c r="G371" s="4" t="s">
        <v>450</v>
      </c>
      <c r="H371" s="4" t="s">
        <v>451</v>
      </c>
      <c r="I371" s="4"/>
      <c r="J371" s="4"/>
      <c r="K371" s="4">
        <v>231</v>
      </c>
      <c r="L371" s="4">
        <v>12</v>
      </c>
      <c r="M371" s="4">
        <v>3</v>
      </c>
      <c r="N371" s="4" t="s">
        <v>6</v>
      </c>
      <c r="O371" s="4">
        <v>2</v>
      </c>
      <c r="P371" s="4"/>
      <c r="Q371" s="4"/>
      <c r="R371" s="4"/>
      <c r="S371" s="4"/>
      <c r="T371" s="4"/>
      <c r="U371" s="4"/>
      <c r="V371" s="4"/>
      <c r="W371" s="4"/>
    </row>
    <row r="372" spans="1:23" x14ac:dyDescent="0.2">
      <c r="A372" s="4">
        <v>50</v>
      </c>
      <c r="B372" s="4">
        <v>0</v>
      </c>
      <c r="C372" s="4">
        <v>0</v>
      </c>
      <c r="D372" s="4">
        <v>1</v>
      </c>
      <c r="E372" s="4">
        <v>204</v>
      </c>
      <c r="F372" s="4">
        <f>ROUND(Source!R358,O372)</f>
        <v>81.849999999999994</v>
      </c>
      <c r="G372" s="4" t="s">
        <v>452</v>
      </c>
      <c r="H372" s="4" t="s">
        <v>453</v>
      </c>
      <c r="I372" s="4"/>
      <c r="J372" s="4"/>
      <c r="K372" s="4">
        <v>204</v>
      </c>
      <c r="L372" s="4">
        <v>13</v>
      </c>
      <c r="M372" s="4">
        <v>3</v>
      </c>
      <c r="N372" s="4" t="s">
        <v>6</v>
      </c>
      <c r="O372" s="4">
        <v>2</v>
      </c>
      <c r="P372" s="4"/>
      <c r="Q372" s="4"/>
      <c r="R372" s="4"/>
      <c r="S372" s="4"/>
      <c r="T372" s="4"/>
      <c r="U372" s="4"/>
      <c r="V372" s="4"/>
      <c r="W372" s="4"/>
    </row>
    <row r="373" spans="1:23" x14ac:dyDescent="0.2">
      <c r="A373" s="4">
        <v>50</v>
      </c>
      <c r="B373" s="4">
        <v>0</v>
      </c>
      <c r="C373" s="4">
        <v>0</v>
      </c>
      <c r="D373" s="4">
        <v>1</v>
      </c>
      <c r="E373" s="4">
        <v>205</v>
      </c>
      <c r="F373" s="4">
        <f>ROUND(Source!S358,O373)</f>
        <v>8795.41</v>
      </c>
      <c r="G373" s="4" t="s">
        <v>454</v>
      </c>
      <c r="H373" s="4" t="s">
        <v>455</v>
      </c>
      <c r="I373" s="4"/>
      <c r="J373" s="4"/>
      <c r="K373" s="4">
        <v>205</v>
      </c>
      <c r="L373" s="4">
        <v>14</v>
      </c>
      <c r="M373" s="4">
        <v>3</v>
      </c>
      <c r="N373" s="4" t="s">
        <v>6</v>
      </c>
      <c r="O373" s="4">
        <v>2</v>
      </c>
      <c r="P373" s="4"/>
      <c r="Q373" s="4"/>
      <c r="R373" s="4"/>
      <c r="S373" s="4"/>
      <c r="T373" s="4"/>
      <c r="U373" s="4"/>
      <c r="V373" s="4"/>
      <c r="W373" s="4"/>
    </row>
    <row r="374" spans="1:23" x14ac:dyDescent="0.2">
      <c r="A374" s="4">
        <v>50</v>
      </c>
      <c r="B374" s="4">
        <v>0</v>
      </c>
      <c r="C374" s="4">
        <v>0</v>
      </c>
      <c r="D374" s="4">
        <v>1</v>
      </c>
      <c r="E374" s="4">
        <v>232</v>
      </c>
      <c r="F374" s="4">
        <f>ROUND(Source!BC358,O374)</f>
        <v>0</v>
      </c>
      <c r="G374" s="4" t="s">
        <v>456</v>
      </c>
      <c r="H374" s="4" t="s">
        <v>457</v>
      </c>
      <c r="I374" s="4"/>
      <c r="J374" s="4"/>
      <c r="K374" s="4">
        <v>232</v>
      </c>
      <c r="L374" s="4">
        <v>15</v>
      </c>
      <c r="M374" s="4">
        <v>3</v>
      </c>
      <c r="N374" s="4" t="s">
        <v>6</v>
      </c>
      <c r="O374" s="4">
        <v>2</v>
      </c>
      <c r="P374" s="4"/>
      <c r="Q374" s="4"/>
      <c r="R374" s="4"/>
      <c r="S374" s="4"/>
      <c r="T374" s="4"/>
      <c r="U374" s="4"/>
      <c r="V374" s="4"/>
      <c r="W374" s="4"/>
    </row>
    <row r="375" spans="1:23" x14ac:dyDescent="0.2">
      <c r="A375" s="4">
        <v>50</v>
      </c>
      <c r="B375" s="4">
        <v>0</v>
      </c>
      <c r="C375" s="4">
        <v>0</v>
      </c>
      <c r="D375" s="4">
        <v>1</v>
      </c>
      <c r="E375" s="4">
        <v>214</v>
      </c>
      <c r="F375" s="4">
        <f>ROUND(Source!AS358,O375)</f>
        <v>86918.95</v>
      </c>
      <c r="G375" s="4" t="s">
        <v>458</v>
      </c>
      <c r="H375" s="4" t="s">
        <v>459</v>
      </c>
      <c r="I375" s="4"/>
      <c r="J375" s="4"/>
      <c r="K375" s="4">
        <v>214</v>
      </c>
      <c r="L375" s="4">
        <v>16</v>
      </c>
      <c r="M375" s="4">
        <v>3</v>
      </c>
      <c r="N375" s="4" t="s">
        <v>6</v>
      </c>
      <c r="O375" s="4">
        <v>2</v>
      </c>
      <c r="P375" s="4"/>
      <c r="Q375" s="4"/>
      <c r="R375" s="4"/>
      <c r="S375" s="4"/>
      <c r="T375" s="4"/>
      <c r="U375" s="4"/>
      <c r="V375" s="4"/>
      <c r="W375" s="4"/>
    </row>
    <row r="376" spans="1:23" x14ac:dyDescent="0.2">
      <c r="A376" s="4">
        <v>50</v>
      </c>
      <c r="B376" s="4">
        <v>0</v>
      </c>
      <c r="C376" s="4">
        <v>0</v>
      </c>
      <c r="D376" s="4">
        <v>1</v>
      </c>
      <c r="E376" s="4">
        <v>215</v>
      </c>
      <c r="F376" s="4">
        <f>ROUND(Source!AT358,O376)</f>
        <v>0</v>
      </c>
      <c r="G376" s="4" t="s">
        <v>460</v>
      </c>
      <c r="H376" s="4" t="s">
        <v>461</v>
      </c>
      <c r="I376" s="4"/>
      <c r="J376" s="4"/>
      <c r="K376" s="4">
        <v>215</v>
      </c>
      <c r="L376" s="4">
        <v>17</v>
      </c>
      <c r="M376" s="4">
        <v>3</v>
      </c>
      <c r="N376" s="4" t="s">
        <v>6</v>
      </c>
      <c r="O376" s="4">
        <v>2</v>
      </c>
      <c r="P376" s="4"/>
      <c r="Q376" s="4"/>
      <c r="R376" s="4"/>
      <c r="S376" s="4"/>
      <c r="T376" s="4"/>
      <c r="U376" s="4"/>
      <c r="V376" s="4"/>
      <c r="W376" s="4"/>
    </row>
    <row r="377" spans="1:23" x14ac:dyDescent="0.2">
      <c r="A377" s="4">
        <v>50</v>
      </c>
      <c r="B377" s="4">
        <v>0</v>
      </c>
      <c r="C377" s="4">
        <v>0</v>
      </c>
      <c r="D377" s="4">
        <v>1</v>
      </c>
      <c r="E377" s="4">
        <v>217</v>
      </c>
      <c r="F377" s="4">
        <f>ROUND(Source!AU358,O377)</f>
        <v>0</v>
      </c>
      <c r="G377" s="4" t="s">
        <v>462</v>
      </c>
      <c r="H377" s="4" t="s">
        <v>463</v>
      </c>
      <c r="I377" s="4"/>
      <c r="J377" s="4"/>
      <c r="K377" s="4">
        <v>217</v>
      </c>
      <c r="L377" s="4">
        <v>18</v>
      </c>
      <c r="M377" s="4">
        <v>3</v>
      </c>
      <c r="N377" s="4" t="s">
        <v>6</v>
      </c>
      <c r="O377" s="4">
        <v>2</v>
      </c>
      <c r="P377" s="4"/>
      <c r="Q377" s="4"/>
      <c r="R377" s="4"/>
      <c r="S377" s="4"/>
      <c r="T377" s="4"/>
      <c r="U377" s="4"/>
      <c r="V377" s="4"/>
      <c r="W377" s="4"/>
    </row>
    <row r="378" spans="1:23" x14ac:dyDescent="0.2">
      <c r="A378" s="4">
        <v>50</v>
      </c>
      <c r="B378" s="4">
        <v>0</v>
      </c>
      <c r="C378" s="4">
        <v>0</v>
      </c>
      <c r="D378" s="4">
        <v>1</v>
      </c>
      <c r="E378" s="4">
        <v>230</v>
      </c>
      <c r="F378" s="4">
        <f>ROUND(Source!BA358,O378)</f>
        <v>0</v>
      </c>
      <c r="G378" s="4" t="s">
        <v>464</v>
      </c>
      <c r="H378" s="4" t="s">
        <v>465</v>
      </c>
      <c r="I378" s="4"/>
      <c r="J378" s="4"/>
      <c r="K378" s="4">
        <v>230</v>
      </c>
      <c r="L378" s="4">
        <v>19</v>
      </c>
      <c r="M378" s="4">
        <v>3</v>
      </c>
      <c r="N378" s="4" t="s">
        <v>6</v>
      </c>
      <c r="O378" s="4">
        <v>2</v>
      </c>
      <c r="P378" s="4"/>
      <c r="Q378" s="4"/>
      <c r="R378" s="4"/>
      <c r="S378" s="4"/>
      <c r="T378" s="4"/>
      <c r="U378" s="4"/>
      <c r="V378" s="4"/>
      <c r="W378" s="4"/>
    </row>
    <row r="379" spans="1:23" x14ac:dyDescent="0.2">
      <c r="A379" s="4">
        <v>50</v>
      </c>
      <c r="B379" s="4">
        <v>0</v>
      </c>
      <c r="C379" s="4">
        <v>0</v>
      </c>
      <c r="D379" s="4">
        <v>1</v>
      </c>
      <c r="E379" s="4">
        <v>206</v>
      </c>
      <c r="F379" s="4">
        <f>ROUND(Source!T358,O379)</f>
        <v>0</v>
      </c>
      <c r="G379" s="4" t="s">
        <v>466</v>
      </c>
      <c r="H379" s="4" t="s">
        <v>467</v>
      </c>
      <c r="I379" s="4"/>
      <c r="J379" s="4"/>
      <c r="K379" s="4">
        <v>206</v>
      </c>
      <c r="L379" s="4">
        <v>20</v>
      </c>
      <c r="M379" s="4">
        <v>3</v>
      </c>
      <c r="N379" s="4" t="s">
        <v>6</v>
      </c>
      <c r="O379" s="4">
        <v>2</v>
      </c>
      <c r="P379" s="4"/>
      <c r="Q379" s="4"/>
      <c r="R379" s="4"/>
      <c r="S379" s="4"/>
      <c r="T379" s="4"/>
      <c r="U379" s="4"/>
      <c r="V379" s="4"/>
      <c r="W379" s="4"/>
    </row>
    <row r="380" spans="1:23" x14ac:dyDescent="0.2">
      <c r="A380" s="4">
        <v>50</v>
      </c>
      <c r="B380" s="4">
        <v>0</v>
      </c>
      <c r="C380" s="4">
        <v>0</v>
      </c>
      <c r="D380" s="4">
        <v>1</v>
      </c>
      <c r="E380" s="4">
        <v>207</v>
      </c>
      <c r="F380" s="4">
        <f>Source!U358</f>
        <v>138.16720199999997</v>
      </c>
      <c r="G380" s="4" t="s">
        <v>468</v>
      </c>
      <c r="H380" s="4" t="s">
        <v>469</v>
      </c>
      <c r="I380" s="4"/>
      <c r="J380" s="4"/>
      <c r="K380" s="4">
        <v>207</v>
      </c>
      <c r="L380" s="4">
        <v>21</v>
      </c>
      <c r="M380" s="4">
        <v>3</v>
      </c>
      <c r="N380" s="4" t="s">
        <v>6</v>
      </c>
      <c r="O380" s="4">
        <v>-1</v>
      </c>
      <c r="P380" s="4"/>
      <c r="Q380" s="4"/>
      <c r="R380" s="4"/>
      <c r="S380" s="4"/>
      <c r="T380" s="4"/>
      <c r="U380" s="4"/>
      <c r="V380" s="4"/>
      <c r="W380" s="4"/>
    </row>
    <row r="381" spans="1:23" x14ac:dyDescent="0.2">
      <c r="A381" s="4">
        <v>50</v>
      </c>
      <c r="B381" s="4">
        <v>0</v>
      </c>
      <c r="C381" s="4">
        <v>0</v>
      </c>
      <c r="D381" s="4">
        <v>1</v>
      </c>
      <c r="E381" s="4">
        <v>208</v>
      </c>
      <c r="F381" s="4">
        <f>Source!V358</f>
        <v>0.91382250000000009</v>
      </c>
      <c r="G381" s="4" t="s">
        <v>470</v>
      </c>
      <c r="H381" s="4" t="s">
        <v>471</v>
      </c>
      <c r="I381" s="4"/>
      <c r="J381" s="4"/>
      <c r="K381" s="4">
        <v>208</v>
      </c>
      <c r="L381" s="4">
        <v>22</v>
      </c>
      <c r="M381" s="4">
        <v>3</v>
      </c>
      <c r="N381" s="4" t="s">
        <v>6</v>
      </c>
      <c r="O381" s="4">
        <v>-1</v>
      </c>
      <c r="P381" s="4"/>
      <c r="Q381" s="4"/>
      <c r="R381" s="4"/>
      <c r="S381" s="4"/>
      <c r="T381" s="4"/>
      <c r="U381" s="4"/>
      <c r="V381" s="4"/>
      <c r="W381" s="4"/>
    </row>
    <row r="382" spans="1:23" x14ac:dyDescent="0.2">
      <c r="A382" s="4">
        <v>50</v>
      </c>
      <c r="B382" s="4">
        <v>0</v>
      </c>
      <c r="C382" s="4">
        <v>0</v>
      </c>
      <c r="D382" s="4">
        <v>1</v>
      </c>
      <c r="E382" s="4">
        <v>209</v>
      </c>
      <c r="F382" s="4">
        <f>ROUND(Source!W358,O382)</f>
        <v>0</v>
      </c>
      <c r="G382" s="4" t="s">
        <v>472</v>
      </c>
      <c r="H382" s="4" t="s">
        <v>473</v>
      </c>
      <c r="I382" s="4"/>
      <c r="J382" s="4"/>
      <c r="K382" s="4">
        <v>209</v>
      </c>
      <c r="L382" s="4">
        <v>23</v>
      </c>
      <c r="M382" s="4">
        <v>3</v>
      </c>
      <c r="N382" s="4" t="s">
        <v>6</v>
      </c>
      <c r="O382" s="4">
        <v>2</v>
      </c>
      <c r="P382" s="4"/>
      <c r="Q382" s="4"/>
      <c r="R382" s="4"/>
      <c r="S382" s="4"/>
      <c r="T382" s="4"/>
      <c r="U382" s="4"/>
      <c r="V382" s="4"/>
      <c r="W382" s="4"/>
    </row>
    <row r="383" spans="1:23" x14ac:dyDescent="0.2">
      <c r="A383" s="4">
        <v>50</v>
      </c>
      <c r="B383" s="4">
        <v>0</v>
      </c>
      <c r="C383" s="4">
        <v>0</v>
      </c>
      <c r="D383" s="4">
        <v>1</v>
      </c>
      <c r="E383" s="4">
        <v>210</v>
      </c>
      <c r="F383" s="4">
        <f>ROUND(Source!X358,O383)</f>
        <v>9297.7900000000009</v>
      </c>
      <c r="G383" s="4" t="s">
        <v>474</v>
      </c>
      <c r="H383" s="4" t="s">
        <v>475</v>
      </c>
      <c r="I383" s="4"/>
      <c r="J383" s="4"/>
      <c r="K383" s="4">
        <v>210</v>
      </c>
      <c r="L383" s="4">
        <v>24</v>
      </c>
      <c r="M383" s="4">
        <v>3</v>
      </c>
      <c r="N383" s="4" t="s">
        <v>6</v>
      </c>
      <c r="O383" s="4">
        <v>2</v>
      </c>
      <c r="P383" s="4"/>
      <c r="Q383" s="4"/>
      <c r="R383" s="4"/>
      <c r="S383" s="4"/>
      <c r="T383" s="4"/>
      <c r="U383" s="4"/>
      <c r="V383" s="4"/>
      <c r="W383" s="4"/>
    </row>
    <row r="384" spans="1:23" x14ac:dyDescent="0.2">
      <c r="A384" s="4">
        <v>50</v>
      </c>
      <c r="B384" s="4">
        <v>0</v>
      </c>
      <c r="C384" s="4">
        <v>0</v>
      </c>
      <c r="D384" s="4">
        <v>1</v>
      </c>
      <c r="E384" s="4">
        <v>211</v>
      </c>
      <c r="F384" s="4">
        <f>ROUND(Source!Y358,O384)</f>
        <v>5833.19</v>
      </c>
      <c r="G384" s="4" t="s">
        <v>476</v>
      </c>
      <c r="H384" s="4" t="s">
        <v>477</v>
      </c>
      <c r="I384" s="4"/>
      <c r="J384" s="4"/>
      <c r="K384" s="4">
        <v>211</v>
      </c>
      <c r="L384" s="4">
        <v>25</v>
      </c>
      <c r="M384" s="4">
        <v>3</v>
      </c>
      <c r="N384" s="4" t="s">
        <v>6</v>
      </c>
      <c r="O384" s="4">
        <v>2</v>
      </c>
      <c r="P384" s="4"/>
      <c r="Q384" s="4"/>
      <c r="R384" s="4"/>
      <c r="S384" s="4"/>
      <c r="T384" s="4"/>
      <c r="U384" s="4"/>
      <c r="V384" s="4"/>
      <c r="W384" s="4"/>
    </row>
    <row r="385" spans="1:245" x14ac:dyDescent="0.2">
      <c r="A385" s="4">
        <v>50</v>
      </c>
      <c r="B385" s="4">
        <v>0</v>
      </c>
      <c r="C385" s="4">
        <v>0</v>
      </c>
      <c r="D385" s="4">
        <v>1</v>
      </c>
      <c r="E385" s="4">
        <v>0</v>
      </c>
      <c r="F385" s="4">
        <f>ROUND(Source!AR358,O385)</f>
        <v>86918.95</v>
      </c>
      <c r="G385" s="4" t="s">
        <v>478</v>
      </c>
      <c r="H385" s="4" t="s">
        <v>479</v>
      </c>
      <c r="I385" s="4"/>
      <c r="J385" s="4"/>
      <c r="K385" s="4">
        <v>224</v>
      </c>
      <c r="L385" s="4">
        <v>26</v>
      </c>
      <c r="M385" s="4">
        <v>3</v>
      </c>
      <c r="N385" s="4" t="s">
        <v>6</v>
      </c>
      <c r="O385" s="4">
        <v>2</v>
      </c>
      <c r="P385" s="4"/>
      <c r="Q385" s="4"/>
      <c r="R385" s="4"/>
      <c r="S385" s="4"/>
      <c r="T385" s="4"/>
      <c r="U385" s="4"/>
      <c r="V385" s="4"/>
      <c r="W385" s="4"/>
    </row>
    <row r="386" spans="1:245" x14ac:dyDescent="0.2">
      <c r="A386" s="4">
        <v>50</v>
      </c>
      <c r="B386" s="4">
        <v>1</v>
      </c>
      <c r="C386" s="4">
        <v>0</v>
      </c>
      <c r="D386" s="4">
        <v>2</v>
      </c>
      <c r="E386" s="4">
        <v>0</v>
      </c>
      <c r="F386" s="4">
        <f>ROUND(F385,O386)</f>
        <v>86918.95</v>
      </c>
      <c r="G386" s="4" t="s">
        <v>480</v>
      </c>
      <c r="H386" s="4" t="s">
        <v>478</v>
      </c>
      <c r="I386" s="4"/>
      <c r="J386" s="4"/>
      <c r="K386" s="4">
        <v>212</v>
      </c>
      <c r="L386" s="4">
        <v>27</v>
      </c>
      <c r="M386" s="4">
        <v>0</v>
      </c>
      <c r="N386" s="4" t="s">
        <v>6</v>
      </c>
      <c r="O386" s="4">
        <v>2</v>
      </c>
      <c r="P386" s="4"/>
      <c r="Q386" s="4"/>
      <c r="R386" s="4"/>
      <c r="S386" s="4"/>
      <c r="T386" s="4"/>
      <c r="U386" s="4"/>
      <c r="V386" s="4"/>
      <c r="W386" s="4"/>
    </row>
    <row r="387" spans="1:245" x14ac:dyDescent="0.2">
      <c r="A387" s="4">
        <v>50</v>
      </c>
      <c r="B387" s="4">
        <v>1</v>
      </c>
      <c r="C387" s="4">
        <v>0</v>
      </c>
      <c r="D387" s="4">
        <v>2</v>
      </c>
      <c r="E387" s="4">
        <v>0</v>
      </c>
      <c r="F387" s="4">
        <f>ROUND(F386*0.18,O387)</f>
        <v>15645.41</v>
      </c>
      <c r="G387" s="4" t="s">
        <v>481</v>
      </c>
      <c r="H387" s="4" t="s">
        <v>482</v>
      </c>
      <c r="I387" s="4"/>
      <c r="J387" s="4"/>
      <c r="K387" s="4">
        <v>212</v>
      </c>
      <c r="L387" s="4">
        <v>28</v>
      </c>
      <c r="M387" s="4">
        <v>0</v>
      </c>
      <c r="N387" s="4" t="s">
        <v>6</v>
      </c>
      <c r="O387" s="4">
        <v>2</v>
      </c>
      <c r="P387" s="4"/>
      <c r="Q387" s="4"/>
      <c r="R387" s="4"/>
      <c r="S387" s="4"/>
      <c r="T387" s="4"/>
      <c r="U387" s="4"/>
      <c r="V387" s="4"/>
      <c r="W387" s="4"/>
    </row>
    <row r="388" spans="1:245" x14ac:dyDescent="0.2">
      <c r="A388" s="4">
        <v>50</v>
      </c>
      <c r="B388" s="4">
        <v>1</v>
      </c>
      <c r="C388" s="4">
        <v>0</v>
      </c>
      <c r="D388" s="4">
        <v>2</v>
      </c>
      <c r="E388" s="4">
        <v>224</v>
      </c>
      <c r="F388" s="4">
        <f>ROUND(F386+F387,O388)</f>
        <v>102564.36</v>
      </c>
      <c r="G388" s="4" t="s">
        <v>483</v>
      </c>
      <c r="H388" s="4" t="s">
        <v>484</v>
      </c>
      <c r="I388" s="4"/>
      <c r="J388" s="4"/>
      <c r="K388" s="4">
        <v>212</v>
      </c>
      <c r="L388" s="4">
        <v>29</v>
      </c>
      <c r="M388" s="4">
        <v>0</v>
      </c>
      <c r="N388" s="4" t="s">
        <v>6</v>
      </c>
      <c r="O388" s="4">
        <v>2</v>
      </c>
      <c r="P388" s="4"/>
      <c r="Q388" s="4"/>
      <c r="R388" s="4"/>
      <c r="S388" s="4"/>
      <c r="T388" s="4"/>
      <c r="U388" s="4"/>
      <c r="V388" s="4"/>
      <c r="W388" s="4"/>
    </row>
    <row r="390" spans="1:245" x14ac:dyDescent="0.2">
      <c r="A390" s="1">
        <v>4</v>
      </c>
      <c r="B390" s="1">
        <v>1</v>
      </c>
      <c r="C390" s="1"/>
      <c r="D390" s="1">
        <f>ROW(A417)</f>
        <v>417</v>
      </c>
      <c r="E390" s="1"/>
      <c r="F390" s="1" t="s">
        <v>13</v>
      </c>
      <c r="G390" s="1" t="s">
        <v>1001</v>
      </c>
      <c r="H390" s="1" t="s">
        <v>6</v>
      </c>
      <c r="I390" s="1">
        <v>0</v>
      </c>
      <c r="J390" s="1"/>
      <c r="K390" s="1">
        <v>-1</v>
      </c>
      <c r="L390" s="1"/>
      <c r="M390" s="1"/>
      <c r="N390" s="1"/>
      <c r="O390" s="1"/>
      <c r="P390" s="1"/>
      <c r="Q390" s="1"/>
      <c r="R390" s="1"/>
      <c r="S390" s="1"/>
      <c r="T390" s="1"/>
      <c r="U390" s="1" t="s">
        <v>6</v>
      </c>
      <c r="V390" s="1">
        <v>0</v>
      </c>
      <c r="W390" s="1"/>
      <c r="X390" s="1"/>
      <c r="Y390" s="1"/>
      <c r="Z390" s="1"/>
      <c r="AA390" s="1"/>
      <c r="AB390" s="1" t="s">
        <v>6</v>
      </c>
      <c r="AC390" s="1" t="s">
        <v>6</v>
      </c>
      <c r="AD390" s="1" t="s">
        <v>6</v>
      </c>
      <c r="AE390" s="1" t="s">
        <v>6</v>
      </c>
      <c r="AF390" s="1" t="s">
        <v>6</v>
      </c>
      <c r="AG390" s="1" t="s">
        <v>6</v>
      </c>
      <c r="AH390" s="1"/>
      <c r="AI390" s="1"/>
      <c r="AJ390" s="1"/>
      <c r="AK390" s="1"/>
      <c r="AL390" s="1"/>
      <c r="AM390" s="1"/>
      <c r="AN390" s="1"/>
      <c r="AO390" s="1"/>
      <c r="AP390" s="1" t="s">
        <v>6</v>
      </c>
      <c r="AQ390" s="1" t="s">
        <v>6</v>
      </c>
      <c r="AR390" s="1" t="s">
        <v>6</v>
      </c>
      <c r="AS390" s="1"/>
      <c r="AT390" s="1"/>
      <c r="AU390" s="1"/>
      <c r="AV390" s="1"/>
      <c r="AW390" s="1"/>
      <c r="AX390" s="1"/>
      <c r="AY390" s="1"/>
      <c r="AZ390" s="1" t="s">
        <v>6</v>
      </c>
      <c r="BA390" s="1"/>
      <c r="BB390" s="1" t="s">
        <v>6</v>
      </c>
      <c r="BC390" s="1" t="s">
        <v>6</v>
      </c>
      <c r="BD390" s="1" t="s">
        <v>6</v>
      </c>
      <c r="BE390" s="1" t="s">
        <v>6</v>
      </c>
      <c r="BF390" s="1" t="s">
        <v>6</v>
      </c>
      <c r="BG390" s="1" t="s">
        <v>6</v>
      </c>
      <c r="BH390" s="1" t="s">
        <v>6</v>
      </c>
      <c r="BI390" s="1" t="s">
        <v>6</v>
      </c>
      <c r="BJ390" s="1" t="s">
        <v>6</v>
      </c>
      <c r="BK390" s="1" t="s">
        <v>6</v>
      </c>
      <c r="BL390" s="1" t="s">
        <v>6</v>
      </c>
      <c r="BM390" s="1" t="s">
        <v>6</v>
      </c>
      <c r="BN390" s="1" t="s">
        <v>6</v>
      </c>
      <c r="BO390" s="1" t="s">
        <v>6</v>
      </c>
      <c r="BP390" s="1" t="s">
        <v>6</v>
      </c>
      <c r="BQ390" s="1"/>
      <c r="BR390" s="1"/>
      <c r="BS390" s="1"/>
      <c r="BT390" s="1"/>
      <c r="BU390" s="1"/>
      <c r="BV390" s="1"/>
      <c r="BW390" s="1"/>
      <c r="BX390" s="1">
        <v>0</v>
      </c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>
        <v>0</v>
      </c>
    </row>
    <row r="392" spans="1:245" x14ac:dyDescent="0.2">
      <c r="A392" s="2">
        <v>52</v>
      </c>
      <c r="B392" s="2">
        <f t="shared" ref="B392:G392" si="347">B417</f>
        <v>1</v>
      </c>
      <c r="C392" s="2">
        <f t="shared" si="347"/>
        <v>4</v>
      </c>
      <c r="D392" s="2">
        <f t="shared" si="347"/>
        <v>390</v>
      </c>
      <c r="E392" s="2">
        <f t="shared" si="347"/>
        <v>0</v>
      </c>
      <c r="F392" s="2" t="str">
        <f t="shared" si="347"/>
        <v>Новый раздел</v>
      </c>
      <c r="G392" s="2" t="str">
        <f t="shared" si="347"/>
        <v>Внутренняя система водоснабжения</v>
      </c>
      <c r="H392" s="2"/>
      <c r="I392" s="2"/>
      <c r="J392" s="2"/>
      <c r="K392" s="2"/>
      <c r="L392" s="2"/>
      <c r="M392" s="2"/>
      <c r="N392" s="2"/>
      <c r="O392" s="2">
        <f t="shared" ref="O392:AT392" si="348">O417</f>
        <v>63609.18</v>
      </c>
      <c r="P392" s="2">
        <f t="shared" si="348"/>
        <v>37460.39</v>
      </c>
      <c r="Q392" s="2">
        <f t="shared" si="348"/>
        <v>8403.7999999999993</v>
      </c>
      <c r="R392" s="2">
        <f t="shared" si="348"/>
        <v>991.03</v>
      </c>
      <c r="S392" s="2">
        <f t="shared" si="348"/>
        <v>17744.990000000002</v>
      </c>
      <c r="T392" s="2">
        <f t="shared" si="348"/>
        <v>0</v>
      </c>
      <c r="U392" s="2">
        <f t="shared" si="348"/>
        <v>260.04746449999993</v>
      </c>
      <c r="V392" s="2">
        <f t="shared" si="348"/>
        <v>10.368874999999999</v>
      </c>
      <c r="W392" s="2">
        <f t="shared" si="348"/>
        <v>0</v>
      </c>
      <c r="X392" s="2">
        <f t="shared" si="348"/>
        <v>20665.89</v>
      </c>
      <c r="Y392" s="2">
        <f t="shared" si="348"/>
        <v>12851.59</v>
      </c>
      <c r="Z392" s="2">
        <f t="shared" si="348"/>
        <v>0</v>
      </c>
      <c r="AA392" s="2">
        <f t="shared" si="348"/>
        <v>0</v>
      </c>
      <c r="AB392" s="2">
        <f t="shared" si="348"/>
        <v>63609.18</v>
      </c>
      <c r="AC392" s="2">
        <f t="shared" si="348"/>
        <v>37460.39</v>
      </c>
      <c r="AD392" s="2">
        <f t="shared" si="348"/>
        <v>8403.7999999999993</v>
      </c>
      <c r="AE392" s="2">
        <f t="shared" si="348"/>
        <v>991.03</v>
      </c>
      <c r="AF392" s="2">
        <f t="shared" si="348"/>
        <v>17744.990000000002</v>
      </c>
      <c r="AG392" s="2">
        <f t="shared" si="348"/>
        <v>0</v>
      </c>
      <c r="AH392" s="2">
        <f t="shared" si="348"/>
        <v>260.04746449999993</v>
      </c>
      <c r="AI392" s="2">
        <f t="shared" si="348"/>
        <v>10.368874999999999</v>
      </c>
      <c r="AJ392" s="2">
        <f t="shared" si="348"/>
        <v>0</v>
      </c>
      <c r="AK392" s="2">
        <f t="shared" si="348"/>
        <v>20665.89</v>
      </c>
      <c r="AL392" s="2">
        <f t="shared" si="348"/>
        <v>12851.59</v>
      </c>
      <c r="AM392" s="2">
        <f t="shared" si="348"/>
        <v>0</v>
      </c>
      <c r="AN392" s="2">
        <f t="shared" si="348"/>
        <v>0</v>
      </c>
      <c r="AO392" s="2">
        <f t="shared" si="348"/>
        <v>0</v>
      </c>
      <c r="AP392" s="2">
        <f t="shared" si="348"/>
        <v>0</v>
      </c>
      <c r="AQ392" s="2">
        <f t="shared" si="348"/>
        <v>0</v>
      </c>
      <c r="AR392" s="2">
        <f t="shared" si="348"/>
        <v>97126.66</v>
      </c>
      <c r="AS392" s="2">
        <f t="shared" si="348"/>
        <v>97126.66</v>
      </c>
      <c r="AT392" s="2">
        <f t="shared" si="348"/>
        <v>0</v>
      </c>
      <c r="AU392" s="2">
        <f t="shared" ref="AU392:BZ392" si="349">AU417</f>
        <v>0</v>
      </c>
      <c r="AV392" s="2">
        <f t="shared" si="349"/>
        <v>37460.39</v>
      </c>
      <c r="AW392" s="2">
        <f t="shared" si="349"/>
        <v>37460.39</v>
      </c>
      <c r="AX392" s="2">
        <f t="shared" si="349"/>
        <v>0</v>
      </c>
      <c r="AY392" s="2">
        <f t="shared" si="349"/>
        <v>37460.39</v>
      </c>
      <c r="AZ392" s="2">
        <f t="shared" si="349"/>
        <v>0</v>
      </c>
      <c r="BA392" s="2">
        <f t="shared" si="349"/>
        <v>0</v>
      </c>
      <c r="BB392" s="2">
        <f t="shared" si="349"/>
        <v>0</v>
      </c>
      <c r="BC392" s="2">
        <f t="shared" si="349"/>
        <v>0</v>
      </c>
      <c r="BD392" s="2">
        <f t="shared" si="349"/>
        <v>0</v>
      </c>
      <c r="BE392" s="2">
        <f t="shared" si="349"/>
        <v>0</v>
      </c>
      <c r="BF392" s="2">
        <f t="shared" si="349"/>
        <v>0</v>
      </c>
      <c r="BG392" s="2">
        <f t="shared" si="349"/>
        <v>0</v>
      </c>
      <c r="BH392" s="2">
        <f t="shared" si="349"/>
        <v>0</v>
      </c>
      <c r="BI392" s="2">
        <f t="shared" si="349"/>
        <v>0</v>
      </c>
      <c r="BJ392" s="2">
        <f t="shared" si="349"/>
        <v>0</v>
      </c>
      <c r="BK392" s="2">
        <f t="shared" si="349"/>
        <v>0</v>
      </c>
      <c r="BL392" s="2">
        <f t="shared" si="349"/>
        <v>0</v>
      </c>
      <c r="BM392" s="2">
        <f t="shared" si="349"/>
        <v>0</v>
      </c>
      <c r="BN392" s="2">
        <f t="shared" si="349"/>
        <v>0</v>
      </c>
      <c r="BO392" s="2">
        <f t="shared" si="349"/>
        <v>0</v>
      </c>
      <c r="BP392" s="2">
        <f t="shared" si="349"/>
        <v>0</v>
      </c>
      <c r="BQ392" s="2">
        <f t="shared" si="349"/>
        <v>0</v>
      </c>
      <c r="BR392" s="2">
        <f t="shared" si="349"/>
        <v>0</v>
      </c>
      <c r="BS392" s="2">
        <f t="shared" si="349"/>
        <v>0</v>
      </c>
      <c r="BT392" s="2">
        <f t="shared" si="349"/>
        <v>0</v>
      </c>
      <c r="BU392" s="2">
        <f t="shared" si="349"/>
        <v>0</v>
      </c>
      <c r="BV392" s="2">
        <f t="shared" si="349"/>
        <v>0</v>
      </c>
      <c r="BW392" s="2">
        <f t="shared" si="349"/>
        <v>0</v>
      </c>
      <c r="BX392" s="2">
        <f t="shared" si="349"/>
        <v>0</v>
      </c>
      <c r="BY392" s="2">
        <f t="shared" si="349"/>
        <v>0</v>
      </c>
      <c r="BZ392" s="2">
        <f t="shared" si="349"/>
        <v>0</v>
      </c>
      <c r="CA392" s="2">
        <f t="shared" ref="CA392:DF392" si="350">CA417</f>
        <v>97126.66</v>
      </c>
      <c r="CB392" s="2">
        <f t="shared" si="350"/>
        <v>97126.66</v>
      </c>
      <c r="CC392" s="2">
        <f t="shared" si="350"/>
        <v>0</v>
      </c>
      <c r="CD392" s="2">
        <f t="shared" si="350"/>
        <v>0</v>
      </c>
      <c r="CE392" s="2">
        <f t="shared" si="350"/>
        <v>37460.39</v>
      </c>
      <c r="CF392" s="2">
        <f t="shared" si="350"/>
        <v>37460.39</v>
      </c>
      <c r="CG392" s="2">
        <f t="shared" si="350"/>
        <v>0</v>
      </c>
      <c r="CH392" s="2">
        <f t="shared" si="350"/>
        <v>37460.39</v>
      </c>
      <c r="CI392" s="2">
        <f t="shared" si="350"/>
        <v>0</v>
      </c>
      <c r="CJ392" s="2">
        <f t="shared" si="350"/>
        <v>0</v>
      </c>
      <c r="CK392" s="2">
        <f t="shared" si="350"/>
        <v>0</v>
      </c>
      <c r="CL392" s="2">
        <f t="shared" si="350"/>
        <v>0</v>
      </c>
      <c r="CM392" s="2">
        <f t="shared" si="350"/>
        <v>0</v>
      </c>
      <c r="CN392" s="2">
        <f t="shared" si="350"/>
        <v>0</v>
      </c>
      <c r="CO392" s="2">
        <f t="shared" si="350"/>
        <v>0</v>
      </c>
      <c r="CP392" s="2">
        <f t="shared" si="350"/>
        <v>0</v>
      </c>
      <c r="CQ392" s="2">
        <f t="shared" si="350"/>
        <v>0</v>
      </c>
      <c r="CR392" s="2">
        <f t="shared" si="350"/>
        <v>0</v>
      </c>
      <c r="CS392" s="2">
        <f t="shared" si="350"/>
        <v>0</v>
      </c>
      <c r="CT392" s="2">
        <f t="shared" si="350"/>
        <v>0</v>
      </c>
      <c r="CU392" s="2">
        <f t="shared" si="350"/>
        <v>0</v>
      </c>
      <c r="CV392" s="2">
        <f t="shared" si="350"/>
        <v>0</v>
      </c>
      <c r="CW392" s="2">
        <f t="shared" si="350"/>
        <v>0</v>
      </c>
      <c r="CX392" s="2">
        <f t="shared" si="350"/>
        <v>0</v>
      </c>
      <c r="CY392" s="2">
        <f t="shared" si="350"/>
        <v>0</v>
      </c>
      <c r="CZ392" s="2">
        <f t="shared" si="350"/>
        <v>0</v>
      </c>
      <c r="DA392" s="2">
        <f t="shared" si="350"/>
        <v>0</v>
      </c>
      <c r="DB392" s="2">
        <f t="shared" si="350"/>
        <v>0</v>
      </c>
      <c r="DC392" s="2">
        <f t="shared" si="350"/>
        <v>0</v>
      </c>
      <c r="DD392" s="2">
        <f t="shared" si="350"/>
        <v>0</v>
      </c>
      <c r="DE392" s="2">
        <f t="shared" si="350"/>
        <v>0</v>
      </c>
      <c r="DF392" s="2">
        <f t="shared" si="350"/>
        <v>0</v>
      </c>
      <c r="DG392" s="3">
        <f t="shared" ref="DG392:EL392" si="351">DG417</f>
        <v>0</v>
      </c>
      <c r="DH392" s="3">
        <f t="shared" si="351"/>
        <v>0</v>
      </c>
      <c r="DI392" s="3">
        <f t="shared" si="351"/>
        <v>0</v>
      </c>
      <c r="DJ392" s="3">
        <f t="shared" si="351"/>
        <v>0</v>
      </c>
      <c r="DK392" s="3">
        <f t="shared" si="351"/>
        <v>0</v>
      </c>
      <c r="DL392" s="3">
        <f t="shared" si="351"/>
        <v>0</v>
      </c>
      <c r="DM392" s="3">
        <f t="shared" si="351"/>
        <v>0</v>
      </c>
      <c r="DN392" s="3">
        <f t="shared" si="351"/>
        <v>0</v>
      </c>
      <c r="DO392" s="3">
        <f t="shared" si="351"/>
        <v>0</v>
      </c>
      <c r="DP392" s="3">
        <f t="shared" si="351"/>
        <v>0</v>
      </c>
      <c r="DQ392" s="3">
        <f t="shared" si="351"/>
        <v>0</v>
      </c>
      <c r="DR392" s="3">
        <f t="shared" si="351"/>
        <v>0</v>
      </c>
      <c r="DS392" s="3">
        <f t="shared" si="351"/>
        <v>0</v>
      </c>
      <c r="DT392" s="3">
        <f t="shared" si="351"/>
        <v>0</v>
      </c>
      <c r="DU392" s="3">
        <f t="shared" si="351"/>
        <v>0</v>
      </c>
      <c r="DV392" s="3">
        <f t="shared" si="351"/>
        <v>0</v>
      </c>
      <c r="DW392" s="3">
        <f t="shared" si="351"/>
        <v>0</v>
      </c>
      <c r="DX392" s="3">
        <f t="shared" si="351"/>
        <v>0</v>
      </c>
      <c r="DY392" s="3">
        <f t="shared" si="351"/>
        <v>0</v>
      </c>
      <c r="DZ392" s="3">
        <f t="shared" si="351"/>
        <v>0</v>
      </c>
      <c r="EA392" s="3">
        <f t="shared" si="351"/>
        <v>0</v>
      </c>
      <c r="EB392" s="3">
        <f t="shared" si="351"/>
        <v>0</v>
      </c>
      <c r="EC392" s="3">
        <f t="shared" si="351"/>
        <v>0</v>
      </c>
      <c r="ED392" s="3">
        <f t="shared" si="351"/>
        <v>0</v>
      </c>
      <c r="EE392" s="3">
        <f t="shared" si="351"/>
        <v>0</v>
      </c>
      <c r="EF392" s="3">
        <f t="shared" si="351"/>
        <v>0</v>
      </c>
      <c r="EG392" s="3">
        <f t="shared" si="351"/>
        <v>0</v>
      </c>
      <c r="EH392" s="3">
        <f t="shared" si="351"/>
        <v>0</v>
      </c>
      <c r="EI392" s="3">
        <f t="shared" si="351"/>
        <v>0</v>
      </c>
      <c r="EJ392" s="3">
        <f t="shared" si="351"/>
        <v>0</v>
      </c>
      <c r="EK392" s="3">
        <f t="shared" si="351"/>
        <v>0</v>
      </c>
      <c r="EL392" s="3">
        <f t="shared" si="351"/>
        <v>0</v>
      </c>
      <c r="EM392" s="3">
        <f t="shared" ref="EM392:FR392" si="352">EM417</f>
        <v>0</v>
      </c>
      <c r="EN392" s="3">
        <f t="shared" si="352"/>
        <v>0</v>
      </c>
      <c r="EO392" s="3">
        <f t="shared" si="352"/>
        <v>0</v>
      </c>
      <c r="EP392" s="3">
        <f t="shared" si="352"/>
        <v>0</v>
      </c>
      <c r="EQ392" s="3">
        <f t="shared" si="352"/>
        <v>0</v>
      </c>
      <c r="ER392" s="3">
        <f t="shared" si="352"/>
        <v>0</v>
      </c>
      <c r="ES392" s="3">
        <f t="shared" si="352"/>
        <v>0</v>
      </c>
      <c r="ET392" s="3">
        <f t="shared" si="352"/>
        <v>0</v>
      </c>
      <c r="EU392" s="3">
        <f t="shared" si="352"/>
        <v>0</v>
      </c>
      <c r="EV392" s="3">
        <f t="shared" si="352"/>
        <v>0</v>
      </c>
      <c r="EW392" s="3">
        <f t="shared" si="352"/>
        <v>0</v>
      </c>
      <c r="EX392" s="3">
        <f t="shared" si="352"/>
        <v>0</v>
      </c>
      <c r="EY392" s="3">
        <f t="shared" si="352"/>
        <v>0</v>
      </c>
      <c r="EZ392" s="3">
        <f t="shared" si="352"/>
        <v>0</v>
      </c>
      <c r="FA392" s="3">
        <f t="shared" si="352"/>
        <v>0</v>
      </c>
      <c r="FB392" s="3">
        <f t="shared" si="352"/>
        <v>0</v>
      </c>
      <c r="FC392" s="3">
        <f t="shared" si="352"/>
        <v>0</v>
      </c>
      <c r="FD392" s="3">
        <f t="shared" si="352"/>
        <v>0</v>
      </c>
      <c r="FE392" s="3">
        <f t="shared" si="352"/>
        <v>0</v>
      </c>
      <c r="FF392" s="3">
        <f t="shared" si="352"/>
        <v>0</v>
      </c>
      <c r="FG392" s="3">
        <f t="shared" si="352"/>
        <v>0</v>
      </c>
      <c r="FH392" s="3">
        <f t="shared" si="352"/>
        <v>0</v>
      </c>
      <c r="FI392" s="3">
        <f t="shared" si="352"/>
        <v>0</v>
      </c>
      <c r="FJ392" s="3">
        <f t="shared" si="352"/>
        <v>0</v>
      </c>
      <c r="FK392" s="3">
        <f t="shared" si="352"/>
        <v>0</v>
      </c>
      <c r="FL392" s="3">
        <f t="shared" si="352"/>
        <v>0</v>
      </c>
      <c r="FM392" s="3">
        <f t="shared" si="352"/>
        <v>0</v>
      </c>
      <c r="FN392" s="3">
        <f t="shared" si="352"/>
        <v>0</v>
      </c>
      <c r="FO392" s="3">
        <f t="shared" si="352"/>
        <v>0</v>
      </c>
      <c r="FP392" s="3">
        <f t="shared" si="352"/>
        <v>0</v>
      </c>
      <c r="FQ392" s="3">
        <f t="shared" si="352"/>
        <v>0</v>
      </c>
      <c r="FR392" s="3">
        <f t="shared" si="352"/>
        <v>0</v>
      </c>
      <c r="FS392" s="3">
        <f t="shared" ref="FS392:GX392" si="353">FS417</f>
        <v>0</v>
      </c>
      <c r="FT392" s="3">
        <f t="shared" si="353"/>
        <v>0</v>
      </c>
      <c r="FU392" s="3">
        <f t="shared" si="353"/>
        <v>0</v>
      </c>
      <c r="FV392" s="3">
        <f t="shared" si="353"/>
        <v>0</v>
      </c>
      <c r="FW392" s="3">
        <f t="shared" si="353"/>
        <v>0</v>
      </c>
      <c r="FX392" s="3">
        <f t="shared" si="353"/>
        <v>0</v>
      </c>
      <c r="FY392" s="3">
        <f t="shared" si="353"/>
        <v>0</v>
      </c>
      <c r="FZ392" s="3">
        <f t="shared" si="353"/>
        <v>0</v>
      </c>
      <c r="GA392" s="3">
        <f t="shared" si="353"/>
        <v>0</v>
      </c>
      <c r="GB392" s="3">
        <f t="shared" si="353"/>
        <v>0</v>
      </c>
      <c r="GC392" s="3">
        <f t="shared" si="353"/>
        <v>0</v>
      </c>
      <c r="GD392" s="3">
        <f t="shared" si="353"/>
        <v>0</v>
      </c>
      <c r="GE392" s="3">
        <f t="shared" si="353"/>
        <v>0</v>
      </c>
      <c r="GF392" s="3">
        <f t="shared" si="353"/>
        <v>0</v>
      </c>
      <c r="GG392" s="3">
        <f t="shared" si="353"/>
        <v>0</v>
      </c>
      <c r="GH392" s="3">
        <f t="shared" si="353"/>
        <v>0</v>
      </c>
      <c r="GI392" s="3">
        <f t="shared" si="353"/>
        <v>0</v>
      </c>
      <c r="GJ392" s="3">
        <f t="shared" si="353"/>
        <v>0</v>
      </c>
      <c r="GK392" s="3">
        <f t="shared" si="353"/>
        <v>0</v>
      </c>
      <c r="GL392" s="3">
        <f t="shared" si="353"/>
        <v>0</v>
      </c>
      <c r="GM392" s="3">
        <f t="shared" si="353"/>
        <v>0</v>
      </c>
      <c r="GN392" s="3">
        <f t="shared" si="353"/>
        <v>0</v>
      </c>
      <c r="GO392" s="3">
        <f t="shared" si="353"/>
        <v>0</v>
      </c>
      <c r="GP392" s="3">
        <f t="shared" si="353"/>
        <v>0</v>
      </c>
      <c r="GQ392" s="3">
        <f t="shared" si="353"/>
        <v>0</v>
      </c>
      <c r="GR392" s="3">
        <f t="shared" si="353"/>
        <v>0</v>
      </c>
      <c r="GS392" s="3">
        <f t="shared" si="353"/>
        <v>0</v>
      </c>
      <c r="GT392" s="3">
        <f t="shared" si="353"/>
        <v>0</v>
      </c>
      <c r="GU392" s="3">
        <f t="shared" si="353"/>
        <v>0</v>
      </c>
      <c r="GV392" s="3">
        <f t="shared" si="353"/>
        <v>0</v>
      </c>
      <c r="GW392" s="3">
        <f t="shared" si="353"/>
        <v>0</v>
      </c>
      <c r="GX392" s="3">
        <f t="shared" si="353"/>
        <v>0</v>
      </c>
    </row>
    <row r="394" spans="1:245" x14ac:dyDescent="0.2">
      <c r="A394">
        <v>17</v>
      </c>
      <c r="B394">
        <v>1</v>
      </c>
      <c r="C394">
        <f>ROW(SmtRes!A774)</f>
        <v>774</v>
      </c>
      <c r="D394">
        <f>ROW(EtalonRes!A777)</f>
        <v>777</v>
      </c>
      <c r="E394" t="s">
        <v>1002</v>
      </c>
      <c r="F394" t="s">
        <v>710</v>
      </c>
      <c r="G394" t="s">
        <v>711</v>
      </c>
      <c r="H394" t="s">
        <v>57</v>
      </c>
      <c r="I394">
        <f>ROUND(90.3/100,9)</f>
        <v>0.90300000000000002</v>
      </c>
      <c r="J394">
        <v>0</v>
      </c>
      <c r="O394">
        <f t="shared" ref="O394:O415" si="354">ROUND(CP394,2)</f>
        <v>1900.04</v>
      </c>
      <c r="P394">
        <f t="shared" ref="P394:P415" si="355">ROUND(CQ394*I394,2)</f>
        <v>0</v>
      </c>
      <c r="Q394">
        <f t="shared" ref="Q394:Q415" si="356">ROUND(CR394*I394,2)</f>
        <v>45.65</v>
      </c>
      <c r="R394">
        <f t="shared" ref="R394:R415" si="357">ROUND(CS394*I394,2)</f>
        <v>8.69</v>
      </c>
      <c r="S394">
        <f t="shared" ref="S394:S415" si="358">ROUND(CT394*I394,2)</f>
        <v>1854.39</v>
      </c>
      <c r="T394">
        <f t="shared" ref="T394:T415" si="359">ROUND(CU394*I394,2)</f>
        <v>0</v>
      </c>
      <c r="U394">
        <f t="shared" ref="U394:U415" si="360">CV394*I394</f>
        <v>31.297979999999999</v>
      </c>
      <c r="V394">
        <f t="shared" ref="V394:V415" si="361">CW394*I394</f>
        <v>9.0300000000000005E-2</v>
      </c>
      <c r="W394">
        <f t="shared" ref="W394:W415" si="362">ROUND(CX394*I394,2)</f>
        <v>0</v>
      </c>
      <c r="X394">
        <f t="shared" ref="X394:X415" si="363">ROUND(CY394,2)</f>
        <v>1378.68</v>
      </c>
      <c r="Y394">
        <f t="shared" ref="Y394:Y415" si="364">ROUND(CZ394,2)</f>
        <v>931.54</v>
      </c>
      <c r="AA394">
        <v>16630606</v>
      </c>
      <c r="AB394">
        <f t="shared" ref="AB394:AB415" si="365">ROUND((AC394+AD394+AF394),2)</f>
        <v>295.11</v>
      </c>
      <c r="AC394">
        <f>ROUND(((ES394*0)),2)</f>
        <v>0</v>
      </c>
      <c r="AD394">
        <f>ROUND((((ET394)-(EU394))+AE394),2)</f>
        <v>7.09</v>
      </c>
      <c r="AE394">
        <f>ROUND((EU394),2)</f>
        <v>1.35</v>
      </c>
      <c r="AF394">
        <f>ROUND((EV394),2)</f>
        <v>288.02</v>
      </c>
      <c r="AG394">
        <f t="shared" ref="AG394:AG415" si="366">ROUND((AP394),2)</f>
        <v>0</v>
      </c>
      <c r="AH394">
        <f>(EW394)</f>
        <v>34.659999999999997</v>
      </c>
      <c r="AI394">
        <f>(EX394)</f>
        <v>0.1</v>
      </c>
      <c r="AJ394">
        <f t="shared" ref="AJ394:AJ415" si="367">(AS394)</f>
        <v>0</v>
      </c>
      <c r="AK394">
        <v>328.71</v>
      </c>
      <c r="AL394">
        <v>33.6</v>
      </c>
      <c r="AM394">
        <v>7.09</v>
      </c>
      <c r="AN394">
        <v>1.35</v>
      </c>
      <c r="AO394">
        <v>288.02</v>
      </c>
      <c r="AP394">
        <v>0</v>
      </c>
      <c r="AQ394">
        <v>34.659999999999997</v>
      </c>
      <c r="AR394">
        <v>0.1</v>
      </c>
      <c r="AS394">
        <v>0</v>
      </c>
      <c r="AT394">
        <v>74</v>
      </c>
      <c r="AU394">
        <v>50</v>
      </c>
      <c r="AV394">
        <v>1</v>
      </c>
      <c r="AW394">
        <v>1</v>
      </c>
      <c r="AZ394">
        <v>7.13</v>
      </c>
      <c r="BA394">
        <v>7.13</v>
      </c>
      <c r="BB394">
        <v>7.13</v>
      </c>
      <c r="BC394">
        <v>7.13</v>
      </c>
      <c r="BD394" t="s">
        <v>6</v>
      </c>
      <c r="BE394" t="s">
        <v>6</v>
      </c>
      <c r="BF394" t="s">
        <v>6</v>
      </c>
      <c r="BG394" t="s">
        <v>6</v>
      </c>
      <c r="BH394">
        <v>0</v>
      </c>
      <c r="BI394">
        <v>1</v>
      </c>
      <c r="BJ394" t="s">
        <v>712</v>
      </c>
      <c r="BM394">
        <v>65001</v>
      </c>
      <c r="BN394">
        <v>0</v>
      </c>
      <c r="BO394" t="s">
        <v>6</v>
      </c>
      <c r="BP394">
        <v>0</v>
      </c>
      <c r="BQ394">
        <v>6</v>
      </c>
      <c r="BR394">
        <v>0</v>
      </c>
      <c r="BS394">
        <v>7.13</v>
      </c>
      <c r="BT394">
        <v>1</v>
      </c>
      <c r="BU394">
        <v>1</v>
      </c>
      <c r="BV394">
        <v>1</v>
      </c>
      <c r="BW394">
        <v>1</v>
      </c>
      <c r="BX394">
        <v>1</v>
      </c>
      <c r="BY394" t="s">
        <v>6</v>
      </c>
      <c r="BZ394">
        <v>74</v>
      </c>
      <c r="CA394">
        <v>50</v>
      </c>
      <c r="CE394">
        <v>0</v>
      </c>
      <c r="CF394">
        <v>0</v>
      </c>
      <c r="CG394">
        <v>0</v>
      </c>
      <c r="CM394">
        <v>0</v>
      </c>
      <c r="CN394" t="s">
        <v>6</v>
      </c>
      <c r="CO394">
        <v>0</v>
      </c>
      <c r="CP394">
        <f t="shared" ref="CP394:CP415" si="368">(P394+Q394+S394)</f>
        <v>1900.0400000000002</v>
      </c>
      <c r="CQ394">
        <f t="shared" ref="CQ394:CQ415" si="369">AC394*BC394</f>
        <v>0</v>
      </c>
      <c r="CR394">
        <f t="shared" ref="CR394:CR415" si="370">AD394*BB394</f>
        <v>50.551699999999997</v>
      </c>
      <c r="CS394">
        <f t="shared" ref="CS394:CS415" si="371">AE394*BS394</f>
        <v>9.6255000000000006</v>
      </c>
      <c r="CT394">
        <f t="shared" ref="CT394:CT415" si="372">AF394*BA394</f>
        <v>2053.5825999999997</v>
      </c>
      <c r="CU394">
        <f t="shared" ref="CU394:CU415" si="373">AG394</f>
        <v>0</v>
      </c>
      <c r="CV394">
        <f t="shared" ref="CV394:CV415" si="374">AH394</f>
        <v>34.659999999999997</v>
      </c>
      <c r="CW394">
        <f t="shared" ref="CW394:CW415" si="375">AI394</f>
        <v>0.1</v>
      </c>
      <c r="CX394">
        <f t="shared" ref="CX394:CX415" si="376">AJ394</f>
        <v>0</v>
      </c>
      <c r="CY394">
        <f t="shared" ref="CY394:CY415" si="377">(((S394+R394)*AT394)/100)</f>
        <v>1378.6792</v>
      </c>
      <c r="CZ394">
        <f t="shared" ref="CZ394:CZ415" si="378">(((S394+R394)*AU394)/100)</f>
        <v>931.54000000000019</v>
      </c>
      <c r="DC394" t="s">
        <v>6</v>
      </c>
      <c r="DD394" t="s">
        <v>30</v>
      </c>
      <c r="DE394" t="s">
        <v>6</v>
      </c>
      <c r="DF394" t="s">
        <v>6</v>
      </c>
      <c r="DG394" t="s">
        <v>6</v>
      </c>
      <c r="DH394" t="s">
        <v>6</v>
      </c>
      <c r="DI394" t="s">
        <v>6</v>
      </c>
      <c r="DJ394" t="s">
        <v>6</v>
      </c>
      <c r="DK394" t="s">
        <v>6</v>
      </c>
      <c r="DL394" t="s">
        <v>6</v>
      </c>
      <c r="DM394" t="s">
        <v>6</v>
      </c>
      <c r="DN394">
        <v>0</v>
      </c>
      <c r="DO394">
        <v>0</v>
      </c>
      <c r="DP394">
        <v>1</v>
      </c>
      <c r="DQ394">
        <v>1</v>
      </c>
      <c r="DU394">
        <v>1003</v>
      </c>
      <c r="DV394" t="s">
        <v>57</v>
      </c>
      <c r="DW394" t="s">
        <v>57</v>
      </c>
      <c r="DX394">
        <v>100</v>
      </c>
      <c r="EE394">
        <v>16609190</v>
      </c>
      <c r="EF394">
        <v>6</v>
      </c>
      <c r="EG394" t="s">
        <v>39</v>
      </c>
      <c r="EH394">
        <v>0</v>
      </c>
      <c r="EI394" t="s">
        <v>6</v>
      </c>
      <c r="EJ394">
        <v>1</v>
      </c>
      <c r="EK394">
        <v>65001</v>
      </c>
      <c r="EL394" t="s">
        <v>713</v>
      </c>
      <c r="EM394" t="s">
        <v>714</v>
      </c>
      <c r="EO394" t="s">
        <v>6</v>
      </c>
      <c r="EQ394">
        <v>131072</v>
      </c>
      <c r="ER394">
        <v>328.71</v>
      </c>
      <c r="ES394">
        <v>33.6</v>
      </c>
      <c r="ET394">
        <v>7.09</v>
      </c>
      <c r="EU394">
        <v>1.35</v>
      </c>
      <c r="EV394">
        <v>288.02</v>
      </c>
      <c r="EW394">
        <v>34.659999999999997</v>
      </c>
      <c r="EX394">
        <v>0.1</v>
      </c>
      <c r="EY394">
        <v>0</v>
      </c>
      <c r="FQ394">
        <v>0</v>
      </c>
      <c r="FR394">
        <f t="shared" ref="FR394:FR415" si="379">ROUND(IF(AND(BH394=3,BI394=3),P394,0),2)</f>
        <v>0</v>
      </c>
      <c r="FS394">
        <v>0</v>
      </c>
      <c r="FX394">
        <v>74</v>
      </c>
      <c r="FY394">
        <v>50</v>
      </c>
      <c r="GA394" t="s">
        <v>6</v>
      </c>
      <c r="GD394">
        <v>0</v>
      </c>
      <c r="GF394">
        <v>-93922138</v>
      </c>
      <c r="GG394">
        <v>1</v>
      </c>
      <c r="GH394">
        <v>1</v>
      </c>
      <c r="GI394">
        <v>4</v>
      </c>
      <c r="GJ394">
        <v>0</v>
      </c>
      <c r="GK394">
        <f>ROUND(R394*(R12)/100,2)</f>
        <v>0</v>
      </c>
      <c r="GL394">
        <f t="shared" ref="GL394:GL415" si="380">ROUND(IF(AND(BH394=3,BI394=3,FS394&lt;&gt;0),P394,0),2)</f>
        <v>0</v>
      </c>
      <c r="GM394">
        <f t="shared" ref="GM394:GM415" si="381">ROUND(O394+X394+Y394+GK394,2)+GX394</f>
        <v>4210.26</v>
      </c>
      <c r="GN394">
        <f t="shared" ref="GN394:GN415" si="382">IF(OR(BI394=0,BI394=1),ROUND(O394+X394+Y394+GK394,2),0)</f>
        <v>4210.26</v>
      </c>
      <c r="GO394">
        <f t="shared" ref="GO394:GO415" si="383">IF(BI394=2,ROUND(O394+X394+Y394+GK394,2),0)</f>
        <v>0</v>
      </c>
      <c r="GP394">
        <f t="shared" ref="GP394:GP415" si="384">IF(BI394=4,ROUND(O394+X394+Y394+GK394,2)+GX394,0)</f>
        <v>0</v>
      </c>
      <c r="GR394">
        <v>0</v>
      </c>
      <c r="GS394">
        <v>3</v>
      </c>
      <c r="GT394">
        <v>0</v>
      </c>
      <c r="GU394" t="s">
        <v>6</v>
      </c>
      <c r="GV394">
        <f t="shared" ref="GV394:GV415" si="385">ROUND((GT394),2)</f>
        <v>0</v>
      </c>
      <c r="GW394">
        <v>1</v>
      </c>
      <c r="GX394">
        <f t="shared" ref="GX394:GX415" si="386">ROUND(HC394*I394,2)</f>
        <v>0</v>
      </c>
      <c r="HA394">
        <v>0</v>
      </c>
      <c r="HB394">
        <v>0</v>
      </c>
      <c r="HC394">
        <f t="shared" ref="HC394:HC415" si="387">GV394*GW394</f>
        <v>0</v>
      </c>
      <c r="IK394">
        <v>0</v>
      </c>
    </row>
    <row r="395" spans="1:245" x14ac:dyDescent="0.2">
      <c r="A395">
        <v>17</v>
      </c>
      <c r="B395">
        <v>1</v>
      </c>
      <c r="C395">
        <f>ROW(SmtRes!A788)</f>
        <v>788</v>
      </c>
      <c r="D395">
        <f>ROW(EtalonRes!A794)</f>
        <v>794</v>
      </c>
      <c r="E395" t="s">
        <v>1003</v>
      </c>
      <c r="F395" t="s">
        <v>1004</v>
      </c>
      <c r="G395" t="s">
        <v>1005</v>
      </c>
      <c r="H395" t="s">
        <v>57</v>
      </c>
      <c r="I395">
        <f>ROUND(34.4/100,9)</f>
        <v>0.34399999999999997</v>
      </c>
      <c r="J395">
        <v>0</v>
      </c>
      <c r="O395">
        <f t="shared" si="354"/>
        <v>9621.9699999999993</v>
      </c>
      <c r="P395">
        <f t="shared" si="355"/>
        <v>137.06</v>
      </c>
      <c r="Q395">
        <f t="shared" si="356"/>
        <v>4161.87</v>
      </c>
      <c r="R395">
        <f t="shared" si="357"/>
        <v>563.29</v>
      </c>
      <c r="S395">
        <f t="shared" si="358"/>
        <v>5323.04</v>
      </c>
      <c r="T395">
        <f t="shared" si="359"/>
        <v>0</v>
      </c>
      <c r="U395">
        <f t="shared" si="360"/>
        <v>75.258943999999985</v>
      </c>
      <c r="V395">
        <f t="shared" si="361"/>
        <v>5.8651999999999997</v>
      </c>
      <c r="W395">
        <f t="shared" si="362"/>
        <v>0</v>
      </c>
      <c r="X395">
        <f t="shared" si="363"/>
        <v>6769.28</v>
      </c>
      <c r="Y395">
        <f t="shared" si="364"/>
        <v>4179.29</v>
      </c>
      <c r="AA395">
        <v>16630606</v>
      </c>
      <c r="AB395">
        <f t="shared" si="365"/>
        <v>3922.98</v>
      </c>
      <c r="AC395">
        <f t="shared" ref="AC395:AC415" si="388">ROUND((ES395),2)</f>
        <v>55.88</v>
      </c>
      <c r="AD395">
        <f>ROUND(((((ET395*1.25))-((EU395*1.25)))+AE395),2)</f>
        <v>1696.84</v>
      </c>
      <c r="AE395">
        <f>ROUND(((EU395*1.25)),2)</f>
        <v>229.66</v>
      </c>
      <c r="AF395">
        <f>ROUND(((EV395*1.15)),2)</f>
        <v>2170.2600000000002</v>
      </c>
      <c r="AG395">
        <f t="shared" si="366"/>
        <v>0</v>
      </c>
      <c r="AH395">
        <f>((EW395*1.15))</f>
        <v>218.77599999999998</v>
      </c>
      <c r="AI395">
        <f>((EX395*1.25))</f>
        <v>17.05</v>
      </c>
      <c r="AJ395">
        <f t="shared" si="367"/>
        <v>0</v>
      </c>
      <c r="AK395">
        <v>3300.53</v>
      </c>
      <c r="AL395">
        <v>55.88</v>
      </c>
      <c r="AM395">
        <v>1357.47</v>
      </c>
      <c r="AN395">
        <v>183.73</v>
      </c>
      <c r="AO395">
        <v>1887.18</v>
      </c>
      <c r="AP395">
        <v>0</v>
      </c>
      <c r="AQ395">
        <v>190.24</v>
      </c>
      <c r="AR395">
        <v>13.64</v>
      </c>
      <c r="AS395">
        <v>0</v>
      </c>
      <c r="AT395">
        <v>115</v>
      </c>
      <c r="AU395">
        <v>71</v>
      </c>
      <c r="AV395">
        <v>1</v>
      </c>
      <c r="AW395">
        <v>1</v>
      </c>
      <c r="AZ395">
        <v>7.13</v>
      </c>
      <c r="BA395">
        <v>7.13</v>
      </c>
      <c r="BB395">
        <v>7.13</v>
      </c>
      <c r="BC395">
        <v>7.13</v>
      </c>
      <c r="BD395" t="s">
        <v>6</v>
      </c>
      <c r="BE395" t="s">
        <v>6</v>
      </c>
      <c r="BF395" t="s">
        <v>6</v>
      </c>
      <c r="BG395" t="s">
        <v>6</v>
      </c>
      <c r="BH395">
        <v>0</v>
      </c>
      <c r="BI395">
        <v>1</v>
      </c>
      <c r="BJ395" t="s">
        <v>1006</v>
      </c>
      <c r="BM395">
        <v>16001</v>
      </c>
      <c r="BN395">
        <v>0</v>
      </c>
      <c r="BO395" t="s">
        <v>6</v>
      </c>
      <c r="BP395">
        <v>0</v>
      </c>
      <c r="BQ395">
        <v>2</v>
      </c>
      <c r="BR395">
        <v>0</v>
      </c>
      <c r="BS395">
        <v>7.13</v>
      </c>
      <c r="BT395">
        <v>1</v>
      </c>
      <c r="BU395">
        <v>1</v>
      </c>
      <c r="BV395">
        <v>1</v>
      </c>
      <c r="BW395">
        <v>1</v>
      </c>
      <c r="BX395">
        <v>1</v>
      </c>
      <c r="BY395" t="s">
        <v>6</v>
      </c>
      <c r="BZ395">
        <v>128</v>
      </c>
      <c r="CA395">
        <v>83</v>
      </c>
      <c r="CE395">
        <v>0</v>
      </c>
      <c r="CF395">
        <v>0</v>
      </c>
      <c r="CG395">
        <v>0</v>
      </c>
      <c r="CM395">
        <v>0</v>
      </c>
      <c r="CN395" t="s">
        <v>1758</v>
      </c>
      <c r="CO395">
        <v>0</v>
      </c>
      <c r="CP395">
        <f t="shared" si="368"/>
        <v>9621.9700000000012</v>
      </c>
      <c r="CQ395">
        <f t="shared" si="369"/>
        <v>398.42439999999999</v>
      </c>
      <c r="CR395">
        <f t="shared" si="370"/>
        <v>12098.4692</v>
      </c>
      <c r="CS395">
        <f t="shared" si="371"/>
        <v>1637.4757999999999</v>
      </c>
      <c r="CT395">
        <f t="shared" si="372"/>
        <v>15473.953800000001</v>
      </c>
      <c r="CU395">
        <f t="shared" si="373"/>
        <v>0</v>
      </c>
      <c r="CV395">
        <f t="shared" si="374"/>
        <v>218.77599999999998</v>
      </c>
      <c r="CW395">
        <f t="shared" si="375"/>
        <v>17.05</v>
      </c>
      <c r="CX395">
        <f t="shared" si="376"/>
        <v>0</v>
      </c>
      <c r="CY395">
        <f t="shared" si="377"/>
        <v>6769.2794999999996</v>
      </c>
      <c r="CZ395">
        <f t="shared" si="378"/>
        <v>4179.2942999999996</v>
      </c>
      <c r="DC395" t="s">
        <v>6</v>
      </c>
      <c r="DD395" t="s">
        <v>6</v>
      </c>
      <c r="DE395" t="s">
        <v>81</v>
      </c>
      <c r="DF395" t="s">
        <v>81</v>
      </c>
      <c r="DG395" t="s">
        <v>82</v>
      </c>
      <c r="DH395" t="s">
        <v>6</v>
      </c>
      <c r="DI395" t="s">
        <v>82</v>
      </c>
      <c r="DJ395" t="s">
        <v>81</v>
      </c>
      <c r="DK395" t="s">
        <v>6</v>
      </c>
      <c r="DL395" t="s">
        <v>6</v>
      </c>
      <c r="DM395" t="s">
        <v>6</v>
      </c>
      <c r="DN395">
        <v>0</v>
      </c>
      <c r="DO395">
        <v>0</v>
      </c>
      <c r="DP395">
        <v>1</v>
      </c>
      <c r="DQ395">
        <v>1</v>
      </c>
      <c r="DU395">
        <v>1003</v>
      </c>
      <c r="DV395" t="s">
        <v>57</v>
      </c>
      <c r="DW395" t="s">
        <v>57</v>
      </c>
      <c r="DX395">
        <v>100</v>
      </c>
      <c r="EE395">
        <v>16609131</v>
      </c>
      <c r="EF395">
        <v>2</v>
      </c>
      <c r="EG395" t="s">
        <v>14</v>
      </c>
      <c r="EH395">
        <v>0</v>
      </c>
      <c r="EI395" t="s">
        <v>6</v>
      </c>
      <c r="EJ395">
        <v>1</v>
      </c>
      <c r="EK395">
        <v>16001</v>
      </c>
      <c r="EL395" t="s">
        <v>730</v>
      </c>
      <c r="EM395" t="s">
        <v>731</v>
      </c>
      <c r="EO395" t="s">
        <v>83</v>
      </c>
      <c r="EQ395">
        <v>131072</v>
      </c>
      <c r="ER395">
        <v>3300.53</v>
      </c>
      <c r="ES395">
        <v>55.88</v>
      </c>
      <c r="ET395">
        <v>1357.47</v>
      </c>
      <c r="EU395">
        <v>183.73</v>
      </c>
      <c r="EV395">
        <v>1887.18</v>
      </c>
      <c r="EW395">
        <v>190.24</v>
      </c>
      <c r="EX395">
        <v>13.64</v>
      </c>
      <c r="EY395">
        <v>0</v>
      </c>
      <c r="FQ395">
        <v>0</v>
      </c>
      <c r="FR395">
        <f t="shared" si="379"/>
        <v>0</v>
      </c>
      <c r="FS395">
        <v>0</v>
      </c>
      <c r="FT395" t="s">
        <v>22</v>
      </c>
      <c r="FU395" t="s">
        <v>23</v>
      </c>
      <c r="FX395">
        <v>115.2</v>
      </c>
      <c r="FY395">
        <v>70.55</v>
      </c>
      <c r="GA395" t="s">
        <v>6</v>
      </c>
      <c r="GD395">
        <v>0</v>
      </c>
      <c r="GF395">
        <v>-506903989</v>
      </c>
      <c r="GG395">
        <v>1</v>
      </c>
      <c r="GH395">
        <v>1</v>
      </c>
      <c r="GI395">
        <v>4</v>
      </c>
      <c r="GJ395">
        <v>0</v>
      </c>
      <c r="GK395">
        <f>ROUND(R395*(R12)/100,2)</f>
        <v>0</v>
      </c>
      <c r="GL395">
        <f t="shared" si="380"/>
        <v>0</v>
      </c>
      <c r="GM395">
        <f t="shared" si="381"/>
        <v>20570.54</v>
      </c>
      <c r="GN395">
        <f t="shared" si="382"/>
        <v>20570.54</v>
      </c>
      <c r="GO395">
        <f t="shared" si="383"/>
        <v>0</v>
      </c>
      <c r="GP395">
        <f t="shared" si="384"/>
        <v>0</v>
      </c>
      <c r="GR395">
        <v>0</v>
      </c>
      <c r="GS395">
        <v>3</v>
      </c>
      <c r="GT395">
        <v>0</v>
      </c>
      <c r="GU395" t="s">
        <v>6</v>
      </c>
      <c r="GV395">
        <f t="shared" si="385"/>
        <v>0</v>
      </c>
      <c r="GW395">
        <v>1</v>
      </c>
      <c r="GX395">
        <f t="shared" si="386"/>
        <v>0</v>
      </c>
      <c r="HA395">
        <v>0</v>
      </c>
      <c r="HB395">
        <v>0</v>
      </c>
      <c r="HC395">
        <f t="shared" si="387"/>
        <v>0</v>
      </c>
      <c r="IK395">
        <v>0</v>
      </c>
    </row>
    <row r="396" spans="1:245" x14ac:dyDescent="0.2">
      <c r="A396">
        <v>18</v>
      </c>
      <c r="B396">
        <v>1</v>
      </c>
      <c r="C396">
        <v>787</v>
      </c>
      <c r="E396" t="s">
        <v>1007</v>
      </c>
      <c r="F396" t="s">
        <v>1008</v>
      </c>
      <c r="G396" t="s">
        <v>1009</v>
      </c>
      <c r="H396" t="s">
        <v>616</v>
      </c>
      <c r="I396">
        <f>I395*J396</f>
        <v>0.19999999999999998</v>
      </c>
      <c r="J396">
        <v>0.58139534883720934</v>
      </c>
      <c r="O396">
        <f t="shared" si="354"/>
        <v>82</v>
      </c>
      <c r="P396">
        <f t="shared" si="355"/>
        <v>82</v>
      </c>
      <c r="Q396">
        <f t="shared" si="356"/>
        <v>0</v>
      </c>
      <c r="R396">
        <f t="shared" si="357"/>
        <v>0</v>
      </c>
      <c r="S396">
        <f t="shared" si="358"/>
        <v>0</v>
      </c>
      <c r="T396">
        <f t="shared" si="359"/>
        <v>0</v>
      </c>
      <c r="U396">
        <f t="shared" si="360"/>
        <v>0</v>
      </c>
      <c r="V396">
        <f t="shared" si="361"/>
        <v>0</v>
      </c>
      <c r="W396">
        <f t="shared" si="362"/>
        <v>0</v>
      </c>
      <c r="X396">
        <f t="shared" si="363"/>
        <v>0</v>
      </c>
      <c r="Y396">
        <f t="shared" si="364"/>
        <v>0</v>
      </c>
      <c r="AA396">
        <v>16630606</v>
      </c>
      <c r="AB396">
        <f t="shared" si="365"/>
        <v>57.5</v>
      </c>
      <c r="AC396">
        <f t="shared" si="388"/>
        <v>57.5</v>
      </c>
      <c r="AD396">
        <f>ROUND((((ET396)-(EU396))+AE396),2)</f>
        <v>0</v>
      </c>
      <c r="AE396">
        <f>ROUND((EU396),2)</f>
        <v>0</v>
      </c>
      <c r="AF396">
        <f>ROUND((EV396),2)</f>
        <v>0</v>
      </c>
      <c r="AG396">
        <f t="shared" si="366"/>
        <v>0</v>
      </c>
      <c r="AH396">
        <f>(EW396)</f>
        <v>0</v>
      </c>
      <c r="AI396">
        <f>(EX396)</f>
        <v>0</v>
      </c>
      <c r="AJ396">
        <f t="shared" si="367"/>
        <v>0</v>
      </c>
      <c r="AK396">
        <v>57.5</v>
      </c>
      <c r="AL396">
        <v>57.5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115</v>
      </c>
      <c r="AU396">
        <v>71</v>
      </c>
      <c r="AV396">
        <v>1</v>
      </c>
      <c r="AW396">
        <v>1</v>
      </c>
      <c r="AZ396">
        <v>7.13</v>
      </c>
      <c r="BA396">
        <v>1</v>
      </c>
      <c r="BB396">
        <v>1</v>
      </c>
      <c r="BC396">
        <v>7.13</v>
      </c>
      <c r="BD396" t="s">
        <v>6</v>
      </c>
      <c r="BE396" t="s">
        <v>6</v>
      </c>
      <c r="BF396" t="s">
        <v>6</v>
      </c>
      <c r="BG396" t="s">
        <v>6</v>
      </c>
      <c r="BH396">
        <v>3</v>
      </c>
      <c r="BI396">
        <v>1</v>
      </c>
      <c r="BJ396" t="s">
        <v>1010</v>
      </c>
      <c r="BM396">
        <v>16001</v>
      </c>
      <c r="BN396">
        <v>0</v>
      </c>
      <c r="BO396" t="s">
        <v>6</v>
      </c>
      <c r="BP396">
        <v>0</v>
      </c>
      <c r="BQ396">
        <v>2</v>
      </c>
      <c r="BR396">
        <v>0</v>
      </c>
      <c r="BS396">
        <v>1</v>
      </c>
      <c r="BT396">
        <v>1</v>
      </c>
      <c r="BU396">
        <v>1</v>
      </c>
      <c r="BV396">
        <v>1</v>
      </c>
      <c r="BW396">
        <v>1</v>
      </c>
      <c r="BX396">
        <v>1</v>
      </c>
      <c r="BY396" t="s">
        <v>6</v>
      </c>
      <c r="BZ396">
        <v>128</v>
      </c>
      <c r="CA396">
        <v>83</v>
      </c>
      <c r="CE396">
        <v>0</v>
      </c>
      <c r="CF396">
        <v>0</v>
      </c>
      <c r="CG396">
        <v>0</v>
      </c>
      <c r="CM396">
        <v>0</v>
      </c>
      <c r="CN396" t="s">
        <v>6</v>
      </c>
      <c r="CO396">
        <v>0</v>
      </c>
      <c r="CP396">
        <f t="shared" si="368"/>
        <v>82</v>
      </c>
      <c r="CQ396">
        <f t="shared" si="369"/>
        <v>409.97499999999997</v>
      </c>
      <c r="CR396">
        <f t="shared" si="370"/>
        <v>0</v>
      </c>
      <c r="CS396">
        <f t="shared" si="371"/>
        <v>0</v>
      </c>
      <c r="CT396">
        <f t="shared" si="372"/>
        <v>0</v>
      </c>
      <c r="CU396">
        <f t="shared" si="373"/>
        <v>0</v>
      </c>
      <c r="CV396">
        <f t="shared" si="374"/>
        <v>0</v>
      </c>
      <c r="CW396">
        <f t="shared" si="375"/>
        <v>0</v>
      </c>
      <c r="CX396">
        <f t="shared" si="376"/>
        <v>0</v>
      </c>
      <c r="CY396">
        <f t="shared" si="377"/>
        <v>0</v>
      </c>
      <c r="CZ396">
        <f t="shared" si="378"/>
        <v>0</v>
      </c>
      <c r="DC396" t="s">
        <v>6</v>
      </c>
      <c r="DD396" t="s">
        <v>6</v>
      </c>
      <c r="DE396" t="s">
        <v>6</v>
      </c>
      <c r="DF396" t="s">
        <v>6</v>
      </c>
      <c r="DG396" t="s">
        <v>6</v>
      </c>
      <c r="DH396" t="s">
        <v>6</v>
      </c>
      <c r="DI396" t="s">
        <v>6</v>
      </c>
      <c r="DJ396" t="s">
        <v>6</v>
      </c>
      <c r="DK396" t="s">
        <v>6</v>
      </c>
      <c r="DL396" t="s">
        <v>6</v>
      </c>
      <c r="DM396" t="s">
        <v>6</v>
      </c>
      <c r="DN396">
        <v>0</v>
      </c>
      <c r="DO396">
        <v>0</v>
      </c>
      <c r="DP396">
        <v>1</v>
      </c>
      <c r="DQ396">
        <v>1</v>
      </c>
      <c r="DU396">
        <v>1010</v>
      </c>
      <c r="DV396" t="s">
        <v>616</v>
      </c>
      <c r="DW396" t="s">
        <v>616</v>
      </c>
      <c r="DX396">
        <v>10</v>
      </c>
      <c r="EE396">
        <v>16609131</v>
      </c>
      <c r="EF396">
        <v>2</v>
      </c>
      <c r="EG396" t="s">
        <v>14</v>
      </c>
      <c r="EH396">
        <v>0</v>
      </c>
      <c r="EI396" t="s">
        <v>6</v>
      </c>
      <c r="EJ396">
        <v>1</v>
      </c>
      <c r="EK396">
        <v>16001</v>
      </c>
      <c r="EL396" t="s">
        <v>730</v>
      </c>
      <c r="EM396" t="s">
        <v>731</v>
      </c>
      <c r="EO396" t="s">
        <v>6</v>
      </c>
      <c r="EQ396">
        <v>0</v>
      </c>
      <c r="ER396">
        <v>57.5</v>
      </c>
      <c r="ES396">
        <v>57.5</v>
      </c>
      <c r="ET396">
        <v>0</v>
      </c>
      <c r="EU396">
        <v>0</v>
      </c>
      <c r="EV396">
        <v>0</v>
      </c>
      <c r="EW396">
        <v>0</v>
      </c>
      <c r="EX396">
        <v>0</v>
      </c>
      <c r="FQ396">
        <v>0</v>
      </c>
      <c r="FR396">
        <f t="shared" si="379"/>
        <v>0</v>
      </c>
      <c r="FS396">
        <v>0</v>
      </c>
      <c r="FT396" t="s">
        <v>22</v>
      </c>
      <c r="FU396" t="s">
        <v>23</v>
      </c>
      <c r="FX396">
        <v>115.2</v>
      </c>
      <c r="FY396">
        <v>70.55</v>
      </c>
      <c r="GA396" t="s">
        <v>6</v>
      </c>
      <c r="GD396">
        <v>0</v>
      </c>
      <c r="GF396">
        <v>-1250603825</v>
      </c>
      <c r="GG396">
        <v>1</v>
      </c>
      <c r="GH396">
        <v>1</v>
      </c>
      <c r="GI396">
        <v>4</v>
      </c>
      <c r="GJ396">
        <v>0</v>
      </c>
      <c r="GK396">
        <f>ROUND(R396*(R12)/100,2)</f>
        <v>0</v>
      </c>
      <c r="GL396">
        <f t="shared" si="380"/>
        <v>0</v>
      </c>
      <c r="GM396">
        <f t="shared" si="381"/>
        <v>82</v>
      </c>
      <c r="GN396">
        <f t="shared" si="382"/>
        <v>82</v>
      </c>
      <c r="GO396">
        <f t="shared" si="383"/>
        <v>0</v>
      </c>
      <c r="GP396">
        <f t="shared" si="384"/>
        <v>0</v>
      </c>
      <c r="GR396">
        <v>0</v>
      </c>
      <c r="GS396">
        <v>3</v>
      </c>
      <c r="GT396">
        <v>0</v>
      </c>
      <c r="GU396" t="s">
        <v>6</v>
      </c>
      <c r="GV396">
        <f t="shared" si="385"/>
        <v>0</v>
      </c>
      <c r="GW396">
        <v>1</v>
      </c>
      <c r="GX396">
        <f t="shared" si="386"/>
        <v>0</v>
      </c>
      <c r="HA396">
        <v>0</v>
      </c>
      <c r="HB396">
        <v>0</v>
      </c>
      <c r="HC396">
        <f t="shared" si="387"/>
        <v>0</v>
      </c>
      <c r="IK396">
        <v>0</v>
      </c>
    </row>
    <row r="397" spans="1:245" x14ac:dyDescent="0.2">
      <c r="A397">
        <v>18</v>
      </c>
      <c r="B397">
        <v>1</v>
      </c>
      <c r="C397">
        <v>788</v>
      </c>
      <c r="E397" t="s">
        <v>1011</v>
      </c>
      <c r="F397" t="s">
        <v>1012</v>
      </c>
      <c r="G397" t="s">
        <v>1013</v>
      </c>
      <c r="H397" t="s">
        <v>150</v>
      </c>
      <c r="I397">
        <f>I395*J397</f>
        <v>34.4</v>
      </c>
      <c r="J397">
        <v>100</v>
      </c>
      <c r="O397">
        <f t="shared" si="354"/>
        <v>2401.21</v>
      </c>
      <c r="P397">
        <f t="shared" si="355"/>
        <v>2401.21</v>
      </c>
      <c r="Q397">
        <f t="shared" si="356"/>
        <v>0</v>
      </c>
      <c r="R397">
        <f t="shared" si="357"/>
        <v>0</v>
      </c>
      <c r="S397">
        <f t="shared" si="358"/>
        <v>0</v>
      </c>
      <c r="T397">
        <f t="shared" si="359"/>
        <v>0</v>
      </c>
      <c r="U397">
        <f t="shared" si="360"/>
        <v>0</v>
      </c>
      <c r="V397">
        <f t="shared" si="361"/>
        <v>0</v>
      </c>
      <c r="W397">
        <f t="shared" si="362"/>
        <v>0</v>
      </c>
      <c r="X397">
        <f t="shared" si="363"/>
        <v>0</v>
      </c>
      <c r="Y397">
        <f t="shared" si="364"/>
        <v>0</v>
      </c>
      <c r="AA397">
        <v>16630606</v>
      </c>
      <c r="AB397">
        <f t="shared" si="365"/>
        <v>9.7899999999999991</v>
      </c>
      <c r="AC397">
        <f t="shared" si="388"/>
        <v>9.7899999999999991</v>
      </c>
      <c r="AD397">
        <f>ROUND((((ET397)-(EU397))+AE397),2)</f>
        <v>0</v>
      </c>
      <c r="AE397">
        <f>ROUND((EU397),2)</f>
        <v>0</v>
      </c>
      <c r="AF397">
        <f>ROUND((EV397),2)</f>
        <v>0</v>
      </c>
      <c r="AG397">
        <f t="shared" si="366"/>
        <v>0</v>
      </c>
      <c r="AH397">
        <f>(EW397)</f>
        <v>0</v>
      </c>
      <c r="AI397">
        <f>(EX397)</f>
        <v>0</v>
      </c>
      <c r="AJ397">
        <f t="shared" si="367"/>
        <v>0</v>
      </c>
      <c r="AK397">
        <v>9.7899999999999991</v>
      </c>
      <c r="AL397">
        <v>9.7899999999999991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115</v>
      </c>
      <c r="AU397">
        <v>71</v>
      </c>
      <c r="AV397">
        <v>1</v>
      </c>
      <c r="AW397">
        <v>1</v>
      </c>
      <c r="AZ397">
        <v>7.13</v>
      </c>
      <c r="BA397">
        <v>1</v>
      </c>
      <c r="BB397">
        <v>1</v>
      </c>
      <c r="BC397">
        <v>7.13</v>
      </c>
      <c r="BD397" t="s">
        <v>6</v>
      </c>
      <c r="BE397" t="s">
        <v>6</v>
      </c>
      <c r="BF397" t="s">
        <v>6</v>
      </c>
      <c r="BG397" t="s">
        <v>6</v>
      </c>
      <c r="BH397">
        <v>3</v>
      </c>
      <c r="BI397">
        <v>1</v>
      </c>
      <c r="BJ397" t="s">
        <v>1014</v>
      </c>
      <c r="BM397">
        <v>16001</v>
      </c>
      <c r="BN397">
        <v>0</v>
      </c>
      <c r="BO397" t="s">
        <v>6</v>
      </c>
      <c r="BP397">
        <v>0</v>
      </c>
      <c r="BQ397">
        <v>2</v>
      </c>
      <c r="BR397">
        <v>0</v>
      </c>
      <c r="BS397">
        <v>1</v>
      </c>
      <c r="BT397">
        <v>1</v>
      </c>
      <c r="BU397">
        <v>1</v>
      </c>
      <c r="BV397">
        <v>1</v>
      </c>
      <c r="BW397">
        <v>1</v>
      </c>
      <c r="BX397">
        <v>1</v>
      </c>
      <c r="BY397" t="s">
        <v>6</v>
      </c>
      <c r="BZ397">
        <v>128</v>
      </c>
      <c r="CA397">
        <v>83</v>
      </c>
      <c r="CE397">
        <v>0</v>
      </c>
      <c r="CF397">
        <v>0</v>
      </c>
      <c r="CG397">
        <v>0</v>
      </c>
      <c r="CM397">
        <v>0</v>
      </c>
      <c r="CN397" t="s">
        <v>6</v>
      </c>
      <c r="CO397">
        <v>0</v>
      </c>
      <c r="CP397">
        <f t="shared" si="368"/>
        <v>2401.21</v>
      </c>
      <c r="CQ397">
        <f t="shared" si="369"/>
        <v>69.802699999999987</v>
      </c>
      <c r="CR397">
        <f t="shared" si="370"/>
        <v>0</v>
      </c>
      <c r="CS397">
        <f t="shared" si="371"/>
        <v>0</v>
      </c>
      <c r="CT397">
        <f t="shared" si="372"/>
        <v>0</v>
      </c>
      <c r="CU397">
        <f t="shared" si="373"/>
        <v>0</v>
      </c>
      <c r="CV397">
        <f t="shared" si="374"/>
        <v>0</v>
      </c>
      <c r="CW397">
        <f t="shared" si="375"/>
        <v>0</v>
      </c>
      <c r="CX397">
        <f t="shared" si="376"/>
        <v>0</v>
      </c>
      <c r="CY397">
        <f t="shared" si="377"/>
        <v>0</v>
      </c>
      <c r="CZ397">
        <f t="shared" si="378"/>
        <v>0</v>
      </c>
      <c r="DC397" t="s">
        <v>6</v>
      </c>
      <c r="DD397" t="s">
        <v>6</v>
      </c>
      <c r="DE397" t="s">
        <v>6</v>
      </c>
      <c r="DF397" t="s">
        <v>6</v>
      </c>
      <c r="DG397" t="s">
        <v>6</v>
      </c>
      <c r="DH397" t="s">
        <v>6</v>
      </c>
      <c r="DI397" t="s">
        <v>6</v>
      </c>
      <c r="DJ397" t="s">
        <v>6</v>
      </c>
      <c r="DK397" t="s">
        <v>6</v>
      </c>
      <c r="DL397" t="s">
        <v>6</v>
      </c>
      <c r="DM397" t="s">
        <v>6</v>
      </c>
      <c r="DN397">
        <v>0</v>
      </c>
      <c r="DO397">
        <v>0</v>
      </c>
      <c r="DP397">
        <v>1</v>
      </c>
      <c r="DQ397">
        <v>1</v>
      </c>
      <c r="DU397">
        <v>1003</v>
      </c>
      <c r="DV397" t="s">
        <v>150</v>
      </c>
      <c r="DW397" t="s">
        <v>150</v>
      </c>
      <c r="DX397">
        <v>1</v>
      </c>
      <c r="EE397">
        <v>16609131</v>
      </c>
      <c r="EF397">
        <v>2</v>
      </c>
      <c r="EG397" t="s">
        <v>14</v>
      </c>
      <c r="EH397">
        <v>0</v>
      </c>
      <c r="EI397" t="s">
        <v>6</v>
      </c>
      <c r="EJ397">
        <v>1</v>
      </c>
      <c r="EK397">
        <v>16001</v>
      </c>
      <c r="EL397" t="s">
        <v>730</v>
      </c>
      <c r="EM397" t="s">
        <v>731</v>
      </c>
      <c r="EO397" t="s">
        <v>6</v>
      </c>
      <c r="EQ397">
        <v>0</v>
      </c>
      <c r="ER397">
        <v>9.7899999999999991</v>
      </c>
      <c r="ES397">
        <v>9.7899999999999991</v>
      </c>
      <c r="ET397">
        <v>0</v>
      </c>
      <c r="EU397">
        <v>0</v>
      </c>
      <c r="EV397">
        <v>0</v>
      </c>
      <c r="EW397">
        <v>0</v>
      </c>
      <c r="EX397">
        <v>0</v>
      </c>
      <c r="FQ397">
        <v>0</v>
      </c>
      <c r="FR397">
        <f t="shared" si="379"/>
        <v>0</v>
      </c>
      <c r="FS397">
        <v>0</v>
      </c>
      <c r="FT397" t="s">
        <v>22</v>
      </c>
      <c r="FU397" t="s">
        <v>23</v>
      </c>
      <c r="FX397">
        <v>115.2</v>
      </c>
      <c r="FY397">
        <v>70.55</v>
      </c>
      <c r="GA397" t="s">
        <v>6</v>
      </c>
      <c r="GD397">
        <v>0</v>
      </c>
      <c r="GF397">
        <v>-1238824711</v>
      </c>
      <c r="GG397">
        <v>1</v>
      </c>
      <c r="GH397">
        <v>1</v>
      </c>
      <c r="GI397">
        <v>4</v>
      </c>
      <c r="GJ397">
        <v>0</v>
      </c>
      <c r="GK397">
        <f>ROUND(R397*(R12)/100,2)</f>
        <v>0</v>
      </c>
      <c r="GL397">
        <f t="shared" si="380"/>
        <v>0</v>
      </c>
      <c r="GM397">
        <f t="shared" si="381"/>
        <v>2401.21</v>
      </c>
      <c r="GN397">
        <f t="shared" si="382"/>
        <v>2401.21</v>
      </c>
      <c r="GO397">
        <f t="shared" si="383"/>
        <v>0</v>
      </c>
      <c r="GP397">
        <f t="shared" si="384"/>
        <v>0</v>
      </c>
      <c r="GR397">
        <v>0</v>
      </c>
      <c r="GS397">
        <v>3</v>
      </c>
      <c r="GT397">
        <v>0</v>
      </c>
      <c r="GU397" t="s">
        <v>6</v>
      </c>
      <c r="GV397">
        <f t="shared" si="385"/>
        <v>0</v>
      </c>
      <c r="GW397">
        <v>1</v>
      </c>
      <c r="GX397">
        <f t="shared" si="386"/>
        <v>0</v>
      </c>
      <c r="HA397">
        <v>0</v>
      </c>
      <c r="HB397">
        <v>0</v>
      </c>
      <c r="HC397">
        <f t="shared" si="387"/>
        <v>0</v>
      </c>
      <c r="IK397">
        <v>0</v>
      </c>
    </row>
    <row r="398" spans="1:245" x14ac:dyDescent="0.2">
      <c r="A398">
        <v>17</v>
      </c>
      <c r="B398">
        <v>1</v>
      </c>
      <c r="C398">
        <f>ROW(SmtRes!A802)</f>
        <v>802</v>
      </c>
      <c r="D398">
        <f>ROW(EtalonRes!A811)</f>
        <v>811</v>
      </c>
      <c r="E398" t="s">
        <v>1015</v>
      </c>
      <c r="F398" t="s">
        <v>1016</v>
      </c>
      <c r="G398" t="s">
        <v>1017</v>
      </c>
      <c r="H398" t="s">
        <v>57</v>
      </c>
      <c r="I398">
        <f>ROUND(28.6/100,9)</f>
        <v>0.28599999999999998</v>
      </c>
      <c r="J398">
        <v>0</v>
      </c>
      <c r="O398">
        <f t="shared" si="354"/>
        <v>5693.71</v>
      </c>
      <c r="P398">
        <f t="shared" si="355"/>
        <v>84.38</v>
      </c>
      <c r="Q398">
        <f t="shared" si="356"/>
        <v>2128.27</v>
      </c>
      <c r="R398">
        <f t="shared" si="357"/>
        <v>288.70999999999998</v>
      </c>
      <c r="S398">
        <f t="shared" si="358"/>
        <v>3481.06</v>
      </c>
      <c r="T398">
        <f t="shared" si="359"/>
        <v>0</v>
      </c>
      <c r="U398">
        <f t="shared" si="360"/>
        <v>49.216595999999988</v>
      </c>
      <c r="V398">
        <f t="shared" si="361"/>
        <v>3.0101499999999999</v>
      </c>
      <c r="W398">
        <f t="shared" si="362"/>
        <v>0</v>
      </c>
      <c r="X398">
        <f t="shared" si="363"/>
        <v>4335.24</v>
      </c>
      <c r="Y398">
        <f t="shared" si="364"/>
        <v>2676.54</v>
      </c>
      <c r="AA398">
        <v>16630606</v>
      </c>
      <c r="AB398">
        <f t="shared" si="365"/>
        <v>2792.16</v>
      </c>
      <c r="AC398">
        <f t="shared" si="388"/>
        <v>41.38</v>
      </c>
      <c r="AD398">
        <f>ROUND(((((ET398*1.25))-((EU398*1.25)))+AE398),2)</f>
        <v>1043.69</v>
      </c>
      <c r="AE398">
        <f>ROUND(((EU398*1.25)),2)</f>
        <v>141.58000000000001</v>
      </c>
      <c r="AF398">
        <f>ROUND(((EV398*1.15)),2)</f>
        <v>1707.09</v>
      </c>
      <c r="AG398">
        <f t="shared" si="366"/>
        <v>0</v>
      </c>
      <c r="AH398">
        <f>((EW398*1.15))</f>
        <v>172.08599999999998</v>
      </c>
      <c r="AI398">
        <f>((EX398*1.25))</f>
        <v>10.525</v>
      </c>
      <c r="AJ398">
        <f t="shared" si="367"/>
        <v>0</v>
      </c>
      <c r="AK398">
        <v>2360.7600000000002</v>
      </c>
      <c r="AL398">
        <v>41.38</v>
      </c>
      <c r="AM398">
        <v>834.95</v>
      </c>
      <c r="AN398">
        <v>113.26</v>
      </c>
      <c r="AO398">
        <v>1484.43</v>
      </c>
      <c r="AP398">
        <v>0</v>
      </c>
      <c r="AQ398">
        <v>149.63999999999999</v>
      </c>
      <c r="AR398">
        <v>8.42</v>
      </c>
      <c r="AS398">
        <v>0</v>
      </c>
      <c r="AT398">
        <v>115</v>
      </c>
      <c r="AU398">
        <v>71</v>
      </c>
      <c r="AV398">
        <v>1</v>
      </c>
      <c r="AW398">
        <v>1</v>
      </c>
      <c r="AZ398">
        <v>7.13</v>
      </c>
      <c r="BA398">
        <v>7.13</v>
      </c>
      <c r="BB398">
        <v>7.13</v>
      </c>
      <c r="BC398">
        <v>7.13</v>
      </c>
      <c r="BD398" t="s">
        <v>6</v>
      </c>
      <c r="BE398" t="s">
        <v>6</v>
      </c>
      <c r="BF398" t="s">
        <v>6</v>
      </c>
      <c r="BG398" t="s">
        <v>6</v>
      </c>
      <c r="BH398">
        <v>0</v>
      </c>
      <c r="BI398">
        <v>1</v>
      </c>
      <c r="BJ398" t="s">
        <v>1018</v>
      </c>
      <c r="BM398">
        <v>16001</v>
      </c>
      <c r="BN398">
        <v>0</v>
      </c>
      <c r="BO398" t="s">
        <v>6</v>
      </c>
      <c r="BP398">
        <v>0</v>
      </c>
      <c r="BQ398">
        <v>2</v>
      </c>
      <c r="BR398">
        <v>0</v>
      </c>
      <c r="BS398">
        <v>7.13</v>
      </c>
      <c r="BT398">
        <v>1</v>
      </c>
      <c r="BU398">
        <v>1</v>
      </c>
      <c r="BV398">
        <v>1</v>
      </c>
      <c r="BW398">
        <v>1</v>
      </c>
      <c r="BX398">
        <v>1</v>
      </c>
      <c r="BY398" t="s">
        <v>6</v>
      </c>
      <c r="BZ398">
        <v>128</v>
      </c>
      <c r="CA398">
        <v>83</v>
      </c>
      <c r="CE398">
        <v>0</v>
      </c>
      <c r="CF398">
        <v>0</v>
      </c>
      <c r="CG398">
        <v>0</v>
      </c>
      <c r="CM398">
        <v>0</v>
      </c>
      <c r="CN398" t="s">
        <v>1758</v>
      </c>
      <c r="CO398">
        <v>0</v>
      </c>
      <c r="CP398">
        <f t="shared" si="368"/>
        <v>5693.71</v>
      </c>
      <c r="CQ398">
        <f t="shared" si="369"/>
        <v>295.0394</v>
      </c>
      <c r="CR398">
        <f t="shared" si="370"/>
        <v>7441.5097000000005</v>
      </c>
      <c r="CS398">
        <f t="shared" si="371"/>
        <v>1009.4654</v>
      </c>
      <c r="CT398">
        <f t="shared" si="372"/>
        <v>12171.5517</v>
      </c>
      <c r="CU398">
        <f t="shared" si="373"/>
        <v>0</v>
      </c>
      <c r="CV398">
        <f t="shared" si="374"/>
        <v>172.08599999999998</v>
      </c>
      <c r="CW398">
        <f t="shared" si="375"/>
        <v>10.525</v>
      </c>
      <c r="CX398">
        <f t="shared" si="376"/>
        <v>0</v>
      </c>
      <c r="CY398">
        <f t="shared" si="377"/>
        <v>4335.2354999999998</v>
      </c>
      <c r="CZ398">
        <f t="shared" si="378"/>
        <v>2676.5366999999997</v>
      </c>
      <c r="DC398" t="s">
        <v>6</v>
      </c>
      <c r="DD398" t="s">
        <v>6</v>
      </c>
      <c r="DE398" t="s">
        <v>81</v>
      </c>
      <c r="DF398" t="s">
        <v>81</v>
      </c>
      <c r="DG398" t="s">
        <v>82</v>
      </c>
      <c r="DH398" t="s">
        <v>6</v>
      </c>
      <c r="DI398" t="s">
        <v>82</v>
      </c>
      <c r="DJ398" t="s">
        <v>81</v>
      </c>
      <c r="DK398" t="s">
        <v>6</v>
      </c>
      <c r="DL398" t="s">
        <v>6</v>
      </c>
      <c r="DM398" t="s">
        <v>6</v>
      </c>
      <c r="DN398">
        <v>0</v>
      </c>
      <c r="DO398">
        <v>0</v>
      </c>
      <c r="DP398">
        <v>1</v>
      </c>
      <c r="DQ398">
        <v>1</v>
      </c>
      <c r="DU398">
        <v>1003</v>
      </c>
      <c r="DV398" t="s">
        <v>57</v>
      </c>
      <c r="DW398" t="s">
        <v>57</v>
      </c>
      <c r="DX398">
        <v>100</v>
      </c>
      <c r="EE398">
        <v>16609131</v>
      </c>
      <c r="EF398">
        <v>2</v>
      </c>
      <c r="EG398" t="s">
        <v>14</v>
      </c>
      <c r="EH398">
        <v>0</v>
      </c>
      <c r="EI398" t="s">
        <v>6</v>
      </c>
      <c r="EJ398">
        <v>1</v>
      </c>
      <c r="EK398">
        <v>16001</v>
      </c>
      <c r="EL398" t="s">
        <v>730</v>
      </c>
      <c r="EM398" t="s">
        <v>731</v>
      </c>
      <c r="EO398" t="s">
        <v>83</v>
      </c>
      <c r="EQ398">
        <v>131072</v>
      </c>
      <c r="ER398">
        <v>2360.7600000000002</v>
      </c>
      <c r="ES398">
        <v>41.38</v>
      </c>
      <c r="ET398">
        <v>834.95</v>
      </c>
      <c r="EU398">
        <v>113.26</v>
      </c>
      <c r="EV398">
        <v>1484.43</v>
      </c>
      <c r="EW398">
        <v>149.63999999999999</v>
      </c>
      <c r="EX398">
        <v>8.42</v>
      </c>
      <c r="EY398">
        <v>0</v>
      </c>
      <c r="FQ398">
        <v>0</v>
      </c>
      <c r="FR398">
        <f t="shared" si="379"/>
        <v>0</v>
      </c>
      <c r="FS398">
        <v>0</v>
      </c>
      <c r="FT398" t="s">
        <v>22</v>
      </c>
      <c r="FU398" t="s">
        <v>23</v>
      </c>
      <c r="FX398">
        <v>115.2</v>
      </c>
      <c r="FY398">
        <v>70.55</v>
      </c>
      <c r="GA398" t="s">
        <v>6</v>
      </c>
      <c r="GD398">
        <v>0</v>
      </c>
      <c r="GF398">
        <v>-1128460993</v>
      </c>
      <c r="GG398">
        <v>1</v>
      </c>
      <c r="GH398">
        <v>1</v>
      </c>
      <c r="GI398">
        <v>4</v>
      </c>
      <c r="GJ398">
        <v>0</v>
      </c>
      <c r="GK398">
        <f>ROUND(R398*(R12)/100,2)</f>
        <v>0</v>
      </c>
      <c r="GL398">
        <f t="shared" si="380"/>
        <v>0</v>
      </c>
      <c r="GM398">
        <f t="shared" si="381"/>
        <v>12705.49</v>
      </c>
      <c r="GN398">
        <f t="shared" si="382"/>
        <v>12705.49</v>
      </c>
      <c r="GO398">
        <f t="shared" si="383"/>
        <v>0</v>
      </c>
      <c r="GP398">
        <f t="shared" si="384"/>
        <v>0</v>
      </c>
      <c r="GR398">
        <v>0</v>
      </c>
      <c r="GS398">
        <v>3</v>
      </c>
      <c r="GT398">
        <v>0</v>
      </c>
      <c r="GU398" t="s">
        <v>6</v>
      </c>
      <c r="GV398">
        <f t="shared" si="385"/>
        <v>0</v>
      </c>
      <c r="GW398">
        <v>1</v>
      </c>
      <c r="GX398">
        <f t="shared" si="386"/>
        <v>0</v>
      </c>
      <c r="HA398">
        <v>0</v>
      </c>
      <c r="HB398">
        <v>0</v>
      </c>
      <c r="HC398">
        <f t="shared" si="387"/>
        <v>0</v>
      </c>
      <c r="IK398">
        <v>0</v>
      </c>
    </row>
    <row r="399" spans="1:245" x14ac:dyDescent="0.2">
      <c r="A399">
        <v>18</v>
      </c>
      <c r="B399">
        <v>1</v>
      </c>
      <c r="C399">
        <v>801</v>
      </c>
      <c r="E399" t="s">
        <v>1019</v>
      </c>
      <c r="F399" t="s">
        <v>1020</v>
      </c>
      <c r="G399" t="s">
        <v>1021</v>
      </c>
      <c r="H399" t="s">
        <v>616</v>
      </c>
      <c r="I399">
        <f>I398*J399</f>
        <v>0.2</v>
      </c>
      <c r="J399">
        <v>0.69930069930069938</v>
      </c>
      <c r="O399">
        <f t="shared" si="354"/>
        <v>83.14</v>
      </c>
      <c r="P399">
        <f t="shared" si="355"/>
        <v>83.14</v>
      </c>
      <c r="Q399">
        <f t="shared" si="356"/>
        <v>0</v>
      </c>
      <c r="R399">
        <f t="shared" si="357"/>
        <v>0</v>
      </c>
      <c r="S399">
        <f t="shared" si="358"/>
        <v>0</v>
      </c>
      <c r="T399">
        <f t="shared" si="359"/>
        <v>0</v>
      </c>
      <c r="U399">
        <f t="shared" si="360"/>
        <v>0</v>
      </c>
      <c r="V399">
        <f t="shared" si="361"/>
        <v>0</v>
      </c>
      <c r="W399">
        <f t="shared" si="362"/>
        <v>0</v>
      </c>
      <c r="X399">
        <f t="shared" si="363"/>
        <v>0</v>
      </c>
      <c r="Y399">
        <f t="shared" si="364"/>
        <v>0</v>
      </c>
      <c r="AA399">
        <v>16630606</v>
      </c>
      <c r="AB399">
        <f t="shared" si="365"/>
        <v>58.3</v>
      </c>
      <c r="AC399">
        <f t="shared" si="388"/>
        <v>58.3</v>
      </c>
      <c r="AD399">
        <f>ROUND((((ET399)-(EU399))+AE399),2)</f>
        <v>0</v>
      </c>
      <c r="AE399">
        <f>ROUND((EU399),2)</f>
        <v>0</v>
      </c>
      <c r="AF399">
        <f>ROUND((EV399),2)</f>
        <v>0</v>
      </c>
      <c r="AG399">
        <f t="shared" si="366"/>
        <v>0</v>
      </c>
      <c r="AH399">
        <f>(EW399)</f>
        <v>0</v>
      </c>
      <c r="AI399">
        <f>(EX399)</f>
        <v>0</v>
      </c>
      <c r="AJ399">
        <f t="shared" si="367"/>
        <v>0</v>
      </c>
      <c r="AK399">
        <v>58.3</v>
      </c>
      <c r="AL399">
        <v>58.3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115</v>
      </c>
      <c r="AU399">
        <v>71</v>
      </c>
      <c r="AV399">
        <v>1</v>
      </c>
      <c r="AW399">
        <v>1</v>
      </c>
      <c r="AZ399">
        <v>7.13</v>
      </c>
      <c r="BA399">
        <v>1</v>
      </c>
      <c r="BB399">
        <v>1</v>
      </c>
      <c r="BC399">
        <v>7.13</v>
      </c>
      <c r="BD399" t="s">
        <v>6</v>
      </c>
      <c r="BE399" t="s">
        <v>6</v>
      </c>
      <c r="BF399" t="s">
        <v>6</v>
      </c>
      <c r="BG399" t="s">
        <v>6</v>
      </c>
      <c r="BH399">
        <v>3</v>
      </c>
      <c r="BI399">
        <v>1</v>
      </c>
      <c r="BJ399" t="s">
        <v>1022</v>
      </c>
      <c r="BM399">
        <v>16001</v>
      </c>
      <c r="BN399">
        <v>0</v>
      </c>
      <c r="BO399" t="s">
        <v>6</v>
      </c>
      <c r="BP399">
        <v>0</v>
      </c>
      <c r="BQ399">
        <v>2</v>
      </c>
      <c r="BR399">
        <v>0</v>
      </c>
      <c r="BS399">
        <v>1</v>
      </c>
      <c r="BT399">
        <v>1</v>
      </c>
      <c r="BU399">
        <v>1</v>
      </c>
      <c r="BV399">
        <v>1</v>
      </c>
      <c r="BW399">
        <v>1</v>
      </c>
      <c r="BX399">
        <v>1</v>
      </c>
      <c r="BY399" t="s">
        <v>6</v>
      </c>
      <c r="BZ399">
        <v>128</v>
      </c>
      <c r="CA399">
        <v>83</v>
      </c>
      <c r="CE399">
        <v>0</v>
      </c>
      <c r="CF399">
        <v>0</v>
      </c>
      <c r="CG399">
        <v>0</v>
      </c>
      <c r="CM399">
        <v>0</v>
      </c>
      <c r="CN399" t="s">
        <v>6</v>
      </c>
      <c r="CO399">
        <v>0</v>
      </c>
      <c r="CP399">
        <f t="shared" si="368"/>
        <v>83.14</v>
      </c>
      <c r="CQ399">
        <f t="shared" si="369"/>
        <v>415.67899999999997</v>
      </c>
      <c r="CR399">
        <f t="shared" si="370"/>
        <v>0</v>
      </c>
      <c r="CS399">
        <f t="shared" si="371"/>
        <v>0</v>
      </c>
      <c r="CT399">
        <f t="shared" si="372"/>
        <v>0</v>
      </c>
      <c r="CU399">
        <f t="shared" si="373"/>
        <v>0</v>
      </c>
      <c r="CV399">
        <f t="shared" si="374"/>
        <v>0</v>
      </c>
      <c r="CW399">
        <f t="shared" si="375"/>
        <v>0</v>
      </c>
      <c r="CX399">
        <f t="shared" si="376"/>
        <v>0</v>
      </c>
      <c r="CY399">
        <f t="shared" si="377"/>
        <v>0</v>
      </c>
      <c r="CZ399">
        <f t="shared" si="378"/>
        <v>0</v>
      </c>
      <c r="DC399" t="s">
        <v>6</v>
      </c>
      <c r="DD399" t="s">
        <v>6</v>
      </c>
      <c r="DE399" t="s">
        <v>6</v>
      </c>
      <c r="DF399" t="s">
        <v>6</v>
      </c>
      <c r="DG399" t="s">
        <v>6</v>
      </c>
      <c r="DH399" t="s">
        <v>6</v>
      </c>
      <c r="DI399" t="s">
        <v>6</v>
      </c>
      <c r="DJ399" t="s">
        <v>6</v>
      </c>
      <c r="DK399" t="s">
        <v>6</v>
      </c>
      <c r="DL399" t="s">
        <v>6</v>
      </c>
      <c r="DM399" t="s">
        <v>6</v>
      </c>
      <c r="DN399">
        <v>0</v>
      </c>
      <c r="DO399">
        <v>0</v>
      </c>
      <c r="DP399">
        <v>1</v>
      </c>
      <c r="DQ399">
        <v>1</v>
      </c>
      <c r="DU399">
        <v>1010</v>
      </c>
      <c r="DV399" t="s">
        <v>616</v>
      </c>
      <c r="DW399" t="s">
        <v>616</v>
      </c>
      <c r="DX399">
        <v>10</v>
      </c>
      <c r="EE399">
        <v>16609131</v>
      </c>
      <c r="EF399">
        <v>2</v>
      </c>
      <c r="EG399" t="s">
        <v>14</v>
      </c>
      <c r="EH399">
        <v>0</v>
      </c>
      <c r="EI399" t="s">
        <v>6</v>
      </c>
      <c r="EJ399">
        <v>1</v>
      </c>
      <c r="EK399">
        <v>16001</v>
      </c>
      <c r="EL399" t="s">
        <v>730</v>
      </c>
      <c r="EM399" t="s">
        <v>731</v>
      </c>
      <c r="EO399" t="s">
        <v>6</v>
      </c>
      <c r="EQ399">
        <v>0</v>
      </c>
      <c r="ER399">
        <v>58.3</v>
      </c>
      <c r="ES399">
        <v>58.3</v>
      </c>
      <c r="ET399">
        <v>0</v>
      </c>
      <c r="EU399">
        <v>0</v>
      </c>
      <c r="EV399">
        <v>0</v>
      </c>
      <c r="EW399">
        <v>0</v>
      </c>
      <c r="EX399">
        <v>0</v>
      </c>
      <c r="FQ399">
        <v>0</v>
      </c>
      <c r="FR399">
        <f t="shared" si="379"/>
        <v>0</v>
      </c>
      <c r="FS399">
        <v>0</v>
      </c>
      <c r="FT399" t="s">
        <v>22</v>
      </c>
      <c r="FU399" t="s">
        <v>23</v>
      </c>
      <c r="FX399">
        <v>115.2</v>
      </c>
      <c r="FY399">
        <v>70.55</v>
      </c>
      <c r="GA399" t="s">
        <v>6</v>
      </c>
      <c r="GD399">
        <v>0</v>
      </c>
      <c r="GF399">
        <v>-1191253957</v>
      </c>
      <c r="GG399">
        <v>1</v>
      </c>
      <c r="GH399">
        <v>1</v>
      </c>
      <c r="GI399">
        <v>4</v>
      </c>
      <c r="GJ399">
        <v>0</v>
      </c>
      <c r="GK399">
        <f>ROUND(R399*(R12)/100,2)</f>
        <v>0</v>
      </c>
      <c r="GL399">
        <f t="shared" si="380"/>
        <v>0</v>
      </c>
      <c r="GM399">
        <f t="shared" si="381"/>
        <v>83.14</v>
      </c>
      <c r="GN399">
        <f t="shared" si="382"/>
        <v>83.14</v>
      </c>
      <c r="GO399">
        <f t="shared" si="383"/>
        <v>0</v>
      </c>
      <c r="GP399">
        <f t="shared" si="384"/>
        <v>0</v>
      </c>
      <c r="GR399">
        <v>0</v>
      </c>
      <c r="GS399">
        <v>3</v>
      </c>
      <c r="GT399">
        <v>0</v>
      </c>
      <c r="GU399" t="s">
        <v>6</v>
      </c>
      <c r="GV399">
        <f t="shared" si="385"/>
        <v>0</v>
      </c>
      <c r="GW399">
        <v>1</v>
      </c>
      <c r="GX399">
        <f t="shared" si="386"/>
        <v>0</v>
      </c>
      <c r="HA399">
        <v>0</v>
      </c>
      <c r="HB399">
        <v>0</v>
      </c>
      <c r="HC399">
        <f t="shared" si="387"/>
        <v>0</v>
      </c>
      <c r="IK399">
        <v>0</v>
      </c>
    </row>
    <row r="400" spans="1:245" x14ac:dyDescent="0.2">
      <c r="A400">
        <v>18</v>
      </c>
      <c r="B400">
        <v>1</v>
      </c>
      <c r="C400">
        <v>802</v>
      </c>
      <c r="E400" t="s">
        <v>1023</v>
      </c>
      <c r="F400" t="s">
        <v>1024</v>
      </c>
      <c r="G400" t="s">
        <v>1025</v>
      </c>
      <c r="H400" t="s">
        <v>150</v>
      </c>
      <c r="I400">
        <f>I398*J400</f>
        <v>28.6</v>
      </c>
      <c r="J400">
        <v>100.00000000000001</v>
      </c>
      <c r="O400">
        <f t="shared" si="354"/>
        <v>2852.81</v>
      </c>
      <c r="P400">
        <f t="shared" si="355"/>
        <v>2852.81</v>
      </c>
      <c r="Q400">
        <f t="shared" si="356"/>
        <v>0</v>
      </c>
      <c r="R400">
        <f t="shared" si="357"/>
        <v>0</v>
      </c>
      <c r="S400">
        <f t="shared" si="358"/>
        <v>0</v>
      </c>
      <c r="T400">
        <f t="shared" si="359"/>
        <v>0</v>
      </c>
      <c r="U400">
        <f t="shared" si="360"/>
        <v>0</v>
      </c>
      <c r="V400">
        <f t="shared" si="361"/>
        <v>0</v>
      </c>
      <c r="W400">
        <f t="shared" si="362"/>
        <v>0</v>
      </c>
      <c r="X400">
        <f t="shared" si="363"/>
        <v>0</v>
      </c>
      <c r="Y400">
        <f t="shared" si="364"/>
        <v>0</v>
      </c>
      <c r="AA400">
        <v>16630606</v>
      </c>
      <c r="AB400">
        <f t="shared" si="365"/>
        <v>13.99</v>
      </c>
      <c r="AC400">
        <f t="shared" si="388"/>
        <v>13.99</v>
      </c>
      <c r="AD400">
        <f>ROUND((((ET400)-(EU400))+AE400),2)</f>
        <v>0</v>
      </c>
      <c r="AE400">
        <f>ROUND((EU400),2)</f>
        <v>0</v>
      </c>
      <c r="AF400">
        <f>ROUND((EV400),2)</f>
        <v>0</v>
      </c>
      <c r="AG400">
        <f t="shared" si="366"/>
        <v>0</v>
      </c>
      <c r="AH400">
        <f>(EW400)</f>
        <v>0</v>
      </c>
      <c r="AI400">
        <f>(EX400)</f>
        <v>0</v>
      </c>
      <c r="AJ400">
        <f t="shared" si="367"/>
        <v>0</v>
      </c>
      <c r="AK400">
        <v>13.99</v>
      </c>
      <c r="AL400">
        <v>13.99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115</v>
      </c>
      <c r="AU400">
        <v>71</v>
      </c>
      <c r="AV400">
        <v>1</v>
      </c>
      <c r="AW400">
        <v>1</v>
      </c>
      <c r="AZ400">
        <v>7.13</v>
      </c>
      <c r="BA400">
        <v>1</v>
      </c>
      <c r="BB400">
        <v>1</v>
      </c>
      <c r="BC400">
        <v>7.13</v>
      </c>
      <c r="BD400" t="s">
        <v>6</v>
      </c>
      <c r="BE400" t="s">
        <v>6</v>
      </c>
      <c r="BF400" t="s">
        <v>6</v>
      </c>
      <c r="BG400" t="s">
        <v>6</v>
      </c>
      <c r="BH400">
        <v>3</v>
      </c>
      <c r="BI400">
        <v>1</v>
      </c>
      <c r="BJ400" t="s">
        <v>1026</v>
      </c>
      <c r="BM400">
        <v>16001</v>
      </c>
      <c r="BN400">
        <v>0</v>
      </c>
      <c r="BO400" t="s">
        <v>6</v>
      </c>
      <c r="BP400">
        <v>0</v>
      </c>
      <c r="BQ400">
        <v>2</v>
      </c>
      <c r="BR400">
        <v>0</v>
      </c>
      <c r="BS400">
        <v>1</v>
      </c>
      <c r="BT400">
        <v>1</v>
      </c>
      <c r="BU400">
        <v>1</v>
      </c>
      <c r="BV400">
        <v>1</v>
      </c>
      <c r="BW400">
        <v>1</v>
      </c>
      <c r="BX400">
        <v>1</v>
      </c>
      <c r="BY400" t="s">
        <v>6</v>
      </c>
      <c r="BZ400">
        <v>128</v>
      </c>
      <c r="CA400">
        <v>83</v>
      </c>
      <c r="CE400">
        <v>0</v>
      </c>
      <c r="CF400">
        <v>0</v>
      </c>
      <c r="CG400">
        <v>0</v>
      </c>
      <c r="CM400">
        <v>0</v>
      </c>
      <c r="CN400" t="s">
        <v>6</v>
      </c>
      <c r="CO400">
        <v>0</v>
      </c>
      <c r="CP400">
        <f t="shared" si="368"/>
        <v>2852.81</v>
      </c>
      <c r="CQ400">
        <f t="shared" si="369"/>
        <v>99.748699999999999</v>
      </c>
      <c r="CR400">
        <f t="shared" si="370"/>
        <v>0</v>
      </c>
      <c r="CS400">
        <f t="shared" si="371"/>
        <v>0</v>
      </c>
      <c r="CT400">
        <f t="shared" si="372"/>
        <v>0</v>
      </c>
      <c r="CU400">
        <f t="shared" si="373"/>
        <v>0</v>
      </c>
      <c r="CV400">
        <f t="shared" si="374"/>
        <v>0</v>
      </c>
      <c r="CW400">
        <f t="shared" si="375"/>
        <v>0</v>
      </c>
      <c r="CX400">
        <f t="shared" si="376"/>
        <v>0</v>
      </c>
      <c r="CY400">
        <f t="shared" si="377"/>
        <v>0</v>
      </c>
      <c r="CZ400">
        <f t="shared" si="378"/>
        <v>0</v>
      </c>
      <c r="DC400" t="s">
        <v>6</v>
      </c>
      <c r="DD400" t="s">
        <v>6</v>
      </c>
      <c r="DE400" t="s">
        <v>6</v>
      </c>
      <c r="DF400" t="s">
        <v>6</v>
      </c>
      <c r="DG400" t="s">
        <v>6</v>
      </c>
      <c r="DH400" t="s">
        <v>6</v>
      </c>
      <c r="DI400" t="s">
        <v>6</v>
      </c>
      <c r="DJ400" t="s">
        <v>6</v>
      </c>
      <c r="DK400" t="s">
        <v>6</v>
      </c>
      <c r="DL400" t="s">
        <v>6</v>
      </c>
      <c r="DM400" t="s">
        <v>6</v>
      </c>
      <c r="DN400">
        <v>0</v>
      </c>
      <c r="DO400">
        <v>0</v>
      </c>
      <c r="DP400">
        <v>1</v>
      </c>
      <c r="DQ400">
        <v>1</v>
      </c>
      <c r="DU400">
        <v>1003</v>
      </c>
      <c r="DV400" t="s">
        <v>150</v>
      </c>
      <c r="DW400" t="s">
        <v>150</v>
      </c>
      <c r="DX400">
        <v>1</v>
      </c>
      <c r="EE400">
        <v>16609131</v>
      </c>
      <c r="EF400">
        <v>2</v>
      </c>
      <c r="EG400" t="s">
        <v>14</v>
      </c>
      <c r="EH400">
        <v>0</v>
      </c>
      <c r="EI400" t="s">
        <v>6</v>
      </c>
      <c r="EJ400">
        <v>1</v>
      </c>
      <c r="EK400">
        <v>16001</v>
      </c>
      <c r="EL400" t="s">
        <v>730</v>
      </c>
      <c r="EM400" t="s">
        <v>731</v>
      </c>
      <c r="EO400" t="s">
        <v>6</v>
      </c>
      <c r="EQ400">
        <v>0</v>
      </c>
      <c r="ER400">
        <v>13.99</v>
      </c>
      <c r="ES400">
        <v>13.99</v>
      </c>
      <c r="ET400">
        <v>0</v>
      </c>
      <c r="EU400">
        <v>0</v>
      </c>
      <c r="EV400">
        <v>0</v>
      </c>
      <c r="EW400">
        <v>0</v>
      </c>
      <c r="EX400">
        <v>0</v>
      </c>
      <c r="FQ400">
        <v>0</v>
      </c>
      <c r="FR400">
        <f t="shared" si="379"/>
        <v>0</v>
      </c>
      <c r="FS400">
        <v>0</v>
      </c>
      <c r="FT400" t="s">
        <v>22</v>
      </c>
      <c r="FU400" t="s">
        <v>23</v>
      </c>
      <c r="FX400">
        <v>115.2</v>
      </c>
      <c r="FY400">
        <v>70.55</v>
      </c>
      <c r="GA400" t="s">
        <v>6</v>
      </c>
      <c r="GD400">
        <v>0</v>
      </c>
      <c r="GF400">
        <v>-687979676</v>
      </c>
      <c r="GG400">
        <v>1</v>
      </c>
      <c r="GH400">
        <v>1</v>
      </c>
      <c r="GI400">
        <v>4</v>
      </c>
      <c r="GJ400">
        <v>0</v>
      </c>
      <c r="GK400">
        <f>ROUND(R400*(R12)/100,2)</f>
        <v>0</v>
      </c>
      <c r="GL400">
        <f t="shared" si="380"/>
        <v>0</v>
      </c>
      <c r="GM400">
        <f t="shared" si="381"/>
        <v>2852.81</v>
      </c>
      <c r="GN400">
        <f t="shared" si="382"/>
        <v>2852.81</v>
      </c>
      <c r="GO400">
        <f t="shared" si="383"/>
        <v>0</v>
      </c>
      <c r="GP400">
        <f t="shared" si="384"/>
        <v>0</v>
      </c>
      <c r="GR400">
        <v>0</v>
      </c>
      <c r="GS400">
        <v>3</v>
      </c>
      <c r="GT400">
        <v>0</v>
      </c>
      <c r="GU400" t="s">
        <v>6</v>
      </c>
      <c r="GV400">
        <f t="shared" si="385"/>
        <v>0</v>
      </c>
      <c r="GW400">
        <v>1</v>
      </c>
      <c r="GX400">
        <f t="shared" si="386"/>
        <v>0</v>
      </c>
      <c r="HA400">
        <v>0</v>
      </c>
      <c r="HB400">
        <v>0</v>
      </c>
      <c r="HC400">
        <f t="shared" si="387"/>
        <v>0</v>
      </c>
      <c r="IK400">
        <v>0</v>
      </c>
    </row>
    <row r="401" spans="1:245" x14ac:dyDescent="0.2">
      <c r="A401">
        <v>17</v>
      </c>
      <c r="B401">
        <v>1</v>
      </c>
      <c r="C401">
        <f>ROW(SmtRes!A816)</f>
        <v>816</v>
      </c>
      <c r="D401">
        <f>ROW(EtalonRes!A828)</f>
        <v>828</v>
      </c>
      <c r="E401" t="s">
        <v>1027</v>
      </c>
      <c r="F401" t="s">
        <v>1028</v>
      </c>
      <c r="G401" t="s">
        <v>1029</v>
      </c>
      <c r="H401" t="s">
        <v>57</v>
      </c>
      <c r="I401">
        <f>ROUND(16.3/100,9)</f>
        <v>0.16300000000000001</v>
      </c>
      <c r="J401">
        <v>0</v>
      </c>
      <c r="O401">
        <f t="shared" si="354"/>
        <v>2364.73</v>
      </c>
      <c r="P401">
        <f t="shared" si="355"/>
        <v>42.97</v>
      </c>
      <c r="Q401">
        <f t="shared" si="356"/>
        <v>706.9</v>
      </c>
      <c r="R401">
        <f t="shared" si="357"/>
        <v>96.29</v>
      </c>
      <c r="S401">
        <f t="shared" si="358"/>
        <v>1614.86</v>
      </c>
      <c r="T401">
        <f t="shared" si="359"/>
        <v>0</v>
      </c>
      <c r="U401">
        <f t="shared" si="360"/>
        <v>22.831409999999998</v>
      </c>
      <c r="V401">
        <f t="shared" si="361"/>
        <v>1.0065250000000001</v>
      </c>
      <c r="W401">
        <f t="shared" si="362"/>
        <v>0</v>
      </c>
      <c r="X401">
        <f t="shared" si="363"/>
        <v>1967.82</v>
      </c>
      <c r="Y401">
        <f t="shared" si="364"/>
        <v>1214.92</v>
      </c>
      <c r="AA401">
        <v>16630606</v>
      </c>
      <c r="AB401">
        <f t="shared" si="365"/>
        <v>2034.72</v>
      </c>
      <c r="AC401">
        <f t="shared" si="388"/>
        <v>36.97</v>
      </c>
      <c r="AD401">
        <f>ROUND(((((ET401*1.25))-((EU401*1.25)))+AE401),2)</f>
        <v>608.25</v>
      </c>
      <c r="AE401">
        <f>ROUND(((EU401*1.25)),2)</f>
        <v>82.85</v>
      </c>
      <c r="AF401">
        <f>ROUND(((EV401*1.15)),2)</f>
        <v>1389.5</v>
      </c>
      <c r="AG401">
        <f t="shared" si="366"/>
        <v>0</v>
      </c>
      <c r="AH401">
        <f>((EW401*1.15))</f>
        <v>140.07</v>
      </c>
      <c r="AI401">
        <f>((EX401*1.25))</f>
        <v>6.1750000000000007</v>
      </c>
      <c r="AJ401">
        <f t="shared" si="367"/>
        <v>0</v>
      </c>
      <c r="AK401">
        <v>1731.83</v>
      </c>
      <c r="AL401">
        <v>36.97</v>
      </c>
      <c r="AM401">
        <v>486.6</v>
      </c>
      <c r="AN401">
        <v>66.28</v>
      </c>
      <c r="AO401">
        <v>1208.26</v>
      </c>
      <c r="AP401">
        <v>0</v>
      </c>
      <c r="AQ401">
        <v>121.8</v>
      </c>
      <c r="AR401">
        <v>4.9400000000000004</v>
      </c>
      <c r="AS401">
        <v>0</v>
      </c>
      <c r="AT401">
        <v>115</v>
      </c>
      <c r="AU401">
        <v>71</v>
      </c>
      <c r="AV401">
        <v>1</v>
      </c>
      <c r="AW401">
        <v>1</v>
      </c>
      <c r="AZ401">
        <v>7.13</v>
      </c>
      <c r="BA401">
        <v>7.13</v>
      </c>
      <c r="BB401">
        <v>7.13</v>
      </c>
      <c r="BC401">
        <v>7.13</v>
      </c>
      <c r="BD401" t="s">
        <v>6</v>
      </c>
      <c r="BE401" t="s">
        <v>6</v>
      </c>
      <c r="BF401" t="s">
        <v>6</v>
      </c>
      <c r="BG401" t="s">
        <v>6</v>
      </c>
      <c r="BH401">
        <v>0</v>
      </c>
      <c r="BI401">
        <v>1</v>
      </c>
      <c r="BJ401" t="s">
        <v>1030</v>
      </c>
      <c r="BM401">
        <v>16001</v>
      </c>
      <c r="BN401">
        <v>0</v>
      </c>
      <c r="BO401" t="s">
        <v>6</v>
      </c>
      <c r="BP401">
        <v>0</v>
      </c>
      <c r="BQ401">
        <v>2</v>
      </c>
      <c r="BR401">
        <v>0</v>
      </c>
      <c r="BS401">
        <v>7.13</v>
      </c>
      <c r="BT401">
        <v>1</v>
      </c>
      <c r="BU401">
        <v>1</v>
      </c>
      <c r="BV401">
        <v>1</v>
      </c>
      <c r="BW401">
        <v>1</v>
      </c>
      <c r="BX401">
        <v>1</v>
      </c>
      <c r="BY401" t="s">
        <v>6</v>
      </c>
      <c r="BZ401">
        <v>128</v>
      </c>
      <c r="CA401">
        <v>83</v>
      </c>
      <c r="CE401">
        <v>0</v>
      </c>
      <c r="CF401">
        <v>0</v>
      </c>
      <c r="CG401">
        <v>0</v>
      </c>
      <c r="CM401">
        <v>0</v>
      </c>
      <c r="CN401" t="s">
        <v>1758</v>
      </c>
      <c r="CO401">
        <v>0</v>
      </c>
      <c r="CP401">
        <f t="shared" si="368"/>
        <v>2364.73</v>
      </c>
      <c r="CQ401">
        <f t="shared" si="369"/>
        <v>263.59609999999998</v>
      </c>
      <c r="CR401">
        <f t="shared" si="370"/>
        <v>4336.8225000000002</v>
      </c>
      <c r="CS401">
        <f t="shared" si="371"/>
        <v>590.7204999999999</v>
      </c>
      <c r="CT401">
        <f t="shared" si="372"/>
        <v>9907.1350000000002</v>
      </c>
      <c r="CU401">
        <f t="shared" si="373"/>
        <v>0</v>
      </c>
      <c r="CV401">
        <f t="shared" si="374"/>
        <v>140.07</v>
      </c>
      <c r="CW401">
        <f t="shared" si="375"/>
        <v>6.1750000000000007</v>
      </c>
      <c r="CX401">
        <f t="shared" si="376"/>
        <v>0</v>
      </c>
      <c r="CY401">
        <f t="shared" si="377"/>
        <v>1967.8224999999998</v>
      </c>
      <c r="CZ401">
        <f t="shared" si="378"/>
        <v>1214.9165</v>
      </c>
      <c r="DC401" t="s">
        <v>6</v>
      </c>
      <c r="DD401" t="s">
        <v>6</v>
      </c>
      <c r="DE401" t="s">
        <v>81</v>
      </c>
      <c r="DF401" t="s">
        <v>81</v>
      </c>
      <c r="DG401" t="s">
        <v>82</v>
      </c>
      <c r="DH401" t="s">
        <v>6</v>
      </c>
      <c r="DI401" t="s">
        <v>82</v>
      </c>
      <c r="DJ401" t="s">
        <v>81</v>
      </c>
      <c r="DK401" t="s">
        <v>6</v>
      </c>
      <c r="DL401" t="s">
        <v>6</v>
      </c>
      <c r="DM401" t="s">
        <v>6</v>
      </c>
      <c r="DN401">
        <v>0</v>
      </c>
      <c r="DO401">
        <v>0</v>
      </c>
      <c r="DP401">
        <v>1</v>
      </c>
      <c r="DQ401">
        <v>1</v>
      </c>
      <c r="DU401">
        <v>1003</v>
      </c>
      <c r="DV401" t="s">
        <v>57</v>
      </c>
      <c r="DW401" t="s">
        <v>57</v>
      </c>
      <c r="DX401">
        <v>100</v>
      </c>
      <c r="EE401">
        <v>16609131</v>
      </c>
      <c r="EF401">
        <v>2</v>
      </c>
      <c r="EG401" t="s">
        <v>14</v>
      </c>
      <c r="EH401">
        <v>0</v>
      </c>
      <c r="EI401" t="s">
        <v>6</v>
      </c>
      <c r="EJ401">
        <v>1</v>
      </c>
      <c r="EK401">
        <v>16001</v>
      </c>
      <c r="EL401" t="s">
        <v>730</v>
      </c>
      <c r="EM401" t="s">
        <v>731</v>
      </c>
      <c r="EO401" t="s">
        <v>83</v>
      </c>
      <c r="EQ401">
        <v>131072</v>
      </c>
      <c r="ER401">
        <v>1731.83</v>
      </c>
      <c r="ES401">
        <v>36.97</v>
      </c>
      <c r="ET401">
        <v>486.6</v>
      </c>
      <c r="EU401">
        <v>66.28</v>
      </c>
      <c r="EV401">
        <v>1208.26</v>
      </c>
      <c r="EW401">
        <v>121.8</v>
      </c>
      <c r="EX401">
        <v>4.9400000000000004</v>
      </c>
      <c r="EY401">
        <v>0</v>
      </c>
      <c r="FQ401">
        <v>0</v>
      </c>
      <c r="FR401">
        <f t="shared" si="379"/>
        <v>0</v>
      </c>
      <c r="FS401">
        <v>0</v>
      </c>
      <c r="FT401" t="s">
        <v>22</v>
      </c>
      <c r="FU401" t="s">
        <v>23</v>
      </c>
      <c r="FX401">
        <v>115.2</v>
      </c>
      <c r="FY401">
        <v>70.55</v>
      </c>
      <c r="GA401" t="s">
        <v>6</v>
      </c>
      <c r="GD401">
        <v>0</v>
      </c>
      <c r="GF401">
        <v>-997302241</v>
      </c>
      <c r="GG401">
        <v>1</v>
      </c>
      <c r="GH401">
        <v>1</v>
      </c>
      <c r="GI401">
        <v>4</v>
      </c>
      <c r="GJ401">
        <v>0</v>
      </c>
      <c r="GK401">
        <f>ROUND(R401*(R12)/100,2)</f>
        <v>0</v>
      </c>
      <c r="GL401">
        <f t="shared" si="380"/>
        <v>0</v>
      </c>
      <c r="GM401">
        <f t="shared" si="381"/>
        <v>5547.47</v>
      </c>
      <c r="GN401">
        <f t="shared" si="382"/>
        <v>5547.47</v>
      </c>
      <c r="GO401">
        <f t="shared" si="383"/>
        <v>0</v>
      </c>
      <c r="GP401">
        <f t="shared" si="384"/>
        <v>0</v>
      </c>
      <c r="GR401">
        <v>0</v>
      </c>
      <c r="GS401">
        <v>3</v>
      </c>
      <c r="GT401">
        <v>0</v>
      </c>
      <c r="GU401" t="s">
        <v>6</v>
      </c>
      <c r="GV401">
        <f t="shared" si="385"/>
        <v>0</v>
      </c>
      <c r="GW401">
        <v>1</v>
      </c>
      <c r="GX401">
        <f t="shared" si="386"/>
        <v>0</v>
      </c>
      <c r="HA401">
        <v>0</v>
      </c>
      <c r="HB401">
        <v>0</v>
      </c>
      <c r="HC401">
        <f t="shared" si="387"/>
        <v>0</v>
      </c>
      <c r="IK401">
        <v>0</v>
      </c>
    </row>
    <row r="402" spans="1:245" x14ac:dyDescent="0.2">
      <c r="A402">
        <v>18</v>
      </c>
      <c r="B402">
        <v>1</v>
      </c>
      <c r="C402">
        <v>815</v>
      </c>
      <c r="E402" t="s">
        <v>1031</v>
      </c>
      <c r="F402" t="s">
        <v>1032</v>
      </c>
      <c r="G402" t="s">
        <v>1033</v>
      </c>
      <c r="H402" t="s">
        <v>616</v>
      </c>
      <c r="I402">
        <f>I401*J402</f>
        <v>0.2</v>
      </c>
      <c r="J402">
        <v>1.2269938650306749</v>
      </c>
      <c r="O402">
        <f t="shared" si="354"/>
        <v>84.42</v>
      </c>
      <c r="P402">
        <f t="shared" si="355"/>
        <v>84.42</v>
      </c>
      <c r="Q402">
        <f t="shared" si="356"/>
        <v>0</v>
      </c>
      <c r="R402">
        <f t="shared" si="357"/>
        <v>0</v>
      </c>
      <c r="S402">
        <f t="shared" si="358"/>
        <v>0</v>
      </c>
      <c r="T402">
        <f t="shared" si="359"/>
        <v>0</v>
      </c>
      <c r="U402">
        <f t="shared" si="360"/>
        <v>0</v>
      </c>
      <c r="V402">
        <f t="shared" si="361"/>
        <v>0</v>
      </c>
      <c r="W402">
        <f t="shared" si="362"/>
        <v>0</v>
      </c>
      <c r="X402">
        <f t="shared" si="363"/>
        <v>0</v>
      </c>
      <c r="Y402">
        <f t="shared" si="364"/>
        <v>0</v>
      </c>
      <c r="AA402">
        <v>16630606</v>
      </c>
      <c r="AB402">
        <f t="shared" si="365"/>
        <v>59.2</v>
      </c>
      <c r="AC402">
        <f t="shared" si="388"/>
        <v>59.2</v>
      </c>
      <c r="AD402">
        <f>ROUND((((ET402)-(EU402))+AE402),2)</f>
        <v>0</v>
      </c>
      <c r="AE402">
        <f>ROUND((EU402),2)</f>
        <v>0</v>
      </c>
      <c r="AF402">
        <f>ROUND((EV402),2)</f>
        <v>0</v>
      </c>
      <c r="AG402">
        <f t="shared" si="366"/>
        <v>0</v>
      </c>
      <c r="AH402">
        <f>(EW402)</f>
        <v>0</v>
      </c>
      <c r="AI402">
        <f>(EX402)</f>
        <v>0</v>
      </c>
      <c r="AJ402">
        <f t="shared" si="367"/>
        <v>0</v>
      </c>
      <c r="AK402">
        <v>59.2</v>
      </c>
      <c r="AL402">
        <v>59.2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115</v>
      </c>
      <c r="AU402">
        <v>71</v>
      </c>
      <c r="AV402">
        <v>1</v>
      </c>
      <c r="AW402">
        <v>1</v>
      </c>
      <c r="AZ402">
        <v>7.13</v>
      </c>
      <c r="BA402">
        <v>1</v>
      </c>
      <c r="BB402">
        <v>1</v>
      </c>
      <c r="BC402">
        <v>7.13</v>
      </c>
      <c r="BD402" t="s">
        <v>6</v>
      </c>
      <c r="BE402" t="s">
        <v>6</v>
      </c>
      <c r="BF402" t="s">
        <v>6</v>
      </c>
      <c r="BG402" t="s">
        <v>6</v>
      </c>
      <c r="BH402">
        <v>3</v>
      </c>
      <c r="BI402">
        <v>1</v>
      </c>
      <c r="BJ402" t="s">
        <v>1034</v>
      </c>
      <c r="BM402">
        <v>16001</v>
      </c>
      <c r="BN402">
        <v>0</v>
      </c>
      <c r="BO402" t="s">
        <v>6</v>
      </c>
      <c r="BP402">
        <v>0</v>
      </c>
      <c r="BQ402">
        <v>2</v>
      </c>
      <c r="BR402">
        <v>0</v>
      </c>
      <c r="BS402">
        <v>1</v>
      </c>
      <c r="BT402">
        <v>1</v>
      </c>
      <c r="BU402">
        <v>1</v>
      </c>
      <c r="BV402">
        <v>1</v>
      </c>
      <c r="BW402">
        <v>1</v>
      </c>
      <c r="BX402">
        <v>1</v>
      </c>
      <c r="BY402" t="s">
        <v>6</v>
      </c>
      <c r="BZ402">
        <v>128</v>
      </c>
      <c r="CA402">
        <v>83</v>
      </c>
      <c r="CE402">
        <v>0</v>
      </c>
      <c r="CF402">
        <v>0</v>
      </c>
      <c r="CG402">
        <v>0</v>
      </c>
      <c r="CM402">
        <v>0</v>
      </c>
      <c r="CN402" t="s">
        <v>6</v>
      </c>
      <c r="CO402">
        <v>0</v>
      </c>
      <c r="CP402">
        <f t="shared" si="368"/>
        <v>84.42</v>
      </c>
      <c r="CQ402">
        <f t="shared" si="369"/>
        <v>422.096</v>
      </c>
      <c r="CR402">
        <f t="shared" si="370"/>
        <v>0</v>
      </c>
      <c r="CS402">
        <f t="shared" si="371"/>
        <v>0</v>
      </c>
      <c r="CT402">
        <f t="shared" si="372"/>
        <v>0</v>
      </c>
      <c r="CU402">
        <f t="shared" si="373"/>
        <v>0</v>
      </c>
      <c r="CV402">
        <f t="shared" si="374"/>
        <v>0</v>
      </c>
      <c r="CW402">
        <f t="shared" si="375"/>
        <v>0</v>
      </c>
      <c r="CX402">
        <f t="shared" si="376"/>
        <v>0</v>
      </c>
      <c r="CY402">
        <f t="shared" si="377"/>
        <v>0</v>
      </c>
      <c r="CZ402">
        <f t="shared" si="378"/>
        <v>0</v>
      </c>
      <c r="DC402" t="s">
        <v>6</v>
      </c>
      <c r="DD402" t="s">
        <v>6</v>
      </c>
      <c r="DE402" t="s">
        <v>6</v>
      </c>
      <c r="DF402" t="s">
        <v>6</v>
      </c>
      <c r="DG402" t="s">
        <v>6</v>
      </c>
      <c r="DH402" t="s">
        <v>6</v>
      </c>
      <c r="DI402" t="s">
        <v>6</v>
      </c>
      <c r="DJ402" t="s">
        <v>6</v>
      </c>
      <c r="DK402" t="s">
        <v>6</v>
      </c>
      <c r="DL402" t="s">
        <v>6</v>
      </c>
      <c r="DM402" t="s">
        <v>6</v>
      </c>
      <c r="DN402">
        <v>0</v>
      </c>
      <c r="DO402">
        <v>0</v>
      </c>
      <c r="DP402">
        <v>1</v>
      </c>
      <c r="DQ402">
        <v>1</v>
      </c>
      <c r="DU402">
        <v>1010</v>
      </c>
      <c r="DV402" t="s">
        <v>616</v>
      </c>
      <c r="DW402" t="s">
        <v>616</v>
      </c>
      <c r="DX402">
        <v>10</v>
      </c>
      <c r="EE402">
        <v>16609131</v>
      </c>
      <c r="EF402">
        <v>2</v>
      </c>
      <c r="EG402" t="s">
        <v>14</v>
      </c>
      <c r="EH402">
        <v>0</v>
      </c>
      <c r="EI402" t="s">
        <v>6</v>
      </c>
      <c r="EJ402">
        <v>1</v>
      </c>
      <c r="EK402">
        <v>16001</v>
      </c>
      <c r="EL402" t="s">
        <v>730</v>
      </c>
      <c r="EM402" t="s">
        <v>731</v>
      </c>
      <c r="EO402" t="s">
        <v>6</v>
      </c>
      <c r="EQ402">
        <v>0</v>
      </c>
      <c r="ER402">
        <v>59.2</v>
      </c>
      <c r="ES402">
        <v>59.2</v>
      </c>
      <c r="ET402">
        <v>0</v>
      </c>
      <c r="EU402">
        <v>0</v>
      </c>
      <c r="EV402">
        <v>0</v>
      </c>
      <c r="EW402">
        <v>0</v>
      </c>
      <c r="EX402">
        <v>0</v>
      </c>
      <c r="FQ402">
        <v>0</v>
      </c>
      <c r="FR402">
        <f t="shared" si="379"/>
        <v>0</v>
      </c>
      <c r="FS402">
        <v>0</v>
      </c>
      <c r="FT402" t="s">
        <v>22</v>
      </c>
      <c r="FU402" t="s">
        <v>23</v>
      </c>
      <c r="FX402">
        <v>115.2</v>
      </c>
      <c r="FY402">
        <v>70.55</v>
      </c>
      <c r="GA402" t="s">
        <v>6</v>
      </c>
      <c r="GD402">
        <v>0</v>
      </c>
      <c r="GF402">
        <v>98785814</v>
      </c>
      <c r="GG402">
        <v>1</v>
      </c>
      <c r="GH402">
        <v>1</v>
      </c>
      <c r="GI402">
        <v>4</v>
      </c>
      <c r="GJ402">
        <v>0</v>
      </c>
      <c r="GK402">
        <f>ROUND(R402*(R12)/100,2)</f>
        <v>0</v>
      </c>
      <c r="GL402">
        <f t="shared" si="380"/>
        <v>0</v>
      </c>
      <c r="GM402">
        <f t="shared" si="381"/>
        <v>84.42</v>
      </c>
      <c r="GN402">
        <f t="shared" si="382"/>
        <v>84.42</v>
      </c>
      <c r="GO402">
        <f t="shared" si="383"/>
        <v>0</v>
      </c>
      <c r="GP402">
        <f t="shared" si="384"/>
        <v>0</v>
      </c>
      <c r="GR402">
        <v>0</v>
      </c>
      <c r="GS402">
        <v>3</v>
      </c>
      <c r="GT402">
        <v>0</v>
      </c>
      <c r="GU402" t="s">
        <v>6</v>
      </c>
      <c r="GV402">
        <f t="shared" si="385"/>
        <v>0</v>
      </c>
      <c r="GW402">
        <v>1</v>
      </c>
      <c r="GX402">
        <f t="shared" si="386"/>
        <v>0</v>
      </c>
      <c r="HA402">
        <v>0</v>
      </c>
      <c r="HB402">
        <v>0</v>
      </c>
      <c r="HC402">
        <f t="shared" si="387"/>
        <v>0</v>
      </c>
      <c r="IK402">
        <v>0</v>
      </c>
    </row>
    <row r="403" spans="1:245" x14ac:dyDescent="0.2">
      <c r="A403">
        <v>18</v>
      </c>
      <c r="B403">
        <v>1</v>
      </c>
      <c r="C403">
        <v>816</v>
      </c>
      <c r="E403" t="s">
        <v>1035</v>
      </c>
      <c r="F403" t="s">
        <v>1036</v>
      </c>
      <c r="G403" t="s">
        <v>1037</v>
      </c>
      <c r="H403" t="s">
        <v>150</v>
      </c>
      <c r="I403">
        <f>I401*J403</f>
        <v>16.3</v>
      </c>
      <c r="J403">
        <v>100</v>
      </c>
      <c r="O403">
        <f t="shared" si="354"/>
        <v>2600.98</v>
      </c>
      <c r="P403">
        <f t="shared" si="355"/>
        <v>2600.98</v>
      </c>
      <c r="Q403">
        <f t="shared" si="356"/>
        <v>0</v>
      </c>
      <c r="R403">
        <f t="shared" si="357"/>
        <v>0</v>
      </c>
      <c r="S403">
        <f t="shared" si="358"/>
        <v>0</v>
      </c>
      <c r="T403">
        <f t="shared" si="359"/>
        <v>0</v>
      </c>
      <c r="U403">
        <f t="shared" si="360"/>
        <v>0</v>
      </c>
      <c r="V403">
        <f t="shared" si="361"/>
        <v>0</v>
      </c>
      <c r="W403">
        <f t="shared" si="362"/>
        <v>0</v>
      </c>
      <c r="X403">
        <f t="shared" si="363"/>
        <v>0</v>
      </c>
      <c r="Y403">
        <f t="shared" si="364"/>
        <v>0</v>
      </c>
      <c r="AA403">
        <v>16630606</v>
      </c>
      <c r="AB403">
        <f t="shared" si="365"/>
        <v>22.38</v>
      </c>
      <c r="AC403">
        <f t="shared" si="388"/>
        <v>22.38</v>
      </c>
      <c r="AD403">
        <f>ROUND((((ET403)-(EU403))+AE403),2)</f>
        <v>0</v>
      </c>
      <c r="AE403">
        <f>ROUND((EU403),2)</f>
        <v>0</v>
      </c>
      <c r="AF403">
        <f>ROUND((EV403),2)</f>
        <v>0</v>
      </c>
      <c r="AG403">
        <f t="shared" si="366"/>
        <v>0</v>
      </c>
      <c r="AH403">
        <f>(EW403)</f>
        <v>0</v>
      </c>
      <c r="AI403">
        <f>(EX403)</f>
        <v>0</v>
      </c>
      <c r="AJ403">
        <f t="shared" si="367"/>
        <v>0</v>
      </c>
      <c r="AK403">
        <v>22.38</v>
      </c>
      <c r="AL403">
        <v>22.38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115</v>
      </c>
      <c r="AU403">
        <v>71</v>
      </c>
      <c r="AV403">
        <v>1</v>
      </c>
      <c r="AW403">
        <v>1</v>
      </c>
      <c r="AZ403">
        <v>7.13</v>
      </c>
      <c r="BA403">
        <v>1</v>
      </c>
      <c r="BB403">
        <v>1</v>
      </c>
      <c r="BC403">
        <v>7.13</v>
      </c>
      <c r="BD403" t="s">
        <v>6</v>
      </c>
      <c r="BE403" t="s">
        <v>6</v>
      </c>
      <c r="BF403" t="s">
        <v>6</v>
      </c>
      <c r="BG403" t="s">
        <v>6</v>
      </c>
      <c r="BH403">
        <v>3</v>
      </c>
      <c r="BI403">
        <v>1</v>
      </c>
      <c r="BJ403" t="s">
        <v>1038</v>
      </c>
      <c r="BM403">
        <v>16001</v>
      </c>
      <c r="BN403">
        <v>0</v>
      </c>
      <c r="BO403" t="s">
        <v>6</v>
      </c>
      <c r="BP403">
        <v>0</v>
      </c>
      <c r="BQ403">
        <v>2</v>
      </c>
      <c r="BR403">
        <v>0</v>
      </c>
      <c r="BS403">
        <v>1</v>
      </c>
      <c r="BT403">
        <v>1</v>
      </c>
      <c r="BU403">
        <v>1</v>
      </c>
      <c r="BV403">
        <v>1</v>
      </c>
      <c r="BW403">
        <v>1</v>
      </c>
      <c r="BX403">
        <v>1</v>
      </c>
      <c r="BY403" t="s">
        <v>6</v>
      </c>
      <c r="BZ403">
        <v>128</v>
      </c>
      <c r="CA403">
        <v>83</v>
      </c>
      <c r="CE403">
        <v>0</v>
      </c>
      <c r="CF403">
        <v>0</v>
      </c>
      <c r="CG403">
        <v>0</v>
      </c>
      <c r="CM403">
        <v>0</v>
      </c>
      <c r="CN403" t="s">
        <v>6</v>
      </c>
      <c r="CO403">
        <v>0</v>
      </c>
      <c r="CP403">
        <f t="shared" si="368"/>
        <v>2600.98</v>
      </c>
      <c r="CQ403">
        <f t="shared" si="369"/>
        <v>159.5694</v>
      </c>
      <c r="CR403">
        <f t="shared" si="370"/>
        <v>0</v>
      </c>
      <c r="CS403">
        <f t="shared" si="371"/>
        <v>0</v>
      </c>
      <c r="CT403">
        <f t="shared" si="372"/>
        <v>0</v>
      </c>
      <c r="CU403">
        <f t="shared" si="373"/>
        <v>0</v>
      </c>
      <c r="CV403">
        <f t="shared" si="374"/>
        <v>0</v>
      </c>
      <c r="CW403">
        <f t="shared" si="375"/>
        <v>0</v>
      </c>
      <c r="CX403">
        <f t="shared" si="376"/>
        <v>0</v>
      </c>
      <c r="CY403">
        <f t="shared" si="377"/>
        <v>0</v>
      </c>
      <c r="CZ403">
        <f t="shared" si="378"/>
        <v>0</v>
      </c>
      <c r="DC403" t="s">
        <v>6</v>
      </c>
      <c r="DD403" t="s">
        <v>6</v>
      </c>
      <c r="DE403" t="s">
        <v>6</v>
      </c>
      <c r="DF403" t="s">
        <v>6</v>
      </c>
      <c r="DG403" t="s">
        <v>6</v>
      </c>
      <c r="DH403" t="s">
        <v>6</v>
      </c>
      <c r="DI403" t="s">
        <v>6</v>
      </c>
      <c r="DJ403" t="s">
        <v>6</v>
      </c>
      <c r="DK403" t="s">
        <v>6</v>
      </c>
      <c r="DL403" t="s">
        <v>6</v>
      </c>
      <c r="DM403" t="s">
        <v>6</v>
      </c>
      <c r="DN403">
        <v>0</v>
      </c>
      <c r="DO403">
        <v>0</v>
      </c>
      <c r="DP403">
        <v>1</v>
      </c>
      <c r="DQ403">
        <v>1</v>
      </c>
      <c r="DU403">
        <v>1003</v>
      </c>
      <c r="DV403" t="s">
        <v>150</v>
      </c>
      <c r="DW403" t="s">
        <v>150</v>
      </c>
      <c r="DX403">
        <v>1</v>
      </c>
      <c r="EE403">
        <v>16609131</v>
      </c>
      <c r="EF403">
        <v>2</v>
      </c>
      <c r="EG403" t="s">
        <v>14</v>
      </c>
      <c r="EH403">
        <v>0</v>
      </c>
      <c r="EI403" t="s">
        <v>6</v>
      </c>
      <c r="EJ403">
        <v>1</v>
      </c>
      <c r="EK403">
        <v>16001</v>
      </c>
      <c r="EL403" t="s">
        <v>730</v>
      </c>
      <c r="EM403" t="s">
        <v>731</v>
      </c>
      <c r="EO403" t="s">
        <v>6</v>
      </c>
      <c r="EQ403">
        <v>0</v>
      </c>
      <c r="ER403">
        <v>22.38</v>
      </c>
      <c r="ES403">
        <v>22.38</v>
      </c>
      <c r="ET403">
        <v>0</v>
      </c>
      <c r="EU403">
        <v>0</v>
      </c>
      <c r="EV403">
        <v>0</v>
      </c>
      <c r="EW403">
        <v>0</v>
      </c>
      <c r="EX403">
        <v>0</v>
      </c>
      <c r="FQ403">
        <v>0</v>
      </c>
      <c r="FR403">
        <f t="shared" si="379"/>
        <v>0</v>
      </c>
      <c r="FS403">
        <v>0</v>
      </c>
      <c r="FT403" t="s">
        <v>22</v>
      </c>
      <c r="FU403" t="s">
        <v>23</v>
      </c>
      <c r="FX403">
        <v>115.2</v>
      </c>
      <c r="FY403">
        <v>70.55</v>
      </c>
      <c r="GA403" t="s">
        <v>6</v>
      </c>
      <c r="GD403">
        <v>0</v>
      </c>
      <c r="GF403">
        <v>-1541844808</v>
      </c>
      <c r="GG403">
        <v>1</v>
      </c>
      <c r="GH403">
        <v>1</v>
      </c>
      <c r="GI403">
        <v>4</v>
      </c>
      <c r="GJ403">
        <v>0</v>
      </c>
      <c r="GK403">
        <f>ROUND(R403*(R12)/100,2)</f>
        <v>0</v>
      </c>
      <c r="GL403">
        <f t="shared" si="380"/>
        <v>0</v>
      </c>
      <c r="GM403">
        <f t="shared" si="381"/>
        <v>2600.98</v>
      </c>
      <c r="GN403">
        <f t="shared" si="382"/>
        <v>2600.98</v>
      </c>
      <c r="GO403">
        <f t="shared" si="383"/>
        <v>0</v>
      </c>
      <c r="GP403">
        <f t="shared" si="384"/>
        <v>0</v>
      </c>
      <c r="GR403">
        <v>0</v>
      </c>
      <c r="GS403">
        <v>3</v>
      </c>
      <c r="GT403">
        <v>0</v>
      </c>
      <c r="GU403" t="s">
        <v>6</v>
      </c>
      <c r="GV403">
        <f t="shared" si="385"/>
        <v>0</v>
      </c>
      <c r="GW403">
        <v>1</v>
      </c>
      <c r="GX403">
        <f t="shared" si="386"/>
        <v>0</v>
      </c>
      <c r="HA403">
        <v>0</v>
      </c>
      <c r="HB403">
        <v>0</v>
      </c>
      <c r="HC403">
        <f t="shared" si="387"/>
        <v>0</v>
      </c>
      <c r="IK403">
        <v>0</v>
      </c>
    </row>
    <row r="404" spans="1:245" x14ac:dyDescent="0.2">
      <c r="A404">
        <v>17</v>
      </c>
      <c r="B404">
        <v>1</v>
      </c>
      <c r="C404">
        <f>ROW(SmtRes!A825)</f>
        <v>825</v>
      </c>
      <c r="D404">
        <f>ROW(EtalonRes!A837)</f>
        <v>837</v>
      </c>
      <c r="E404" t="s">
        <v>1039</v>
      </c>
      <c r="F404" t="s">
        <v>797</v>
      </c>
      <c r="G404" t="s">
        <v>1040</v>
      </c>
      <c r="H404" t="s">
        <v>127</v>
      </c>
      <c r="I404">
        <v>28</v>
      </c>
      <c r="J404">
        <v>0</v>
      </c>
      <c r="O404">
        <f t="shared" si="354"/>
        <v>8967.82</v>
      </c>
      <c r="P404">
        <f t="shared" si="355"/>
        <v>5032.92</v>
      </c>
      <c r="Q404">
        <f t="shared" si="356"/>
        <v>874.42</v>
      </c>
      <c r="R404">
        <f t="shared" si="357"/>
        <v>29.95</v>
      </c>
      <c r="S404">
        <f t="shared" si="358"/>
        <v>3060.48</v>
      </c>
      <c r="T404">
        <f t="shared" si="359"/>
        <v>0</v>
      </c>
      <c r="U404">
        <f t="shared" si="360"/>
        <v>47.333999999999996</v>
      </c>
      <c r="V404">
        <f t="shared" si="361"/>
        <v>0.35000000000000003</v>
      </c>
      <c r="W404">
        <f t="shared" si="362"/>
        <v>0</v>
      </c>
      <c r="X404">
        <f t="shared" si="363"/>
        <v>3553.99</v>
      </c>
      <c r="Y404">
        <f t="shared" si="364"/>
        <v>2194.21</v>
      </c>
      <c r="AA404">
        <v>16630606</v>
      </c>
      <c r="AB404">
        <f t="shared" si="365"/>
        <v>44.92</v>
      </c>
      <c r="AC404">
        <f t="shared" si="388"/>
        <v>25.21</v>
      </c>
      <c r="AD404">
        <f>ROUND(((((ET404*1.25))-((EU404*1.25)))+AE404),2)</f>
        <v>4.38</v>
      </c>
      <c r="AE404">
        <f>ROUND(((EU404*1.25)),2)</f>
        <v>0.15</v>
      </c>
      <c r="AF404">
        <f>ROUND(((EV404*1.15)),2)</f>
        <v>15.33</v>
      </c>
      <c r="AG404">
        <f t="shared" si="366"/>
        <v>0</v>
      </c>
      <c r="AH404">
        <f>((EW404*1.15))</f>
        <v>1.6904999999999999</v>
      </c>
      <c r="AI404">
        <f>((EX404*1.25))</f>
        <v>1.2500000000000001E-2</v>
      </c>
      <c r="AJ404">
        <f t="shared" si="367"/>
        <v>0</v>
      </c>
      <c r="AK404">
        <v>42.04</v>
      </c>
      <c r="AL404">
        <v>25.21</v>
      </c>
      <c r="AM404">
        <v>3.5</v>
      </c>
      <c r="AN404">
        <v>0.12</v>
      </c>
      <c r="AO404">
        <v>13.33</v>
      </c>
      <c r="AP404">
        <v>0</v>
      </c>
      <c r="AQ404">
        <v>1.47</v>
      </c>
      <c r="AR404">
        <v>0.01</v>
      </c>
      <c r="AS404">
        <v>0</v>
      </c>
      <c r="AT404">
        <v>115</v>
      </c>
      <c r="AU404">
        <v>71</v>
      </c>
      <c r="AV404">
        <v>1</v>
      </c>
      <c r="AW404">
        <v>1</v>
      </c>
      <c r="AZ404">
        <v>7.13</v>
      </c>
      <c r="BA404">
        <v>7.13</v>
      </c>
      <c r="BB404">
        <v>7.13</v>
      </c>
      <c r="BC404">
        <v>7.13</v>
      </c>
      <c r="BD404" t="s">
        <v>6</v>
      </c>
      <c r="BE404" t="s">
        <v>6</v>
      </c>
      <c r="BF404" t="s">
        <v>6</v>
      </c>
      <c r="BG404" t="s">
        <v>6</v>
      </c>
      <c r="BH404">
        <v>0</v>
      </c>
      <c r="BI404">
        <v>1</v>
      </c>
      <c r="BJ404" t="s">
        <v>799</v>
      </c>
      <c r="BM404">
        <v>16001</v>
      </c>
      <c r="BN404">
        <v>0</v>
      </c>
      <c r="BO404" t="s">
        <v>6</v>
      </c>
      <c r="BP404">
        <v>0</v>
      </c>
      <c r="BQ404">
        <v>2</v>
      </c>
      <c r="BR404">
        <v>0</v>
      </c>
      <c r="BS404">
        <v>7.13</v>
      </c>
      <c r="BT404">
        <v>1</v>
      </c>
      <c r="BU404">
        <v>1</v>
      </c>
      <c r="BV404">
        <v>1</v>
      </c>
      <c r="BW404">
        <v>1</v>
      </c>
      <c r="BX404">
        <v>1</v>
      </c>
      <c r="BY404" t="s">
        <v>6</v>
      </c>
      <c r="BZ404">
        <v>128</v>
      </c>
      <c r="CA404">
        <v>83</v>
      </c>
      <c r="CE404">
        <v>0</v>
      </c>
      <c r="CF404">
        <v>0</v>
      </c>
      <c r="CG404">
        <v>0</v>
      </c>
      <c r="CM404">
        <v>0</v>
      </c>
      <c r="CN404" t="s">
        <v>1758</v>
      </c>
      <c r="CO404">
        <v>0</v>
      </c>
      <c r="CP404">
        <f t="shared" si="368"/>
        <v>8967.82</v>
      </c>
      <c r="CQ404">
        <f t="shared" si="369"/>
        <v>179.7473</v>
      </c>
      <c r="CR404">
        <f t="shared" si="370"/>
        <v>31.229399999999998</v>
      </c>
      <c r="CS404">
        <f t="shared" si="371"/>
        <v>1.0694999999999999</v>
      </c>
      <c r="CT404">
        <f t="shared" si="372"/>
        <v>109.30289999999999</v>
      </c>
      <c r="CU404">
        <f t="shared" si="373"/>
        <v>0</v>
      </c>
      <c r="CV404">
        <f t="shared" si="374"/>
        <v>1.6904999999999999</v>
      </c>
      <c r="CW404">
        <f t="shared" si="375"/>
        <v>1.2500000000000001E-2</v>
      </c>
      <c r="CX404">
        <f t="shared" si="376"/>
        <v>0</v>
      </c>
      <c r="CY404">
        <f t="shared" si="377"/>
        <v>3553.9944999999993</v>
      </c>
      <c r="CZ404">
        <f t="shared" si="378"/>
        <v>2194.2053000000001</v>
      </c>
      <c r="DC404" t="s">
        <v>6</v>
      </c>
      <c r="DD404" t="s">
        <v>6</v>
      </c>
      <c r="DE404" t="s">
        <v>81</v>
      </c>
      <c r="DF404" t="s">
        <v>81</v>
      </c>
      <c r="DG404" t="s">
        <v>82</v>
      </c>
      <c r="DH404" t="s">
        <v>6</v>
      </c>
      <c r="DI404" t="s">
        <v>82</v>
      </c>
      <c r="DJ404" t="s">
        <v>81</v>
      </c>
      <c r="DK404" t="s">
        <v>6</v>
      </c>
      <c r="DL404" t="s">
        <v>6</v>
      </c>
      <c r="DM404" t="s">
        <v>6</v>
      </c>
      <c r="DN404">
        <v>0</v>
      </c>
      <c r="DO404">
        <v>0</v>
      </c>
      <c r="DP404">
        <v>1</v>
      </c>
      <c r="DQ404">
        <v>1</v>
      </c>
      <c r="DU404">
        <v>1013</v>
      </c>
      <c r="DV404" t="s">
        <v>127</v>
      </c>
      <c r="DW404" t="s">
        <v>127</v>
      </c>
      <c r="DX404">
        <v>1</v>
      </c>
      <c r="EE404">
        <v>16609131</v>
      </c>
      <c r="EF404">
        <v>2</v>
      </c>
      <c r="EG404" t="s">
        <v>14</v>
      </c>
      <c r="EH404">
        <v>0</v>
      </c>
      <c r="EI404" t="s">
        <v>6</v>
      </c>
      <c r="EJ404">
        <v>1</v>
      </c>
      <c r="EK404">
        <v>16001</v>
      </c>
      <c r="EL404" t="s">
        <v>730</v>
      </c>
      <c r="EM404" t="s">
        <v>731</v>
      </c>
      <c r="EO404" t="s">
        <v>83</v>
      </c>
      <c r="EQ404">
        <v>131072</v>
      </c>
      <c r="ER404">
        <v>42.04</v>
      </c>
      <c r="ES404">
        <v>25.21</v>
      </c>
      <c r="ET404">
        <v>3.5</v>
      </c>
      <c r="EU404">
        <v>0.12</v>
      </c>
      <c r="EV404">
        <v>13.33</v>
      </c>
      <c r="EW404">
        <v>1.47</v>
      </c>
      <c r="EX404">
        <v>0.01</v>
      </c>
      <c r="EY404">
        <v>0</v>
      </c>
      <c r="FQ404">
        <v>0</v>
      </c>
      <c r="FR404">
        <f t="shared" si="379"/>
        <v>0</v>
      </c>
      <c r="FS404">
        <v>0</v>
      </c>
      <c r="FT404" t="s">
        <v>22</v>
      </c>
      <c r="FU404" t="s">
        <v>23</v>
      </c>
      <c r="FX404">
        <v>115.2</v>
      </c>
      <c r="FY404">
        <v>70.55</v>
      </c>
      <c r="GA404" t="s">
        <v>6</v>
      </c>
      <c r="GD404">
        <v>0</v>
      </c>
      <c r="GF404">
        <v>1420229388</v>
      </c>
      <c r="GG404">
        <v>1</v>
      </c>
      <c r="GH404">
        <v>1</v>
      </c>
      <c r="GI404">
        <v>4</v>
      </c>
      <c r="GJ404">
        <v>0</v>
      </c>
      <c r="GK404">
        <f>ROUND(R404*(R12)/100,2)</f>
        <v>0</v>
      </c>
      <c r="GL404">
        <f t="shared" si="380"/>
        <v>0</v>
      </c>
      <c r="GM404">
        <f t="shared" si="381"/>
        <v>14716.02</v>
      </c>
      <c r="GN404">
        <f t="shared" si="382"/>
        <v>14716.02</v>
      </c>
      <c r="GO404">
        <f t="shared" si="383"/>
        <v>0</v>
      </c>
      <c r="GP404">
        <f t="shared" si="384"/>
        <v>0</v>
      </c>
      <c r="GR404">
        <v>0</v>
      </c>
      <c r="GS404">
        <v>3</v>
      </c>
      <c r="GT404">
        <v>0</v>
      </c>
      <c r="GU404" t="s">
        <v>6</v>
      </c>
      <c r="GV404">
        <f t="shared" si="385"/>
        <v>0</v>
      </c>
      <c r="GW404">
        <v>1</v>
      </c>
      <c r="GX404">
        <f t="shared" si="386"/>
        <v>0</v>
      </c>
      <c r="HA404">
        <v>0</v>
      </c>
      <c r="HB404">
        <v>0</v>
      </c>
      <c r="HC404">
        <f t="shared" si="387"/>
        <v>0</v>
      </c>
      <c r="IK404">
        <v>0</v>
      </c>
    </row>
    <row r="405" spans="1:245" x14ac:dyDescent="0.2">
      <c r="A405">
        <v>18</v>
      </c>
      <c r="B405">
        <v>1</v>
      </c>
      <c r="C405">
        <v>824</v>
      </c>
      <c r="E405" t="s">
        <v>1041</v>
      </c>
      <c r="F405" t="s">
        <v>1042</v>
      </c>
      <c r="G405" t="s">
        <v>1043</v>
      </c>
      <c r="H405" t="s">
        <v>132</v>
      </c>
      <c r="I405">
        <f>I404*J405</f>
        <v>22</v>
      </c>
      <c r="J405">
        <v>0.7857142857142857</v>
      </c>
      <c r="O405">
        <f t="shared" si="354"/>
        <v>5054.03</v>
      </c>
      <c r="P405">
        <f t="shared" si="355"/>
        <v>5054.03</v>
      </c>
      <c r="Q405">
        <f t="shared" si="356"/>
        <v>0</v>
      </c>
      <c r="R405">
        <f t="shared" si="357"/>
        <v>0</v>
      </c>
      <c r="S405">
        <f t="shared" si="358"/>
        <v>0</v>
      </c>
      <c r="T405">
        <f t="shared" si="359"/>
        <v>0</v>
      </c>
      <c r="U405">
        <f t="shared" si="360"/>
        <v>0</v>
      </c>
      <c r="V405">
        <f t="shared" si="361"/>
        <v>0</v>
      </c>
      <c r="W405">
        <f t="shared" si="362"/>
        <v>0</v>
      </c>
      <c r="X405">
        <f t="shared" si="363"/>
        <v>0</v>
      </c>
      <c r="Y405">
        <f t="shared" si="364"/>
        <v>0</v>
      </c>
      <c r="AA405">
        <v>16630606</v>
      </c>
      <c r="AB405">
        <f t="shared" si="365"/>
        <v>32.22</v>
      </c>
      <c r="AC405">
        <f t="shared" si="388"/>
        <v>32.22</v>
      </c>
      <c r="AD405">
        <f>ROUND((((ET405)-(EU405))+AE405),2)</f>
        <v>0</v>
      </c>
      <c r="AE405">
        <f t="shared" ref="AE405:AF408" si="389">ROUND((EU405),2)</f>
        <v>0</v>
      </c>
      <c r="AF405">
        <f t="shared" si="389"/>
        <v>0</v>
      </c>
      <c r="AG405">
        <f t="shared" si="366"/>
        <v>0</v>
      </c>
      <c r="AH405">
        <f t="shared" ref="AH405:AI408" si="390">(EW405)</f>
        <v>0</v>
      </c>
      <c r="AI405">
        <f t="shared" si="390"/>
        <v>0</v>
      </c>
      <c r="AJ405">
        <f t="shared" si="367"/>
        <v>0</v>
      </c>
      <c r="AK405">
        <v>32.22</v>
      </c>
      <c r="AL405">
        <v>32.22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115</v>
      </c>
      <c r="AU405">
        <v>71</v>
      </c>
      <c r="AV405">
        <v>1</v>
      </c>
      <c r="AW405">
        <v>1</v>
      </c>
      <c r="AZ405">
        <v>7.13</v>
      </c>
      <c r="BA405">
        <v>1</v>
      </c>
      <c r="BB405">
        <v>1</v>
      </c>
      <c r="BC405">
        <v>7.13</v>
      </c>
      <c r="BD405" t="s">
        <v>6</v>
      </c>
      <c r="BE405" t="s">
        <v>6</v>
      </c>
      <c r="BF405" t="s">
        <v>6</v>
      </c>
      <c r="BG405" t="s">
        <v>6</v>
      </c>
      <c r="BH405">
        <v>3</v>
      </c>
      <c r="BI405">
        <v>1</v>
      </c>
      <c r="BJ405" t="s">
        <v>1044</v>
      </c>
      <c r="BM405">
        <v>16001</v>
      </c>
      <c r="BN405">
        <v>0</v>
      </c>
      <c r="BO405" t="s">
        <v>6</v>
      </c>
      <c r="BP405">
        <v>0</v>
      </c>
      <c r="BQ405">
        <v>2</v>
      </c>
      <c r="BR405">
        <v>0</v>
      </c>
      <c r="BS405">
        <v>1</v>
      </c>
      <c r="BT405">
        <v>1</v>
      </c>
      <c r="BU405">
        <v>1</v>
      </c>
      <c r="BV405">
        <v>1</v>
      </c>
      <c r="BW405">
        <v>1</v>
      </c>
      <c r="BX405">
        <v>1</v>
      </c>
      <c r="BY405" t="s">
        <v>6</v>
      </c>
      <c r="BZ405">
        <v>128</v>
      </c>
      <c r="CA405">
        <v>83</v>
      </c>
      <c r="CE405">
        <v>0</v>
      </c>
      <c r="CF405">
        <v>0</v>
      </c>
      <c r="CG405">
        <v>0</v>
      </c>
      <c r="CM405">
        <v>0</v>
      </c>
      <c r="CN405" t="s">
        <v>6</v>
      </c>
      <c r="CO405">
        <v>0</v>
      </c>
      <c r="CP405">
        <f t="shared" si="368"/>
        <v>5054.03</v>
      </c>
      <c r="CQ405">
        <f t="shared" si="369"/>
        <v>229.7286</v>
      </c>
      <c r="CR405">
        <f t="shared" si="370"/>
        <v>0</v>
      </c>
      <c r="CS405">
        <f t="shared" si="371"/>
        <v>0</v>
      </c>
      <c r="CT405">
        <f t="shared" si="372"/>
        <v>0</v>
      </c>
      <c r="CU405">
        <f t="shared" si="373"/>
        <v>0</v>
      </c>
      <c r="CV405">
        <f t="shared" si="374"/>
        <v>0</v>
      </c>
      <c r="CW405">
        <f t="shared" si="375"/>
        <v>0</v>
      </c>
      <c r="CX405">
        <f t="shared" si="376"/>
        <v>0</v>
      </c>
      <c r="CY405">
        <f t="shared" si="377"/>
        <v>0</v>
      </c>
      <c r="CZ405">
        <f t="shared" si="378"/>
        <v>0</v>
      </c>
      <c r="DC405" t="s">
        <v>6</v>
      </c>
      <c r="DD405" t="s">
        <v>6</v>
      </c>
      <c r="DE405" t="s">
        <v>6</v>
      </c>
      <c r="DF405" t="s">
        <v>6</v>
      </c>
      <c r="DG405" t="s">
        <v>6</v>
      </c>
      <c r="DH405" t="s">
        <v>6</v>
      </c>
      <c r="DI405" t="s">
        <v>6</v>
      </c>
      <c r="DJ405" t="s">
        <v>6</v>
      </c>
      <c r="DK405" t="s">
        <v>6</v>
      </c>
      <c r="DL405" t="s">
        <v>6</v>
      </c>
      <c r="DM405" t="s">
        <v>6</v>
      </c>
      <c r="DN405">
        <v>0</v>
      </c>
      <c r="DO405">
        <v>0</v>
      </c>
      <c r="DP405">
        <v>1</v>
      </c>
      <c r="DQ405">
        <v>1</v>
      </c>
      <c r="DU405">
        <v>1010</v>
      </c>
      <c r="DV405" t="s">
        <v>132</v>
      </c>
      <c r="DW405" t="s">
        <v>132</v>
      </c>
      <c r="DX405">
        <v>1</v>
      </c>
      <c r="EE405">
        <v>16609131</v>
      </c>
      <c r="EF405">
        <v>2</v>
      </c>
      <c r="EG405" t="s">
        <v>14</v>
      </c>
      <c r="EH405">
        <v>0</v>
      </c>
      <c r="EI405" t="s">
        <v>6</v>
      </c>
      <c r="EJ405">
        <v>1</v>
      </c>
      <c r="EK405">
        <v>16001</v>
      </c>
      <c r="EL405" t="s">
        <v>730</v>
      </c>
      <c r="EM405" t="s">
        <v>731</v>
      </c>
      <c r="EO405" t="s">
        <v>6</v>
      </c>
      <c r="EQ405">
        <v>0</v>
      </c>
      <c r="ER405">
        <v>32.22</v>
      </c>
      <c r="ES405">
        <v>32.22</v>
      </c>
      <c r="ET405">
        <v>0</v>
      </c>
      <c r="EU405">
        <v>0</v>
      </c>
      <c r="EV405">
        <v>0</v>
      </c>
      <c r="EW405">
        <v>0</v>
      </c>
      <c r="EX405">
        <v>0</v>
      </c>
      <c r="FQ405">
        <v>0</v>
      </c>
      <c r="FR405">
        <f t="shared" si="379"/>
        <v>0</v>
      </c>
      <c r="FS405">
        <v>0</v>
      </c>
      <c r="FT405" t="s">
        <v>22</v>
      </c>
      <c r="FU405" t="s">
        <v>23</v>
      </c>
      <c r="FX405">
        <v>115.2</v>
      </c>
      <c r="FY405">
        <v>70.55</v>
      </c>
      <c r="GA405" t="s">
        <v>6</v>
      </c>
      <c r="GD405">
        <v>0</v>
      </c>
      <c r="GF405">
        <v>-1574082824</v>
      </c>
      <c r="GG405">
        <v>1</v>
      </c>
      <c r="GH405">
        <v>1</v>
      </c>
      <c r="GI405">
        <v>4</v>
      </c>
      <c r="GJ405">
        <v>0</v>
      </c>
      <c r="GK405">
        <f>ROUND(R405*(R12)/100,2)</f>
        <v>0</v>
      </c>
      <c r="GL405">
        <f t="shared" si="380"/>
        <v>0</v>
      </c>
      <c r="GM405">
        <f t="shared" si="381"/>
        <v>5054.03</v>
      </c>
      <c r="GN405">
        <f t="shared" si="382"/>
        <v>5054.03</v>
      </c>
      <c r="GO405">
        <f t="shared" si="383"/>
        <v>0</v>
      </c>
      <c r="GP405">
        <f t="shared" si="384"/>
        <v>0</v>
      </c>
      <c r="GR405">
        <v>0</v>
      </c>
      <c r="GS405">
        <v>3</v>
      </c>
      <c r="GT405">
        <v>0</v>
      </c>
      <c r="GU405" t="s">
        <v>6</v>
      </c>
      <c r="GV405">
        <f t="shared" si="385"/>
        <v>0</v>
      </c>
      <c r="GW405">
        <v>1</v>
      </c>
      <c r="GX405">
        <f t="shared" si="386"/>
        <v>0</v>
      </c>
      <c r="HA405">
        <v>0</v>
      </c>
      <c r="HB405">
        <v>0</v>
      </c>
      <c r="HC405">
        <f t="shared" si="387"/>
        <v>0</v>
      </c>
      <c r="IK405">
        <v>0</v>
      </c>
    </row>
    <row r="406" spans="1:245" x14ac:dyDescent="0.2">
      <c r="A406">
        <v>18</v>
      </c>
      <c r="B406">
        <v>1</v>
      </c>
      <c r="C406">
        <v>825</v>
      </c>
      <c r="E406" t="s">
        <v>1045</v>
      </c>
      <c r="F406" t="s">
        <v>1046</v>
      </c>
      <c r="G406" t="s">
        <v>1047</v>
      </c>
      <c r="H406" t="s">
        <v>132</v>
      </c>
      <c r="I406">
        <f>I404*J406</f>
        <v>6</v>
      </c>
      <c r="J406">
        <v>0.21428571428571427</v>
      </c>
      <c r="O406">
        <f t="shared" si="354"/>
        <v>4349.87</v>
      </c>
      <c r="P406">
        <f t="shared" si="355"/>
        <v>4349.87</v>
      </c>
      <c r="Q406">
        <f t="shared" si="356"/>
        <v>0</v>
      </c>
      <c r="R406">
        <f t="shared" si="357"/>
        <v>0</v>
      </c>
      <c r="S406">
        <f t="shared" si="358"/>
        <v>0</v>
      </c>
      <c r="T406">
        <f t="shared" si="359"/>
        <v>0</v>
      </c>
      <c r="U406">
        <f t="shared" si="360"/>
        <v>0</v>
      </c>
      <c r="V406">
        <f t="shared" si="361"/>
        <v>0</v>
      </c>
      <c r="W406">
        <f t="shared" si="362"/>
        <v>0</v>
      </c>
      <c r="X406">
        <f t="shared" si="363"/>
        <v>0</v>
      </c>
      <c r="Y406">
        <f t="shared" si="364"/>
        <v>0</v>
      </c>
      <c r="AA406">
        <v>16630606</v>
      </c>
      <c r="AB406">
        <f t="shared" si="365"/>
        <v>101.68</v>
      </c>
      <c r="AC406">
        <f t="shared" si="388"/>
        <v>101.68</v>
      </c>
      <c r="AD406">
        <f>ROUND((((ET406)-(EU406))+AE406),2)</f>
        <v>0</v>
      </c>
      <c r="AE406">
        <f t="shared" si="389"/>
        <v>0</v>
      </c>
      <c r="AF406">
        <f t="shared" si="389"/>
        <v>0</v>
      </c>
      <c r="AG406">
        <f t="shared" si="366"/>
        <v>0</v>
      </c>
      <c r="AH406">
        <f t="shared" si="390"/>
        <v>0</v>
      </c>
      <c r="AI406">
        <f t="shared" si="390"/>
        <v>0</v>
      </c>
      <c r="AJ406">
        <f t="shared" si="367"/>
        <v>0</v>
      </c>
      <c r="AK406">
        <v>101.68</v>
      </c>
      <c r="AL406">
        <v>101.68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115</v>
      </c>
      <c r="AU406">
        <v>71</v>
      </c>
      <c r="AV406">
        <v>1</v>
      </c>
      <c r="AW406">
        <v>1</v>
      </c>
      <c r="AZ406">
        <v>7.13</v>
      </c>
      <c r="BA406">
        <v>1</v>
      </c>
      <c r="BB406">
        <v>1</v>
      </c>
      <c r="BC406">
        <v>7.13</v>
      </c>
      <c r="BD406" t="s">
        <v>6</v>
      </c>
      <c r="BE406" t="s">
        <v>6</v>
      </c>
      <c r="BF406" t="s">
        <v>6</v>
      </c>
      <c r="BG406" t="s">
        <v>6</v>
      </c>
      <c r="BH406">
        <v>3</v>
      </c>
      <c r="BI406">
        <v>1</v>
      </c>
      <c r="BJ406" t="s">
        <v>1048</v>
      </c>
      <c r="BM406">
        <v>16001</v>
      </c>
      <c r="BN406">
        <v>0</v>
      </c>
      <c r="BO406" t="s">
        <v>6</v>
      </c>
      <c r="BP406">
        <v>0</v>
      </c>
      <c r="BQ406">
        <v>2</v>
      </c>
      <c r="BR406">
        <v>0</v>
      </c>
      <c r="BS406">
        <v>1</v>
      </c>
      <c r="BT406">
        <v>1</v>
      </c>
      <c r="BU406">
        <v>1</v>
      </c>
      <c r="BV406">
        <v>1</v>
      </c>
      <c r="BW406">
        <v>1</v>
      </c>
      <c r="BX406">
        <v>1</v>
      </c>
      <c r="BY406" t="s">
        <v>6</v>
      </c>
      <c r="BZ406">
        <v>128</v>
      </c>
      <c r="CA406">
        <v>83</v>
      </c>
      <c r="CE406">
        <v>0</v>
      </c>
      <c r="CF406">
        <v>0</v>
      </c>
      <c r="CG406">
        <v>0</v>
      </c>
      <c r="CM406">
        <v>0</v>
      </c>
      <c r="CN406" t="s">
        <v>6</v>
      </c>
      <c r="CO406">
        <v>0</v>
      </c>
      <c r="CP406">
        <f t="shared" si="368"/>
        <v>4349.87</v>
      </c>
      <c r="CQ406">
        <f t="shared" si="369"/>
        <v>724.97840000000008</v>
      </c>
      <c r="CR406">
        <f t="shared" si="370"/>
        <v>0</v>
      </c>
      <c r="CS406">
        <f t="shared" si="371"/>
        <v>0</v>
      </c>
      <c r="CT406">
        <f t="shared" si="372"/>
        <v>0</v>
      </c>
      <c r="CU406">
        <f t="shared" si="373"/>
        <v>0</v>
      </c>
      <c r="CV406">
        <f t="shared" si="374"/>
        <v>0</v>
      </c>
      <c r="CW406">
        <f t="shared" si="375"/>
        <v>0</v>
      </c>
      <c r="CX406">
        <f t="shared" si="376"/>
        <v>0</v>
      </c>
      <c r="CY406">
        <f t="shared" si="377"/>
        <v>0</v>
      </c>
      <c r="CZ406">
        <f t="shared" si="378"/>
        <v>0</v>
      </c>
      <c r="DC406" t="s">
        <v>6</v>
      </c>
      <c r="DD406" t="s">
        <v>6</v>
      </c>
      <c r="DE406" t="s">
        <v>6</v>
      </c>
      <c r="DF406" t="s">
        <v>6</v>
      </c>
      <c r="DG406" t="s">
        <v>6</v>
      </c>
      <c r="DH406" t="s">
        <v>6</v>
      </c>
      <c r="DI406" t="s">
        <v>6</v>
      </c>
      <c r="DJ406" t="s">
        <v>6</v>
      </c>
      <c r="DK406" t="s">
        <v>6</v>
      </c>
      <c r="DL406" t="s">
        <v>6</v>
      </c>
      <c r="DM406" t="s">
        <v>6</v>
      </c>
      <c r="DN406">
        <v>0</v>
      </c>
      <c r="DO406">
        <v>0</v>
      </c>
      <c r="DP406">
        <v>1</v>
      </c>
      <c r="DQ406">
        <v>1</v>
      </c>
      <c r="DU406">
        <v>1010</v>
      </c>
      <c r="DV406" t="s">
        <v>132</v>
      </c>
      <c r="DW406" t="s">
        <v>132</v>
      </c>
      <c r="DX406">
        <v>1</v>
      </c>
      <c r="EE406">
        <v>16609131</v>
      </c>
      <c r="EF406">
        <v>2</v>
      </c>
      <c r="EG406" t="s">
        <v>14</v>
      </c>
      <c r="EH406">
        <v>0</v>
      </c>
      <c r="EI406" t="s">
        <v>6</v>
      </c>
      <c r="EJ406">
        <v>1</v>
      </c>
      <c r="EK406">
        <v>16001</v>
      </c>
      <c r="EL406" t="s">
        <v>730</v>
      </c>
      <c r="EM406" t="s">
        <v>731</v>
      </c>
      <c r="EO406" t="s">
        <v>6</v>
      </c>
      <c r="EQ406">
        <v>0</v>
      </c>
      <c r="ER406">
        <v>101.68</v>
      </c>
      <c r="ES406">
        <v>101.68</v>
      </c>
      <c r="ET406">
        <v>0</v>
      </c>
      <c r="EU406">
        <v>0</v>
      </c>
      <c r="EV406">
        <v>0</v>
      </c>
      <c r="EW406">
        <v>0</v>
      </c>
      <c r="EX406">
        <v>0</v>
      </c>
      <c r="FQ406">
        <v>0</v>
      </c>
      <c r="FR406">
        <f t="shared" si="379"/>
        <v>0</v>
      </c>
      <c r="FS406">
        <v>0</v>
      </c>
      <c r="FT406" t="s">
        <v>22</v>
      </c>
      <c r="FU406" t="s">
        <v>23</v>
      </c>
      <c r="FX406">
        <v>115.2</v>
      </c>
      <c r="FY406">
        <v>70.55</v>
      </c>
      <c r="GA406" t="s">
        <v>6</v>
      </c>
      <c r="GD406">
        <v>0</v>
      </c>
      <c r="GF406">
        <v>-1306881833</v>
      </c>
      <c r="GG406">
        <v>1</v>
      </c>
      <c r="GH406">
        <v>1</v>
      </c>
      <c r="GI406">
        <v>4</v>
      </c>
      <c r="GJ406">
        <v>0</v>
      </c>
      <c r="GK406">
        <f>ROUND(R406*(R12)/100,2)</f>
        <v>0</v>
      </c>
      <c r="GL406">
        <f t="shared" si="380"/>
        <v>0</v>
      </c>
      <c r="GM406">
        <f t="shared" si="381"/>
        <v>4349.87</v>
      </c>
      <c r="GN406">
        <f t="shared" si="382"/>
        <v>4349.87</v>
      </c>
      <c r="GO406">
        <f t="shared" si="383"/>
        <v>0</v>
      </c>
      <c r="GP406">
        <f t="shared" si="384"/>
        <v>0</v>
      </c>
      <c r="GR406">
        <v>0</v>
      </c>
      <c r="GS406">
        <v>3</v>
      </c>
      <c r="GT406">
        <v>0</v>
      </c>
      <c r="GU406" t="s">
        <v>6</v>
      </c>
      <c r="GV406">
        <f t="shared" si="385"/>
        <v>0</v>
      </c>
      <c r="GW406">
        <v>1</v>
      </c>
      <c r="GX406">
        <f t="shared" si="386"/>
        <v>0</v>
      </c>
      <c r="HA406">
        <v>0</v>
      </c>
      <c r="HB406">
        <v>0</v>
      </c>
      <c r="HC406">
        <f t="shared" si="387"/>
        <v>0</v>
      </c>
      <c r="IK406">
        <v>0</v>
      </c>
    </row>
    <row r="407" spans="1:245" x14ac:dyDescent="0.2">
      <c r="A407">
        <v>17</v>
      </c>
      <c r="B407">
        <v>1</v>
      </c>
      <c r="C407">
        <f>ROW(SmtRes!A828)</f>
        <v>828</v>
      </c>
      <c r="D407">
        <f>ROW(EtalonRes!A841)</f>
        <v>841</v>
      </c>
      <c r="E407" t="s">
        <v>1049</v>
      </c>
      <c r="F407" t="s">
        <v>1050</v>
      </c>
      <c r="G407" t="s">
        <v>1051</v>
      </c>
      <c r="H407" t="s">
        <v>27</v>
      </c>
      <c r="I407">
        <f>ROUND(3/100,9)</f>
        <v>0.03</v>
      </c>
      <c r="J407">
        <v>0</v>
      </c>
      <c r="O407">
        <f t="shared" si="354"/>
        <v>105.84</v>
      </c>
      <c r="P407">
        <f t="shared" si="355"/>
        <v>0</v>
      </c>
      <c r="Q407">
        <f t="shared" si="356"/>
        <v>0.8</v>
      </c>
      <c r="R407">
        <f t="shared" si="357"/>
        <v>0.35</v>
      </c>
      <c r="S407">
        <f t="shared" si="358"/>
        <v>105.04</v>
      </c>
      <c r="T407">
        <f t="shared" si="359"/>
        <v>0</v>
      </c>
      <c r="U407">
        <f t="shared" si="360"/>
        <v>1.7270999999999999</v>
      </c>
      <c r="V407">
        <f t="shared" si="361"/>
        <v>3.5999999999999999E-3</v>
      </c>
      <c r="W407">
        <f t="shared" si="362"/>
        <v>0</v>
      </c>
      <c r="X407">
        <f t="shared" si="363"/>
        <v>77.989999999999995</v>
      </c>
      <c r="Y407">
        <f t="shared" si="364"/>
        <v>52.7</v>
      </c>
      <c r="AA407">
        <v>16630606</v>
      </c>
      <c r="AB407">
        <f t="shared" si="365"/>
        <v>494.82</v>
      </c>
      <c r="AC407">
        <f t="shared" si="388"/>
        <v>0</v>
      </c>
      <c r="AD407">
        <f>ROUND((((ET407)-(EU407))+AE407),2)</f>
        <v>3.75</v>
      </c>
      <c r="AE407">
        <f t="shared" si="389"/>
        <v>1.62</v>
      </c>
      <c r="AF407">
        <f t="shared" si="389"/>
        <v>491.07</v>
      </c>
      <c r="AG407">
        <f t="shared" si="366"/>
        <v>0</v>
      </c>
      <c r="AH407">
        <f t="shared" si="390"/>
        <v>57.57</v>
      </c>
      <c r="AI407">
        <f t="shared" si="390"/>
        <v>0.12</v>
      </c>
      <c r="AJ407">
        <f t="shared" si="367"/>
        <v>0</v>
      </c>
      <c r="AK407">
        <v>494.82</v>
      </c>
      <c r="AL407">
        <v>0</v>
      </c>
      <c r="AM407">
        <v>3.75</v>
      </c>
      <c r="AN407">
        <v>1.62</v>
      </c>
      <c r="AO407">
        <v>491.07</v>
      </c>
      <c r="AP407">
        <v>0</v>
      </c>
      <c r="AQ407">
        <v>57.57</v>
      </c>
      <c r="AR407">
        <v>0.12</v>
      </c>
      <c r="AS407">
        <v>0</v>
      </c>
      <c r="AT407">
        <v>74</v>
      </c>
      <c r="AU407">
        <v>50</v>
      </c>
      <c r="AV407">
        <v>1</v>
      </c>
      <c r="AW407">
        <v>1</v>
      </c>
      <c r="AZ407">
        <v>7.13</v>
      </c>
      <c r="BA407">
        <v>7.13</v>
      </c>
      <c r="BB407">
        <v>7.13</v>
      </c>
      <c r="BC407">
        <v>7.13</v>
      </c>
      <c r="BD407" t="s">
        <v>6</v>
      </c>
      <c r="BE407" t="s">
        <v>6</v>
      </c>
      <c r="BF407" t="s">
        <v>6</v>
      </c>
      <c r="BG407" t="s">
        <v>6</v>
      </c>
      <c r="BH407">
        <v>0</v>
      </c>
      <c r="BI407">
        <v>1</v>
      </c>
      <c r="BJ407" t="s">
        <v>1052</v>
      </c>
      <c r="BM407">
        <v>65001</v>
      </c>
      <c r="BN407">
        <v>0</v>
      </c>
      <c r="BO407" t="s">
        <v>6</v>
      </c>
      <c r="BP407">
        <v>0</v>
      </c>
      <c r="BQ407">
        <v>6</v>
      </c>
      <c r="BR407">
        <v>0</v>
      </c>
      <c r="BS407">
        <v>7.13</v>
      </c>
      <c r="BT407">
        <v>1</v>
      </c>
      <c r="BU407">
        <v>1</v>
      </c>
      <c r="BV407">
        <v>1</v>
      </c>
      <c r="BW407">
        <v>1</v>
      </c>
      <c r="BX407">
        <v>1</v>
      </c>
      <c r="BY407" t="s">
        <v>6</v>
      </c>
      <c r="BZ407">
        <v>74</v>
      </c>
      <c r="CA407">
        <v>50</v>
      </c>
      <c r="CE407">
        <v>0</v>
      </c>
      <c r="CF407">
        <v>0</v>
      </c>
      <c r="CG407">
        <v>0</v>
      </c>
      <c r="CM407">
        <v>0</v>
      </c>
      <c r="CN407" t="s">
        <v>6</v>
      </c>
      <c r="CO407">
        <v>0</v>
      </c>
      <c r="CP407">
        <f t="shared" si="368"/>
        <v>105.84</v>
      </c>
      <c r="CQ407">
        <f t="shared" si="369"/>
        <v>0</v>
      </c>
      <c r="CR407">
        <f t="shared" si="370"/>
        <v>26.737500000000001</v>
      </c>
      <c r="CS407">
        <f t="shared" si="371"/>
        <v>11.550600000000001</v>
      </c>
      <c r="CT407">
        <f t="shared" si="372"/>
        <v>3501.3290999999999</v>
      </c>
      <c r="CU407">
        <f t="shared" si="373"/>
        <v>0</v>
      </c>
      <c r="CV407">
        <f t="shared" si="374"/>
        <v>57.57</v>
      </c>
      <c r="CW407">
        <f t="shared" si="375"/>
        <v>0.12</v>
      </c>
      <c r="CX407">
        <f t="shared" si="376"/>
        <v>0</v>
      </c>
      <c r="CY407">
        <f t="shared" si="377"/>
        <v>77.988599999999991</v>
      </c>
      <c r="CZ407">
        <f t="shared" si="378"/>
        <v>52.695</v>
      </c>
      <c r="DC407" t="s">
        <v>6</v>
      </c>
      <c r="DD407" t="s">
        <v>6</v>
      </c>
      <c r="DE407" t="s">
        <v>6</v>
      </c>
      <c r="DF407" t="s">
        <v>6</v>
      </c>
      <c r="DG407" t="s">
        <v>6</v>
      </c>
      <c r="DH407" t="s">
        <v>6</v>
      </c>
      <c r="DI407" t="s">
        <v>6</v>
      </c>
      <c r="DJ407" t="s">
        <v>6</v>
      </c>
      <c r="DK407" t="s">
        <v>6</v>
      </c>
      <c r="DL407" t="s">
        <v>6</v>
      </c>
      <c r="DM407" t="s">
        <v>6</v>
      </c>
      <c r="DN407">
        <v>0</v>
      </c>
      <c r="DO407">
        <v>0</v>
      </c>
      <c r="DP407">
        <v>1</v>
      </c>
      <c r="DQ407">
        <v>1</v>
      </c>
      <c r="DU407">
        <v>1013</v>
      </c>
      <c r="DV407" t="s">
        <v>27</v>
      </c>
      <c r="DW407" t="s">
        <v>27</v>
      </c>
      <c r="DX407">
        <v>1</v>
      </c>
      <c r="EE407">
        <v>16609190</v>
      </c>
      <c r="EF407">
        <v>6</v>
      </c>
      <c r="EG407" t="s">
        <v>39</v>
      </c>
      <c r="EH407">
        <v>0</v>
      </c>
      <c r="EI407" t="s">
        <v>6</v>
      </c>
      <c r="EJ407">
        <v>1</v>
      </c>
      <c r="EK407">
        <v>65001</v>
      </c>
      <c r="EL407" t="s">
        <v>713</v>
      </c>
      <c r="EM407" t="s">
        <v>714</v>
      </c>
      <c r="EO407" t="s">
        <v>6</v>
      </c>
      <c r="EQ407">
        <v>0</v>
      </c>
      <c r="ER407">
        <v>494.82</v>
      </c>
      <c r="ES407">
        <v>0</v>
      </c>
      <c r="ET407">
        <v>3.75</v>
      </c>
      <c r="EU407">
        <v>1.62</v>
      </c>
      <c r="EV407">
        <v>491.07</v>
      </c>
      <c r="EW407">
        <v>57.57</v>
      </c>
      <c r="EX407">
        <v>0.12</v>
      </c>
      <c r="EY407">
        <v>0</v>
      </c>
      <c r="FQ407">
        <v>0</v>
      </c>
      <c r="FR407">
        <f t="shared" si="379"/>
        <v>0</v>
      </c>
      <c r="FS407">
        <v>0</v>
      </c>
      <c r="FX407">
        <v>74</v>
      </c>
      <c r="FY407">
        <v>50</v>
      </c>
      <c r="GA407" t="s">
        <v>6</v>
      </c>
      <c r="GD407">
        <v>0</v>
      </c>
      <c r="GF407">
        <v>-1614536747</v>
      </c>
      <c r="GG407">
        <v>1</v>
      </c>
      <c r="GH407">
        <v>1</v>
      </c>
      <c r="GI407">
        <v>4</v>
      </c>
      <c r="GJ407">
        <v>0</v>
      </c>
      <c r="GK407">
        <f>ROUND(R407*(R12)/100,2)</f>
        <v>0</v>
      </c>
      <c r="GL407">
        <f t="shared" si="380"/>
        <v>0</v>
      </c>
      <c r="GM407">
        <f t="shared" si="381"/>
        <v>236.53</v>
      </c>
      <c r="GN407">
        <f t="shared" si="382"/>
        <v>236.53</v>
      </c>
      <c r="GO407">
        <f t="shared" si="383"/>
        <v>0</v>
      </c>
      <c r="GP407">
        <f t="shared" si="384"/>
        <v>0</v>
      </c>
      <c r="GR407">
        <v>0</v>
      </c>
      <c r="GS407">
        <v>3</v>
      </c>
      <c r="GT407">
        <v>0</v>
      </c>
      <c r="GU407" t="s">
        <v>6</v>
      </c>
      <c r="GV407">
        <f t="shared" si="385"/>
        <v>0</v>
      </c>
      <c r="GW407">
        <v>1</v>
      </c>
      <c r="GX407">
        <f t="shared" si="386"/>
        <v>0</v>
      </c>
      <c r="HA407">
        <v>0</v>
      </c>
      <c r="HB407">
        <v>0</v>
      </c>
      <c r="HC407">
        <f t="shared" si="387"/>
        <v>0</v>
      </c>
      <c r="IK407">
        <v>0</v>
      </c>
    </row>
    <row r="408" spans="1:245" x14ac:dyDescent="0.2">
      <c r="A408">
        <v>17</v>
      </c>
      <c r="B408">
        <v>1</v>
      </c>
      <c r="C408">
        <f>ROW(SmtRes!A831)</f>
        <v>831</v>
      </c>
      <c r="D408">
        <f>ROW(EtalonRes!A845)</f>
        <v>845</v>
      </c>
      <c r="E408" t="s">
        <v>1053</v>
      </c>
      <c r="F408" t="s">
        <v>1054</v>
      </c>
      <c r="G408" t="s">
        <v>1055</v>
      </c>
      <c r="H408" t="s">
        <v>27</v>
      </c>
      <c r="I408">
        <f>ROUND(8/100,9)</f>
        <v>0.08</v>
      </c>
      <c r="J408">
        <v>0</v>
      </c>
      <c r="O408">
        <f t="shared" si="354"/>
        <v>179.87</v>
      </c>
      <c r="P408">
        <f t="shared" si="355"/>
        <v>0</v>
      </c>
      <c r="Q408">
        <f t="shared" si="356"/>
        <v>1.25</v>
      </c>
      <c r="R408">
        <f t="shared" si="357"/>
        <v>0.54</v>
      </c>
      <c r="S408">
        <f t="shared" si="358"/>
        <v>178.62</v>
      </c>
      <c r="T408">
        <f t="shared" si="359"/>
        <v>0</v>
      </c>
      <c r="U408">
        <f t="shared" si="360"/>
        <v>2.9368000000000003</v>
      </c>
      <c r="V408">
        <f t="shared" si="361"/>
        <v>5.6000000000000008E-3</v>
      </c>
      <c r="W408">
        <f t="shared" si="362"/>
        <v>0</v>
      </c>
      <c r="X408">
        <f t="shared" si="363"/>
        <v>132.58000000000001</v>
      </c>
      <c r="Y408">
        <f t="shared" si="364"/>
        <v>89.58</v>
      </c>
      <c r="AA408">
        <v>16630606</v>
      </c>
      <c r="AB408">
        <f t="shared" si="365"/>
        <v>315.33</v>
      </c>
      <c r="AC408">
        <f t="shared" si="388"/>
        <v>0</v>
      </c>
      <c r="AD408">
        <f>ROUND((((ET408)-(EU408))+AE408),2)</f>
        <v>2.19</v>
      </c>
      <c r="AE408">
        <f t="shared" si="389"/>
        <v>0.95</v>
      </c>
      <c r="AF408">
        <f t="shared" si="389"/>
        <v>313.14</v>
      </c>
      <c r="AG408">
        <f t="shared" si="366"/>
        <v>0</v>
      </c>
      <c r="AH408">
        <f t="shared" si="390"/>
        <v>36.71</v>
      </c>
      <c r="AI408">
        <f t="shared" si="390"/>
        <v>7.0000000000000007E-2</v>
      </c>
      <c r="AJ408">
        <f t="shared" si="367"/>
        <v>0</v>
      </c>
      <c r="AK408">
        <v>315.33</v>
      </c>
      <c r="AL408">
        <v>0</v>
      </c>
      <c r="AM408">
        <v>2.19</v>
      </c>
      <c r="AN408">
        <v>0.95</v>
      </c>
      <c r="AO408">
        <v>313.14</v>
      </c>
      <c r="AP408">
        <v>0</v>
      </c>
      <c r="AQ408">
        <v>36.71</v>
      </c>
      <c r="AR408">
        <v>7.0000000000000007E-2</v>
      </c>
      <c r="AS408">
        <v>0</v>
      </c>
      <c r="AT408">
        <v>74</v>
      </c>
      <c r="AU408">
        <v>50</v>
      </c>
      <c r="AV408">
        <v>1</v>
      </c>
      <c r="AW408">
        <v>1</v>
      </c>
      <c r="AZ408">
        <v>7.13</v>
      </c>
      <c r="BA408">
        <v>7.13</v>
      </c>
      <c r="BB408">
        <v>7.13</v>
      </c>
      <c r="BC408">
        <v>7.13</v>
      </c>
      <c r="BD408" t="s">
        <v>6</v>
      </c>
      <c r="BE408" t="s">
        <v>6</v>
      </c>
      <c r="BF408" t="s">
        <v>6</v>
      </c>
      <c r="BG408" t="s">
        <v>6</v>
      </c>
      <c r="BH408">
        <v>0</v>
      </c>
      <c r="BI408">
        <v>1</v>
      </c>
      <c r="BJ408" t="s">
        <v>1056</v>
      </c>
      <c r="BM408">
        <v>65001</v>
      </c>
      <c r="BN408">
        <v>0</v>
      </c>
      <c r="BO408" t="s">
        <v>6</v>
      </c>
      <c r="BP408">
        <v>0</v>
      </c>
      <c r="BQ408">
        <v>6</v>
      </c>
      <c r="BR408">
        <v>0</v>
      </c>
      <c r="BS408">
        <v>7.13</v>
      </c>
      <c r="BT408">
        <v>1</v>
      </c>
      <c r="BU408">
        <v>1</v>
      </c>
      <c r="BV408">
        <v>1</v>
      </c>
      <c r="BW408">
        <v>1</v>
      </c>
      <c r="BX408">
        <v>1</v>
      </c>
      <c r="BY408" t="s">
        <v>6</v>
      </c>
      <c r="BZ408">
        <v>74</v>
      </c>
      <c r="CA408">
        <v>50</v>
      </c>
      <c r="CE408">
        <v>0</v>
      </c>
      <c r="CF408">
        <v>0</v>
      </c>
      <c r="CG408">
        <v>0</v>
      </c>
      <c r="CM408">
        <v>0</v>
      </c>
      <c r="CN408" t="s">
        <v>6</v>
      </c>
      <c r="CO408">
        <v>0</v>
      </c>
      <c r="CP408">
        <f t="shared" si="368"/>
        <v>179.87</v>
      </c>
      <c r="CQ408">
        <f t="shared" si="369"/>
        <v>0</v>
      </c>
      <c r="CR408">
        <f t="shared" si="370"/>
        <v>15.614699999999999</v>
      </c>
      <c r="CS408">
        <f t="shared" si="371"/>
        <v>6.7734999999999994</v>
      </c>
      <c r="CT408">
        <f t="shared" si="372"/>
        <v>2232.6882000000001</v>
      </c>
      <c r="CU408">
        <f t="shared" si="373"/>
        <v>0</v>
      </c>
      <c r="CV408">
        <f t="shared" si="374"/>
        <v>36.71</v>
      </c>
      <c r="CW408">
        <f t="shared" si="375"/>
        <v>7.0000000000000007E-2</v>
      </c>
      <c r="CX408">
        <f t="shared" si="376"/>
        <v>0</v>
      </c>
      <c r="CY408">
        <f t="shared" si="377"/>
        <v>132.57839999999999</v>
      </c>
      <c r="CZ408">
        <f t="shared" si="378"/>
        <v>89.58</v>
      </c>
      <c r="DC408" t="s">
        <v>6</v>
      </c>
      <c r="DD408" t="s">
        <v>6</v>
      </c>
      <c r="DE408" t="s">
        <v>6</v>
      </c>
      <c r="DF408" t="s">
        <v>6</v>
      </c>
      <c r="DG408" t="s">
        <v>6</v>
      </c>
      <c r="DH408" t="s">
        <v>6</v>
      </c>
      <c r="DI408" t="s">
        <v>6</v>
      </c>
      <c r="DJ408" t="s">
        <v>6</v>
      </c>
      <c r="DK408" t="s">
        <v>6</v>
      </c>
      <c r="DL408" t="s">
        <v>6</v>
      </c>
      <c r="DM408" t="s">
        <v>6</v>
      </c>
      <c r="DN408">
        <v>0</v>
      </c>
      <c r="DO408">
        <v>0</v>
      </c>
      <c r="DP408">
        <v>1</v>
      </c>
      <c r="DQ408">
        <v>1</v>
      </c>
      <c r="DU408">
        <v>1013</v>
      </c>
      <c r="DV408" t="s">
        <v>27</v>
      </c>
      <c r="DW408" t="s">
        <v>27</v>
      </c>
      <c r="DX408">
        <v>1</v>
      </c>
      <c r="EE408">
        <v>16609190</v>
      </c>
      <c r="EF408">
        <v>6</v>
      </c>
      <c r="EG408" t="s">
        <v>39</v>
      </c>
      <c r="EH408">
        <v>0</v>
      </c>
      <c r="EI408" t="s">
        <v>6</v>
      </c>
      <c r="EJ408">
        <v>1</v>
      </c>
      <c r="EK408">
        <v>65001</v>
      </c>
      <c r="EL408" t="s">
        <v>713</v>
      </c>
      <c r="EM408" t="s">
        <v>714</v>
      </c>
      <c r="EO408" t="s">
        <v>6</v>
      </c>
      <c r="EQ408">
        <v>0</v>
      </c>
      <c r="ER408">
        <v>315.33</v>
      </c>
      <c r="ES408">
        <v>0</v>
      </c>
      <c r="ET408">
        <v>2.19</v>
      </c>
      <c r="EU408">
        <v>0.95</v>
      </c>
      <c r="EV408">
        <v>313.14</v>
      </c>
      <c r="EW408">
        <v>36.71</v>
      </c>
      <c r="EX408">
        <v>7.0000000000000007E-2</v>
      </c>
      <c r="EY408">
        <v>0</v>
      </c>
      <c r="FQ408">
        <v>0</v>
      </c>
      <c r="FR408">
        <f t="shared" si="379"/>
        <v>0</v>
      </c>
      <c r="FS408">
        <v>0</v>
      </c>
      <c r="FX408">
        <v>74</v>
      </c>
      <c r="FY408">
        <v>50</v>
      </c>
      <c r="GA408" t="s">
        <v>6</v>
      </c>
      <c r="GD408">
        <v>0</v>
      </c>
      <c r="GF408">
        <v>2129386662</v>
      </c>
      <c r="GG408">
        <v>1</v>
      </c>
      <c r="GH408">
        <v>1</v>
      </c>
      <c r="GI408">
        <v>4</v>
      </c>
      <c r="GJ408">
        <v>0</v>
      </c>
      <c r="GK408">
        <f>ROUND(R408*(R12)/100,2)</f>
        <v>0</v>
      </c>
      <c r="GL408">
        <f t="shared" si="380"/>
        <v>0</v>
      </c>
      <c r="GM408">
        <f t="shared" si="381"/>
        <v>402.03</v>
      </c>
      <c r="GN408">
        <f t="shared" si="382"/>
        <v>402.03</v>
      </c>
      <c r="GO408">
        <f t="shared" si="383"/>
        <v>0</v>
      </c>
      <c r="GP408">
        <f t="shared" si="384"/>
        <v>0</v>
      </c>
      <c r="GR408">
        <v>0</v>
      </c>
      <c r="GS408">
        <v>3</v>
      </c>
      <c r="GT408">
        <v>0</v>
      </c>
      <c r="GU408" t="s">
        <v>6</v>
      </c>
      <c r="GV408">
        <f t="shared" si="385"/>
        <v>0</v>
      </c>
      <c r="GW408">
        <v>1</v>
      </c>
      <c r="GX408">
        <f t="shared" si="386"/>
        <v>0</v>
      </c>
      <c r="HA408">
        <v>0</v>
      </c>
      <c r="HB408">
        <v>0</v>
      </c>
      <c r="HC408">
        <f t="shared" si="387"/>
        <v>0</v>
      </c>
      <c r="IK408">
        <v>0</v>
      </c>
    </row>
    <row r="409" spans="1:245" x14ac:dyDescent="0.2">
      <c r="A409">
        <v>17</v>
      </c>
      <c r="B409">
        <v>1</v>
      </c>
      <c r="C409">
        <f>ROW(SmtRes!A839)</f>
        <v>839</v>
      </c>
      <c r="D409">
        <f>ROW(EtalonRes!A852)</f>
        <v>852</v>
      </c>
      <c r="E409" t="s">
        <v>1057</v>
      </c>
      <c r="F409" t="s">
        <v>1058</v>
      </c>
      <c r="G409" t="s">
        <v>1059</v>
      </c>
      <c r="H409" t="s">
        <v>983</v>
      </c>
      <c r="I409">
        <f>ROUND(11/10,9)</f>
        <v>1.1000000000000001</v>
      </c>
      <c r="J409">
        <v>0</v>
      </c>
      <c r="O409">
        <f t="shared" si="354"/>
        <v>693.48</v>
      </c>
      <c r="P409">
        <f t="shared" si="355"/>
        <v>86.12</v>
      </c>
      <c r="Q409">
        <f t="shared" si="356"/>
        <v>0</v>
      </c>
      <c r="R409">
        <f t="shared" si="357"/>
        <v>0</v>
      </c>
      <c r="S409">
        <f t="shared" si="358"/>
        <v>607.36</v>
      </c>
      <c r="T409">
        <f t="shared" si="359"/>
        <v>0</v>
      </c>
      <c r="U409">
        <f t="shared" si="360"/>
        <v>8.8550000000000004</v>
      </c>
      <c r="V409">
        <f t="shared" si="361"/>
        <v>0</v>
      </c>
      <c r="W409">
        <f t="shared" si="362"/>
        <v>0</v>
      </c>
      <c r="X409">
        <f t="shared" si="363"/>
        <v>698.46</v>
      </c>
      <c r="Y409">
        <f t="shared" si="364"/>
        <v>431.23</v>
      </c>
      <c r="AA409">
        <v>16630606</v>
      </c>
      <c r="AB409">
        <f t="shared" si="365"/>
        <v>88.42</v>
      </c>
      <c r="AC409">
        <f t="shared" si="388"/>
        <v>10.98</v>
      </c>
      <c r="AD409">
        <f>ROUND(((((ET409*1.25))-((EU409*1.25)))+AE409),2)</f>
        <v>0</v>
      </c>
      <c r="AE409">
        <f>ROUND(((EU409*1.25)),2)</f>
        <v>0</v>
      </c>
      <c r="AF409">
        <f>ROUND(((EV409*1.15)),2)</f>
        <v>77.44</v>
      </c>
      <c r="AG409">
        <f t="shared" si="366"/>
        <v>0</v>
      </c>
      <c r="AH409">
        <f>((EW409*1.15))</f>
        <v>8.0499999999999989</v>
      </c>
      <c r="AI409">
        <f>((EX409*1.25))</f>
        <v>0</v>
      </c>
      <c r="AJ409">
        <f t="shared" si="367"/>
        <v>0</v>
      </c>
      <c r="AK409">
        <v>78.319999999999993</v>
      </c>
      <c r="AL409">
        <v>10.98</v>
      </c>
      <c r="AM409">
        <v>0</v>
      </c>
      <c r="AN409">
        <v>0</v>
      </c>
      <c r="AO409">
        <v>67.34</v>
      </c>
      <c r="AP409">
        <v>0</v>
      </c>
      <c r="AQ409">
        <v>7</v>
      </c>
      <c r="AR409">
        <v>0</v>
      </c>
      <c r="AS409">
        <v>0</v>
      </c>
      <c r="AT409">
        <v>115</v>
      </c>
      <c r="AU409">
        <v>71</v>
      </c>
      <c r="AV409">
        <v>1</v>
      </c>
      <c r="AW409">
        <v>1</v>
      </c>
      <c r="AZ409">
        <v>7.13</v>
      </c>
      <c r="BA409">
        <v>7.13</v>
      </c>
      <c r="BB409">
        <v>7.13</v>
      </c>
      <c r="BC409">
        <v>7.13</v>
      </c>
      <c r="BD409" t="s">
        <v>6</v>
      </c>
      <c r="BE409" t="s">
        <v>6</v>
      </c>
      <c r="BF409" t="s">
        <v>6</v>
      </c>
      <c r="BG409" t="s">
        <v>6</v>
      </c>
      <c r="BH409">
        <v>0</v>
      </c>
      <c r="BI409">
        <v>1</v>
      </c>
      <c r="BJ409" t="s">
        <v>1060</v>
      </c>
      <c r="BM409">
        <v>17001</v>
      </c>
      <c r="BN409">
        <v>0</v>
      </c>
      <c r="BO409" t="s">
        <v>6</v>
      </c>
      <c r="BP409">
        <v>0</v>
      </c>
      <c r="BQ409">
        <v>2</v>
      </c>
      <c r="BR409">
        <v>0</v>
      </c>
      <c r="BS409">
        <v>7.13</v>
      </c>
      <c r="BT409">
        <v>1</v>
      </c>
      <c r="BU409">
        <v>1</v>
      </c>
      <c r="BV409">
        <v>1</v>
      </c>
      <c r="BW409">
        <v>1</v>
      </c>
      <c r="BX409">
        <v>1</v>
      </c>
      <c r="BY409" t="s">
        <v>6</v>
      </c>
      <c r="BZ409">
        <v>128</v>
      </c>
      <c r="CA409">
        <v>83</v>
      </c>
      <c r="CE409">
        <v>0</v>
      </c>
      <c r="CF409">
        <v>0</v>
      </c>
      <c r="CG409">
        <v>0</v>
      </c>
      <c r="CM409">
        <v>0</v>
      </c>
      <c r="CN409" t="s">
        <v>1758</v>
      </c>
      <c r="CO409">
        <v>0</v>
      </c>
      <c r="CP409">
        <f t="shared" si="368"/>
        <v>693.48</v>
      </c>
      <c r="CQ409">
        <f t="shared" si="369"/>
        <v>78.287400000000005</v>
      </c>
      <c r="CR409">
        <f t="shared" si="370"/>
        <v>0</v>
      </c>
      <c r="CS409">
        <f t="shared" si="371"/>
        <v>0</v>
      </c>
      <c r="CT409">
        <f t="shared" si="372"/>
        <v>552.1472</v>
      </c>
      <c r="CU409">
        <f t="shared" si="373"/>
        <v>0</v>
      </c>
      <c r="CV409">
        <f t="shared" si="374"/>
        <v>8.0499999999999989</v>
      </c>
      <c r="CW409">
        <f t="shared" si="375"/>
        <v>0</v>
      </c>
      <c r="CX409">
        <f t="shared" si="376"/>
        <v>0</v>
      </c>
      <c r="CY409">
        <f t="shared" si="377"/>
        <v>698.46400000000006</v>
      </c>
      <c r="CZ409">
        <f t="shared" si="378"/>
        <v>431.22559999999999</v>
      </c>
      <c r="DC409" t="s">
        <v>6</v>
      </c>
      <c r="DD409" t="s">
        <v>6</v>
      </c>
      <c r="DE409" t="s">
        <v>81</v>
      </c>
      <c r="DF409" t="s">
        <v>81</v>
      </c>
      <c r="DG409" t="s">
        <v>82</v>
      </c>
      <c r="DH409" t="s">
        <v>6</v>
      </c>
      <c r="DI409" t="s">
        <v>82</v>
      </c>
      <c r="DJ409" t="s">
        <v>81</v>
      </c>
      <c r="DK409" t="s">
        <v>6</v>
      </c>
      <c r="DL409" t="s">
        <v>6</v>
      </c>
      <c r="DM409" t="s">
        <v>6</v>
      </c>
      <c r="DN409">
        <v>0</v>
      </c>
      <c r="DO409">
        <v>0</v>
      </c>
      <c r="DP409">
        <v>1</v>
      </c>
      <c r="DQ409">
        <v>1</v>
      </c>
      <c r="DU409">
        <v>1013</v>
      </c>
      <c r="DV409" t="s">
        <v>983</v>
      </c>
      <c r="DW409" t="s">
        <v>983</v>
      </c>
      <c r="DX409">
        <v>1</v>
      </c>
      <c r="EE409">
        <v>16609132</v>
      </c>
      <c r="EF409">
        <v>2</v>
      </c>
      <c r="EG409" t="s">
        <v>14</v>
      </c>
      <c r="EH409">
        <v>0</v>
      </c>
      <c r="EI409" t="s">
        <v>6</v>
      </c>
      <c r="EJ409">
        <v>1</v>
      </c>
      <c r="EK409">
        <v>17001</v>
      </c>
      <c r="EL409" t="s">
        <v>941</v>
      </c>
      <c r="EM409" t="s">
        <v>942</v>
      </c>
      <c r="EO409" t="s">
        <v>83</v>
      </c>
      <c r="EQ409">
        <v>131072</v>
      </c>
      <c r="ER409">
        <v>78.319999999999993</v>
      </c>
      <c r="ES409">
        <v>10.98</v>
      </c>
      <c r="ET409">
        <v>0</v>
      </c>
      <c r="EU409">
        <v>0</v>
      </c>
      <c r="EV409">
        <v>67.34</v>
      </c>
      <c r="EW409">
        <v>7</v>
      </c>
      <c r="EX409">
        <v>0</v>
      </c>
      <c r="EY409">
        <v>0</v>
      </c>
      <c r="FQ409">
        <v>0</v>
      </c>
      <c r="FR409">
        <f t="shared" si="379"/>
        <v>0</v>
      </c>
      <c r="FS409">
        <v>0</v>
      </c>
      <c r="FT409" t="s">
        <v>22</v>
      </c>
      <c r="FU409" t="s">
        <v>23</v>
      </c>
      <c r="FX409">
        <v>115.2</v>
      </c>
      <c r="FY409">
        <v>70.55</v>
      </c>
      <c r="GA409" t="s">
        <v>6</v>
      </c>
      <c r="GD409">
        <v>0</v>
      </c>
      <c r="GF409">
        <v>725969486</v>
      </c>
      <c r="GG409">
        <v>1</v>
      </c>
      <c r="GH409">
        <v>1</v>
      </c>
      <c r="GI409">
        <v>4</v>
      </c>
      <c r="GJ409">
        <v>0</v>
      </c>
      <c r="GK409">
        <f>ROUND(R409*(R12)/100,2)</f>
        <v>0</v>
      </c>
      <c r="GL409">
        <f t="shared" si="380"/>
        <v>0</v>
      </c>
      <c r="GM409">
        <f t="shared" si="381"/>
        <v>1823.17</v>
      </c>
      <c r="GN409">
        <f t="shared" si="382"/>
        <v>1823.17</v>
      </c>
      <c r="GO409">
        <f t="shared" si="383"/>
        <v>0</v>
      </c>
      <c r="GP409">
        <f t="shared" si="384"/>
        <v>0</v>
      </c>
      <c r="GR409">
        <v>0</v>
      </c>
      <c r="GS409">
        <v>3</v>
      </c>
      <c r="GT409">
        <v>0</v>
      </c>
      <c r="GU409" t="s">
        <v>6</v>
      </c>
      <c r="GV409">
        <f t="shared" si="385"/>
        <v>0</v>
      </c>
      <c r="GW409">
        <v>1</v>
      </c>
      <c r="GX409">
        <f t="shared" si="386"/>
        <v>0</v>
      </c>
      <c r="HA409">
        <v>0</v>
      </c>
      <c r="HB409">
        <v>0</v>
      </c>
      <c r="HC409">
        <f t="shared" si="387"/>
        <v>0</v>
      </c>
      <c r="IK409">
        <v>0</v>
      </c>
    </row>
    <row r="410" spans="1:245" x14ac:dyDescent="0.2">
      <c r="A410">
        <v>18</v>
      </c>
      <c r="B410">
        <v>1</v>
      </c>
      <c r="C410">
        <v>839</v>
      </c>
      <c r="E410" t="s">
        <v>1061</v>
      </c>
      <c r="F410" t="s">
        <v>1062</v>
      </c>
      <c r="G410" t="s">
        <v>1063</v>
      </c>
      <c r="H410" t="s">
        <v>616</v>
      </c>
      <c r="I410">
        <f>I409*J410</f>
        <v>2.2999999999999998</v>
      </c>
      <c r="J410">
        <v>2.0909090909090904</v>
      </c>
      <c r="O410">
        <f t="shared" si="354"/>
        <v>3353.6</v>
      </c>
      <c r="P410">
        <f t="shared" si="355"/>
        <v>3353.6</v>
      </c>
      <c r="Q410">
        <f t="shared" si="356"/>
        <v>0</v>
      </c>
      <c r="R410">
        <f t="shared" si="357"/>
        <v>0</v>
      </c>
      <c r="S410">
        <f t="shared" si="358"/>
        <v>0</v>
      </c>
      <c r="T410">
        <f t="shared" si="359"/>
        <v>0</v>
      </c>
      <c r="U410">
        <f t="shared" si="360"/>
        <v>0</v>
      </c>
      <c r="V410">
        <f t="shared" si="361"/>
        <v>0</v>
      </c>
      <c r="W410">
        <f t="shared" si="362"/>
        <v>0</v>
      </c>
      <c r="X410">
        <f t="shared" si="363"/>
        <v>0</v>
      </c>
      <c r="Y410">
        <f t="shared" si="364"/>
        <v>0</v>
      </c>
      <c r="AA410">
        <v>16630606</v>
      </c>
      <c r="AB410">
        <f t="shared" si="365"/>
        <v>204.5</v>
      </c>
      <c r="AC410">
        <f t="shared" si="388"/>
        <v>204.5</v>
      </c>
      <c r="AD410">
        <f>ROUND((((ET410)-(EU410))+AE410),2)</f>
        <v>0</v>
      </c>
      <c r="AE410">
        <f t="shared" ref="AE410:AF413" si="391">ROUND((EU410),2)</f>
        <v>0</v>
      </c>
      <c r="AF410">
        <f t="shared" si="391"/>
        <v>0</v>
      </c>
      <c r="AG410">
        <f t="shared" si="366"/>
        <v>0</v>
      </c>
      <c r="AH410">
        <f t="shared" ref="AH410:AI413" si="392">(EW410)</f>
        <v>0</v>
      </c>
      <c r="AI410">
        <f t="shared" si="392"/>
        <v>0</v>
      </c>
      <c r="AJ410">
        <f t="shared" si="367"/>
        <v>0</v>
      </c>
      <c r="AK410">
        <v>204.5</v>
      </c>
      <c r="AL410">
        <v>204.5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115</v>
      </c>
      <c r="AU410">
        <v>71</v>
      </c>
      <c r="AV410">
        <v>1</v>
      </c>
      <c r="AW410">
        <v>1</v>
      </c>
      <c r="AZ410">
        <v>7.13</v>
      </c>
      <c r="BA410">
        <v>1</v>
      </c>
      <c r="BB410">
        <v>1</v>
      </c>
      <c r="BC410">
        <v>7.13</v>
      </c>
      <c r="BD410" t="s">
        <v>6</v>
      </c>
      <c r="BE410" t="s">
        <v>6</v>
      </c>
      <c r="BF410" t="s">
        <v>6</v>
      </c>
      <c r="BG410" t="s">
        <v>6</v>
      </c>
      <c r="BH410">
        <v>3</v>
      </c>
      <c r="BI410">
        <v>1</v>
      </c>
      <c r="BJ410" t="s">
        <v>1064</v>
      </c>
      <c r="BM410">
        <v>17001</v>
      </c>
      <c r="BN410">
        <v>0</v>
      </c>
      <c r="BO410" t="s">
        <v>6</v>
      </c>
      <c r="BP410">
        <v>0</v>
      </c>
      <c r="BQ410">
        <v>2</v>
      </c>
      <c r="BR410">
        <v>0</v>
      </c>
      <c r="BS410">
        <v>1</v>
      </c>
      <c r="BT410">
        <v>1</v>
      </c>
      <c r="BU410">
        <v>1</v>
      </c>
      <c r="BV410">
        <v>1</v>
      </c>
      <c r="BW410">
        <v>1</v>
      </c>
      <c r="BX410">
        <v>1</v>
      </c>
      <c r="BY410" t="s">
        <v>6</v>
      </c>
      <c r="BZ410">
        <v>128</v>
      </c>
      <c r="CA410">
        <v>83</v>
      </c>
      <c r="CE410">
        <v>0</v>
      </c>
      <c r="CF410">
        <v>0</v>
      </c>
      <c r="CG410">
        <v>0</v>
      </c>
      <c r="CM410">
        <v>0</v>
      </c>
      <c r="CN410" t="s">
        <v>6</v>
      </c>
      <c r="CO410">
        <v>0</v>
      </c>
      <c r="CP410">
        <f t="shared" si="368"/>
        <v>3353.6</v>
      </c>
      <c r="CQ410">
        <f t="shared" si="369"/>
        <v>1458.085</v>
      </c>
      <c r="CR410">
        <f t="shared" si="370"/>
        <v>0</v>
      </c>
      <c r="CS410">
        <f t="shared" si="371"/>
        <v>0</v>
      </c>
      <c r="CT410">
        <f t="shared" si="372"/>
        <v>0</v>
      </c>
      <c r="CU410">
        <f t="shared" si="373"/>
        <v>0</v>
      </c>
      <c r="CV410">
        <f t="shared" si="374"/>
        <v>0</v>
      </c>
      <c r="CW410">
        <f t="shared" si="375"/>
        <v>0</v>
      </c>
      <c r="CX410">
        <f t="shared" si="376"/>
        <v>0</v>
      </c>
      <c r="CY410">
        <f t="shared" si="377"/>
        <v>0</v>
      </c>
      <c r="CZ410">
        <f t="shared" si="378"/>
        <v>0</v>
      </c>
      <c r="DC410" t="s">
        <v>6</v>
      </c>
      <c r="DD410" t="s">
        <v>6</v>
      </c>
      <c r="DE410" t="s">
        <v>6</v>
      </c>
      <c r="DF410" t="s">
        <v>6</v>
      </c>
      <c r="DG410" t="s">
        <v>6</v>
      </c>
      <c r="DH410" t="s">
        <v>6</v>
      </c>
      <c r="DI410" t="s">
        <v>6</v>
      </c>
      <c r="DJ410" t="s">
        <v>6</v>
      </c>
      <c r="DK410" t="s">
        <v>6</v>
      </c>
      <c r="DL410" t="s">
        <v>6</v>
      </c>
      <c r="DM410" t="s">
        <v>6</v>
      </c>
      <c r="DN410">
        <v>0</v>
      </c>
      <c r="DO410">
        <v>0</v>
      </c>
      <c r="DP410">
        <v>1</v>
      </c>
      <c r="DQ410">
        <v>1</v>
      </c>
      <c r="DU410">
        <v>1010</v>
      </c>
      <c r="DV410" t="s">
        <v>616</v>
      </c>
      <c r="DW410" t="s">
        <v>616</v>
      </c>
      <c r="DX410">
        <v>10</v>
      </c>
      <c r="EE410">
        <v>16609132</v>
      </c>
      <c r="EF410">
        <v>2</v>
      </c>
      <c r="EG410" t="s">
        <v>14</v>
      </c>
      <c r="EH410">
        <v>0</v>
      </c>
      <c r="EI410" t="s">
        <v>6</v>
      </c>
      <c r="EJ410">
        <v>1</v>
      </c>
      <c r="EK410">
        <v>17001</v>
      </c>
      <c r="EL410" t="s">
        <v>941</v>
      </c>
      <c r="EM410" t="s">
        <v>942</v>
      </c>
      <c r="EO410" t="s">
        <v>6</v>
      </c>
      <c r="EQ410">
        <v>0</v>
      </c>
      <c r="ER410">
        <v>204.5</v>
      </c>
      <c r="ES410">
        <v>204.5</v>
      </c>
      <c r="ET410">
        <v>0</v>
      </c>
      <c r="EU410">
        <v>0</v>
      </c>
      <c r="EV410">
        <v>0</v>
      </c>
      <c r="EW410">
        <v>0</v>
      </c>
      <c r="EX410">
        <v>0</v>
      </c>
      <c r="FQ410">
        <v>0</v>
      </c>
      <c r="FR410">
        <f t="shared" si="379"/>
        <v>0</v>
      </c>
      <c r="FS410">
        <v>0</v>
      </c>
      <c r="FT410" t="s">
        <v>22</v>
      </c>
      <c r="FU410" t="s">
        <v>23</v>
      </c>
      <c r="FX410">
        <v>115.2</v>
      </c>
      <c r="FY410">
        <v>70.55</v>
      </c>
      <c r="GA410" t="s">
        <v>6</v>
      </c>
      <c r="GD410">
        <v>0</v>
      </c>
      <c r="GF410">
        <v>1904909872</v>
      </c>
      <c r="GG410">
        <v>1</v>
      </c>
      <c r="GH410">
        <v>1</v>
      </c>
      <c r="GI410">
        <v>4</v>
      </c>
      <c r="GJ410">
        <v>0</v>
      </c>
      <c r="GK410">
        <f>ROUND(R410*(R12)/100,2)</f>
        <v>0</v>
      </c>
      <c r="GL410">
        <f t="shared" si="380"/>
        <v>0</v>
      </c>
      <c r="GM410">
        <f t="shared" si="381"/>
        <v>3353.6</v>
      </c>
      <c r="GN410">
        <f t="shared" si="382"/>
        <v>3353.6</v>
      </c>
      <c r="GO410">
        <f t="shared" si="383"/>
        <v>0</v>
      </c>
      <c r="GP410">
        <f t="shared" si="384"/>
        <v>0</v>
      </c>
      <c r="GR410">
        <v>0</v>
      </c>
      <c r="GS410">
        <v>3</v>
      </c>
      <c r="GT410">
        <v>0</v>
      </c>
      <c r="GU410" t="s">
        <v>6</v>
      </c>
      <c r="GV410">
        <f t="shared" si="385"/>
        <v>0</v>
      </c>
      <c r="GW410">
        <v>1</v>
      </c>
      <c r="GX410">
        <f t="shared" si="386"/>
        <v>0</v>
      </c>
      <c r="HA410">
        <v>0</v>
      </c>
      <c r="HB410">
        <v>0</v>
      </c>
      <c r="HC410">
        <f t="shared" si="387"/>
        <v>0</v>
      </c>
      <c r="IK410">
        <v>0</v>
      </c>
    </row>
    <row r="411" spans="1:245" x14ac:dyDescent="0.2">
      <c r="A411">
        <v>18</v>
      </c>
      <c r="B411">
        <v>1</v>
      </c>
      <c r="C411">
        <v>836</v>
      </c>
      <c r="E411" t="s">
        <v>1065</v>
      </c>
      <c r="F411" t="s">
        <v>1066</v>
      </c>
      <c r="G411" t="s">
        <v>1067</v>
      </c>
      <c r="H411" t="s">
        <v>177</v>
      </c>
      <c r="I411">
        <f>I409*J411</f>
        <v>3</v>
      </c>
      <c r="J411">
        <v>2.7272727272727271</v>
      </c>
      <c r="O411">
        <f t="shared" si="354"/>
        <v>5400.98</v>
      </c>
      <c r="P411">
        <f t="shared" si="355"/>
        <v>5400.98</v>
      </c>
      <c r="Q411">
        <f t="shared" si="356"/>
        <v>0</v>
      </c>
      <c r="R411">
        <f t="shared" si="357"/>
        <v>0</v>
      </c>
      <c r="S411">
        <f t="shared" si="358"/>
        <v>0</v>
      </c>
      <c r="T411">
        <f t="shared" si="359"/>
        <v>0</v>
      </c>
      <c r="U411">
        <f t="shared" si="360"/>
        <v>0</v>
      </c>
      <c r="V411">
        <f t="shared" si="361"/>
        <v>0</v>
      </c>
      <c r="W411">
        <f t="shared" si="362"/>
        <v>0</v>
      </c>
      <c r="X411">
        <f t="shared" si="363"/>
        <v>0</v>
      </c>
      <c r="Y411">
        <f t="shared" si="364"/>
        <v>0</v>
      </c>
      <c r="AA411">
        <v>16630606</v>
      </c>
      <c r="AB411">
        <f t="shared" si="365"/>
        <v>252.5</v>
      </c>
      <c r="AC411">
        <f t="shared" si="388"/>
        <v>252.5</v>
      </c>
      <c r="AD411">
        <f>ROUND((((ET411)-(EU411))+AE411),2)</f>
        <v>0</v>
      </c>
      <c r="AE411">
        <f t="shared" si="391"/>
        <v>0</v>
      </c>
      <c r="AF411">
        <f t="shared" si="391"/>
        <v>0</v>
      </c>
      <c r="AG411">
        <f t="shared" si="366"/>
        <v>0</v>
      </c>
      <c r="AH411">
        <f t="shared" si="392"/>
        <v>0</v>
      </c>
      <c r="AI411">
        <f t="shared" si="392"/>
        <v>0</v>
      </c>
      <c r="AJ411">
        <f t="shared" si="367"/>
        <v>0</v>
      </c>
      <c r="AK411">
        <v>252.5</v>
      </c>
      <c r="AL411">
        <v>252.5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103</v>
      </c>
      <c r="AU411">
        <v>60</v>
      </c>
      <c r="AV411">
        <v>1</v>
      </c>
      <c r="AW411">
        <v>1</v>
      </c>
      <c r="AZ411">
        <v>7.13</v>
      </c>
      <c r="BA411">
        <v>1</v>
      </c>
      <c r="BB411">
        <v>1</v>
      </c>
      <c r="BC411">
        <v>7.13</v>
      </c>
      <c r="BD411" t="s">
        <v>6</v>
      </c>
      <c r="BE411" t="s">
        <v>6</v>
      </c>
      <c r="BF411" t="s">
        <v>6</v>
      </c>
      <c r="BG411" t="s">
        <v>6</v>
      </c>
      <c r="BH411">
        <v>3</v>
      </c>
      <c r="BI411">
        <v>1</v>
      </c>
      <c r="BJ411" t="s">
        <v>1068</v>
      </c>
      <c r="BM411">
        <v>65007</v>
      </c>
      <c r="BN411">
        <v>0</v>
      </c>
      <c r="BO411" t="s">
        <v>6</v>
      </c>
      <c r="BP411">
        <v>0</v>
      </c>
      <c r="BQ411">
        <v>6</v>
      </c>
      <c r="BR411">
        <v>0</v>
      </c>
      <c r="BS411">
        <v>1</v>
      </c>
      <c r="BT411">
        <v>1</v>
      </c>
      <c r="BU411">
        <v>1</v>
      </c>
      <c r="BV411">
        <v>1</v>
      </c>
      <c r="BW411">
        <v>1</v>
      </c>
      <c r="BX411">
        <v>1</v>
      </c>
      <c r="BY411" t="s">
        <v>6</v>
      </c>
      <c r="BZ411">
        <v>103</v>
      </c>
      <c r="CA411">
        <v>60</v>
      </c>
      <c r="CE411">
        <v>0</v>
      </c>
      <c r="CF411">
        <v>0</v>
      </c>
      <c r="CG411">
        <v>0</v>
      </c>
      <c r="CM411">
        <v>0</v>
      </c>
      <c r="CN411" t="s">
        <v>6</v>
      </c>
      <c r="CO411">
        <v>0</v>
      </c>
      <c r="CP411">
        <f t="shared" si="368"/>
        <v>5400.98</v>
      </c>
      <c r="CQ411">
        <f t="shared" si="369"/>
        <v>1800.325</v>
      </c>
      <c r="CR411">
        <f t="shared" si="370"/>
        <v>0</v>
      </c>
      <c r="CS411">
        <f t="shared" si="371"/>
        <v>0</v>
      </c>
      <c r="CT411">
        <f t="shared" si="372"/>
        <v>0</v>
      </c>
      <c r="CU411">
        <f t="shared" si="373"/>
        <v>0</v>
      </c>
      <c r="CV411">
        <f t="shared" si="374"/>
        <v>0</v>
      </c>
      <c r="CW411">
        <f t="shared" si="375"/>
        <v>0</v>
      </c>
      <c r="CX411">
        <f t="shared" si="376"/>
        <v>0</v>
      </c>
      <c r="CY411">
        <f t="shared" si="377"/>
        <v>0</v>
      </c>
      <c r="CZ411">
        <f t="shared" si="378"/>
        <v>0</v>
      </c>
      <c r="DC411" t="s">
        <v>6</v>
      </c>
      <c r="DD411" t="s">
        <v>6</v>
      </c>
      <c r="DE411" t="s">
        <v>6</v>
      </c>
      <c r="DF411" t="s">
        <v>6</v>
      </c>
      <c r="DG411" t="s">
        <v>6</v>
      </c>
      <c r="DH411" t="s">
        <v>6</v>
      </c>
      <c r="DI411" t="s">
        <v>6</v>
      </c>
      <c r="DJ411" t="s">
        <v>6</v>
      </c>
      <c r="DK411" t="s">
        <v>6</v>
      </c>
      <c r="DL411" t="s">
        <v>6</v>
      </c>
      <c r="DM411" t="s">
        <v>6</v>
      </c>
      <c r="DN411">
        <v>0</v>
      </c>
      <c r="DO411">
        <v>0</v>
      </c>
      <c r="DP411">
        <v>1</v>
      </c>
      <c r="DQ411">
        <v>1</v>
      </c>
      <c r="DU411">
        <v>1013</v>
      </c>
      <c r="DV411" t="s">
        <v>177</v>
      </c>
      <c r="DW411" t="s">
        <v>177</v>
      </c>
      <c r="DX411">
        <v>1</v>
      </c>
      <c r="EE411">
        <v>16609196</v>
      </c>
      <c r="EF411">
        <v>6</v>
      </c>
      <c r="EG411" t="s">
        <v>39</v>
      </c>
      <c r="EH411">
        <v>0</v>
      </c>
      <c r="EI411" t="s">
        <v>6</v>
      </c>
      <c r="EJ411">
        <v>1</v>
      </c>
      <c r="EK411">
        <v>65007</v>
      </c>
      <c r="EL411" t="s">
        <v>761</v>
      </c>
      <c r="EM411" t="s">
        <v>714</v>
      </c>
      <c r="EO411" t="s">
        <v>6</v>
      </c>
      <c r="EQ411">
        <v>0</v>
      </c>
      <c r="ER411">
        <v>252.5</v>
      </c>
      <c r="ES411">
        <v>252.5</v>
      </c>
      <c r="ET411">
        <v>0</v>
      </c>
      <c r="EU411">
        <v>0</v>
      </c>
      <c r="EV411">
        <v>0</v>
      </c>
      <c r="EW411">
        <v>0</v>
      </c>
      <c r="EX411">
        <v>0</v>
      </c>
      <c r="FQ411">
        <v>0</v>
      </c>
      <c r="FR411">
        <f t="shared" si="379"/>
        <v>0</v>
      </c>
      <c r="FS411">
        <v>0</v>
      </c>
      <c r="FX411">
        <v>103</v>
      </c>
      <c r="FY411">
        <v>60</v>
      </c>
      <c r="GA411" t="s">
        <v>6</v>
      </c>
      <c r="GD411">
        <v>0</v>
      </c>
      <c r="GF411">
        <v>1657433162</v>
      </c>
      <c r="GG411">
        <v>1</v>
      </c>
      <c r="GH411">
        <v>1</v>
      </c>
      <c r="GI411">
        <v>4</v>
      </c>
      <c r="GJ411">
        <v>0</v>
      </c>
      <c r="GK411">
        <f>ROUND(R411*(R12)/100,2)</f>
        <v>0</v>
      </c>
      <c r="GL411">
        <f t="shared" si="380"/>
        <v>0</v>
      </c>
      <c r="GM411">
        <f t="shared" si="381"/>
        <v>5400.98</v>
      </c>
      <c r="GN411">
        <f t="shared" si="382"/>
        <v>5400.98</v>
      </c>
      <c r="GO411">
        <f t="shared" si="383"/>
        <v>0</v>
      </c>
      <c r="GP411">
        <f t="shared" si="384"/>
        <v>0</v>
      </c>
      <c r="GR411">
        <v>0</v>
      </c>
      <c r="GS411">
        <v>3</v>
      </c>
      <c r="GT411">
        <v>0</v>
      </c>
      <c r="GU411" t="s">
        <v>6</v>
      </c>
      <c r="GV411">
        <f t="shared" si="385"/>
        <v>0</v>
      </c>
      <c r="GW411">
        <v>1</v>
      </c>
      <c r="GX411">
        <f t="shared" si="386"/>
        <v>0</v>
      </c>
      <c r="HA411">
        <v>0</v>
      </c>
      <c r="HB411">
        <v>0</v>
      </c>
      <c r="HC411">
        <f t="shared" si="387"/>
        <v>0</v>
      </c>
      <c r="IK411">
        <v>0</v>
      </c>
    </row>
    <row r="412" spans="1:245" x14ac:dyDescent="0.2">
      <c r="A412">
        <v>18</v>
      </c>
      <c r="B412">
        <v>1</v>
      </c>
      <c r="C412">
        <v>837</v>
      </c>
      <c r="E412" t="s">
        <v>1069</v>
      </c>
      <c r="F412" t="s">
        <v>1070</v>
      </c>
      <c r="G412" t="s">
        <v>1071</v>
      </c>
      <c r="H412" t="s">
        <v>177</v>
      </c>
      <c r="I412">
        <f>I409*J412</f>
        <v>3</v>
      </c>
      <c r="J412">
        <v>2.7272727272727271</v>
      </c>
      <c r="O412">
        <f t="shared" si="354"/>
        <v>2287.23</v>
      </c>
      <c r="P412">
        <f t="shared" si="355"/>
        <v>2287.23</v>
      </c>
      <c r="Q412">
        <f t="shared" si="356"/>
        <v>0</v>
      </c>
      <c r="R412">
        <f t="shared" si="357"/>
        <v>0</v>
      </c>
      <c r="S412">
        <f t="shared" si="358"/>
        <v>0</v>
      </c>
      <c r="T412">
        <f t="shared" si="359"/>
        <v>0</v>
      </c>
      <c r="U412">
        <f t="shared" si="360"/>
        <v>0</v>
      </c>
      <c r="V412">
        <f t="shared" si="361"/>
        <v>0</v>
      </c>
      <c r="W412">
        <f t="shared" si="362"/>
        <v>0</v>
      </c>
      <c r="X412">
        <f t="shared" si="363"/>
        <v>0</v>
      </c>
      <c r="Y412">
        <f t="shared" si="364"/>
        <v>0</v>
      </c>
      <c r="AA412">
        <v>16630606</v>
      </c>
      <c r="AB412">
        <f t="shared" si="365"/>
        <v>106.93</v>
      </c>
      <c r="AC412">
        <f t="shared" si="388"/>
        <v>106.93</v>
      </c>
      <c r="AD412">
        <f>ROUND((((ET412)-(EU412))+AE412),2)</f>
        <v>0</v>
      </c>
      <c r="AE412">
        <f t="shared" si="391"/>
        <v>0</v>
      </c>
      <c r="AF412">
        <f t="shared" si="391"/>
        <v>0</v>
      </c>
      <c r="AG412">
        <f t="shared" si="366"/>
        <v>0</v>
      </c>
      <c r="AH412">
        <f t="shared" si="392"/>
        <v>0</v>
      </c>
      <c r="AI412">
        <f t="shared" si="392"/>
        <v>0</v>
      </c>
      <c r="AJ412">
        <f t="shared" si="367"/>
        <v>0</v>
      </c>
      <c r="AK412">
        <v>106.93</v>
      </c>
      <c r="AL412">
        <v>106.93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115</v>
      </c>
      <c r="AU412">
        <v>71</v>
      </c>
      <c r="AV412">
        <v>1</v>
      </c>
      <c r="AW412">
        <v>1</v>
      </c>
      <c r="AZ412">
        <v>7.13</v>
      </c>
      <c r="BA412">
        <v>1</v>
      </c>
      <c r="BB412">
        <v>1</v>
      </c>
      <c r="BC412">
        <v>7.13</v>
      </c>
      <c r="BD412" t="s">
        <v>6</v>
      </c>
      <c r="BE412" t="s">
        <v>6</v>
      </c>
      <c r="BF412" t="s">
        <v>6</v>
      </c>
      <c r="BG412" t="s">
        <v>6</v>
      </c>
      <c r="BH412">
        <v>3</v>
      </c>
      <c r="BI412">
        <v>1</v>
      </c>
      <c r="BJ412" t="s">
        <v>1072</v>
      </c>
      <c r="BM412">
        <v>17001</v>
      </c>
      <c r="BN412">
        <v>0</v>
      </c>
      <c r="BO412" t="s">
        <v>6</v>
      </c>
      <c r="BP412">
        <v>0</v>
      </c>
      <c r="BQ412">
        <v>2</v>
      </c>
      <c r="BR412">
        <v>0</v>
      </c>
      <c r="BS412">
        <v>1</v>
      </c>
      <c r="BT412">
        <v>1</v>
      </c>
      <c r="BU412">
        <v>1</v>
      </c>
      <c r="BV412">
        <v>1</v>
      </c>
      <c r="BW412">
        <v>1</v>
      </c>
      <c r="BX412">
        <v>1</v>
      </c>
      <c r="BY412" t="s">
        <v>6</v>
      </c>
      <c r="BZ412">
        <v>128</v>
      </c>
      <c r="CA412">
        <v>83</v>
      </c>
      <c r="CE412">
        <v>0</v>
      </c>
      <c r="CF412">
        <v>0</v>
      </c>
      <c r="CG412">
        <v>0</v>
      </c>
      <c r="CM412">
        <v>0</v>
      </c>
      <c r="CN412" t="s">
        <v>6</v>
      </c>
      <c r="CO412">
        <v>0</v>
      </c>
      <c r="CP412">
        <f t="shared" si="368"/>
        <v>2287.23</v>
      </c>
      <c r="CQ412">
        <f t="shared" si="369"/>
        <v>762.41090000000008</v>
      </c>
      <c r="CR412">
        <f t="shared" si="370"/>
        <v>0</v>
      </c>
      <c r="CS412">
        <f t="shared" si="371"/>
        <v>0</v>
      </c>
      <c r="CT412">
        <f t="shared" si="372"/>
        <v>0</v>
      </c>
      <c r="CU412">
        <f t="shared" si="373"/>
        <v>0</v>
      </c>
      <c r="CV412">
        <f t="shared" si="374"/>
        <v>0</v>
      </c>
      <c r="CW412">
        <f t="shared" si="375"/>
        <v>0</v>
      </c>
      <c r="CX412">
        <f t="shared" si="376"/>
        <v>0</v>
      </c>
      <c r="CY412">
        <f t="shared" si="377"/>
        <v>0</v>
      </c>
      <c r="CZ412">
        <f t="shared" si="378"/>
        <v>0</v>
      </c>
      <c r="DC412" t="s">
        <v>6</v>
      </c>
      <c r="DD412" t="s">
        <v>6</v>
      </c>
      <c r="DE412" t="s">
        <v>6</v>
      </c>
      <c r="DF412" t="s">
        <v>6</v>
      </c>
      <c r="DG412" t="s">
        <v>6</v>
      </c>
      <c r="DH412" t="s">
        <v>6</v>
      </c>
      <c r="DI412" t="s">
        <v>6</v>
      </c>
      <c r="DJ412" t="s">
        <v>6</v>
      </c>
      <c r="DK412" t="s">
        <v>6</v>
      </c>
      <c r="DL412" t="s">
        <v>6</v>
      </c>
      <c r="DM412" t="s">
        <v>6</v>
      </c>
      <c r="DN412">
        <v>0</v>
      </c>
      <c r="DO412">
        <v>0</v>
      </c>
      <c r="DP412">
        <v>1</v>
      </c>
      <c r="DQ412">
        <v>1</v>
      </c>
      <c r="DU412">
        <v>1013</v>
      </c>
      <c r="DV412" t="s">
        <v>177</v>
      </c>
      <c r="DW412" t="s">
        <v>177</v>
      </c>
      <c r="DX412">
        <v>1</v>
      </c>
      <c r="EE412">
        <v>16609132</v>
      </c>
      <c r="EF412">
        <v>2</v>
      </c>
      <c r="EG412" t="s">
        <v>14</v>
      </c>
      <c r="EH412">
        <v>0</v>
      </c>
      <c r="EI412" t="s">
        <v>6</v>
      </c>
      <c r="EJ412">
        <v>1</v>
      </c>
      <c r="EK412">
        <v>17001</v>
      </c>
      <c r="EL412" t="s">
        <v>941</v>
      </c>
      <c r="EM412" t="s">
        <v>942</v>
      </c>
      <c r="EO412" t="s">
        <v>6</v>
      </c>
      <c r="EQ412">
        <v>0</v>
      </c>
      <c r="ER412">
        <v>106.93</v>
      </c>
      <c r="ES412">
        <v>106.93</v>
      </c>
      <c r="ET412">
        <v>0</v>
      </c>
      <c r="EU412">
        <v>0</v>
      </c>
      <c r="EV412">
        <v>0</v>
      </c>
      <c r="EW412">
        <v>0</v>
      </c>
      <c r="EX412">
        <v>0</v>
      </c>
      <c r="FQ412">
        <v>0</v>
      </c>
      <c r="FR412">
        <f t="shared" si="379"/>
        <v>0</v>
      </c>
      <c r="FS412">
        <v>0</v>
      </c>
      <c r="FT412" t="s">
        <v>22</v>
      </c>
      <c r="FU412" t="s">
        <v>23</v>
      </c>
      <c r="FX412">
        <v>115.2</v>
      </c>
      <c r="FY412">
        <v>70.55</v>
      </c>
      <c r="GA412" t="s">
        <v>6</v>
      </c>
      <c r="GD412">
        <v>0</v>
      </c>
      <c r="GF412">
        <v>-1158480503</v>
      </c>
      <c r="GG412">
        <v>1</v>
      </c>
      <c r="GH412">
        <v>1</v>
      </c>
      <c r="GI412">
        <v>4</v>
      </c>
      <c r="GJ412">
        <v>0</v>
      </c>
      <c r="GK412">
        <f>ROUND(R412*(R12)/100,2)</f>
        <v>0</v>
      </c>
      <c r="GL412">
        <f t="shared" si="380"/>
        <v>0</v>
      </c>
      <c r="GM412">
        <f t="shared" si="381"/>
        <v>2287.23</v>
      </c>
      <c r="GN412">
        <f t="shared" si="382"/>
        <v>2287.23</v>
      </c>
      <c r="GO412">
        <f t="shared" si="383"/>
        <v>0</v>
      </c>
      <c r="GP412">
        <f t="shared" si="384"/>
        <v>0</v>
      </c>
      <c r="GR412">
        <v>0</v>
      </c>
      <c r="GS412">
        <v>3</v>
      </c>
      <c r="GT412">
        <v>0</v>
      </c>
      <c r="GU412" t="s">
        <v>6</v>
      </c>
      <c r="GV412">
        <f t="shared" si="385"/>
        <v>0</v>
      </c>
      <c r="GW412">
        <v>1</v>
      </c>
      <c r="GX412">
        <f t="shared" si="386"/>
        <v>0</v>
      </c>
      <c r="HA412">
        <v>0</v>
      </c>
      <c r="HB412">
        <v>0</v>
      </c>
      <c r="HC412">
        <f t="shared" si="387"/>
        <v>0</v>
      </c>
      <c r="IK412">
        <v>0</v>
      </c>
    </row>
    <row r="413" spans="1:245" x14ac:dyDescent="0.2">
      <c r="A413">
        <v>18</v>
      </c>
      <c r="B413">
        <v>1</v>
      </c>
      <c r="C413">
        <v>838</v>
      </c>
      <c r="E413" t="s">
        <v>1073</v>
      </c>
      <c r="F413" t="s">
        <v>1074</v>
      </c>
      <c r="G413" t="s">
        <v>1075</v>
      </c>
      <c r="H413" t="s">
        <v>177</v>
      </c>
      <c r="I413">
        <f>I409*J413</f>
        <v>5</v>
      </c>
      <c r="J413">
        <v>4.545454545454545</v>
      </c>
      <c r="O413">
        <f t="shared" si="354"/>
        <v>3107.61</v>
      </c>
      <c r="P413">
        <f t="shared" si="355"/>
        <v>3107.61</v>
      </c>
      <c r="Q413">
        <f t="shared" si="356"/>
        <v>0</v>
      </c>
      <c r="R413">
        <f t="shared" si="357"/>
        <v>0</v>
      </c>
      <c r="S413">
        <f t="shared" si="358"/>
        <v>0</v>
      </c>
      <c r="T413">
        <f t="shared" si="359"/>
        <v>0</v>
      </c>
      <c r="U413">
        <f t="shared" si="360"/>
        <v>0</v>
      </c>
      <c r="V413">
        <f t="shared" si="361"/>
        <v>0</v>
      </c>
      <c r="W413">
        <f t="shared" si="362"/>
        <v>0</v>
      </c>
      <c r="X413">
        <f t="shared" si="363"/>
        <v>0</v>
      </c>
      <c r="Y413">
        <f t="shared" si="364"/>
        <v>0</v>
      </c>
      <c r="AA413">
        <v>16630606</v>
      </c>
      <c r="AB413">
        <f t="shared" si="365"/>
        <v>87.17</v>
      </c>
      <c r="AC413">
        <f t="shared" si="388"/>
        <v>87.17</v>
      </c>
      <c r="AD413">
        <f>ROUND((((ET413)-(EU413))+AE413),2)</f>
        <v>0</v>
      </c>
      <c r="AE413">
        <f t="shared" si="391"/>
        <v>0</v>
      </c>
      <c r="AF413">
        <f t="shared" si="391"/>
        <v>0</v>
      </c>
      <c r="AG413">
        <f t="shared" si="366"/>
        <v>0</v>
      </c>
      <c r="AH413">
        <f t="shared" si="392"/>
        <v>0</v>
      </c>
      <c r="AI413">
        <f t="shared" si="392"/>
        <v>0</v>
      </c>
      <c r="AJ413">
        <f t="shared" si="367"/>
        <v>0</v>
      </c>
      <c r="AK413">
        <v>87.17</v>
      </c>
      <c r="AL413">
        <v>87.17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115</v>
      </c>
      <c r="AU413">
        <v>71</v>
      </c>
      <c r="AV413">
        <v>1</v>
      </c>
      <c r="AW413">
        <v>1</v>
      </c>
      <c r="AZ413">
        <v>7.13</v>
      </c>
      <c r="BA413">
        <v>1</v>
      </c>
      <c r="BB413">
        <v>1</v>
      </c>
      <c r="BC413">
        <v>7.13</v>
      </c>
      <c r="BD413" t="s">
        <v>6</v>
      </c>
      <c r="BE413" t="s">
        <v>6</v>
      </c>
      <c r="BF413" t="s">
        <v>6</v>
      </c>
      <c r="BG413" t="s">
        <v>6</v>
      </c>
      <c r="BH413">
        <v>3</v>
      </c>
      <c r="BI413">
        <v>1</v>
      </c>
      <c r="BJ413" t="s">
        <v>1076</v>
      </c>
      <c r="BM413">
        <v>17001</v>
      </c>
      <c r="BN413">
        <v>0</v>
      </c>
      <c r="BO413" t="s">
        <v>6</v>
      </c>
      <c r="BP413">
        <v>0</v>
      </c>
      <c r="BQ413">
        <v>2</v>
      </c>
      <c r="BR413">
        <v>0</v>
      </c>
      <c r="BS413">
        <v>1</v>
      </c>
      <c r="BT413">
        <v>1</v>
      </c>
      <c r="BU413">
        <v>1</v>
      </c>
      <c r="BV413">
        <v>1</v>
      </c>
      <c r="BW413">
        <v>1</v>
      </c>
      <c r="BX413">
        <v>1</v>
      </c>
      <c r="BY413" t="s">
        <v>6</v>
      </c>
      <c r="BZ413">
        <v>128</v>
      </c>
      <c r="CA413">
        <v>83</v>
      </c>
      <c r="CE413">
        <v>0</v>
      </c>
      <c r="CF413">
        <v>0</v>
      </c>
      <c r="CG413">
        <v>0</v>
      </c>
      <c r="CM413">
        <v>0</v>
      </c>
      <c r="CN413" t="s">
        <v>6</v>
      </c>
      <c r="CO413">
        <v>0</v>
      </c>
      <c r="CP413">
        <f t="shared" si="368"/>
        <v>3107.61</v>
      </c>
      <c r="CQ413">
        <f t="shared" si="369"/>
        <v>621.52210000000002</v>
      </c>
      <c r="CR413">
        <f t="shared" si="370"/>
        <v>0</v>
      </c>
      <c r="CS413">
        <f t="shared" si="371"/>
        <v>0</v>
      </c>
      <c r="CT413">
        <f t="shared" si="372"/>
        <v>0</v>
      </c>
      <c r="CU413">
        <f t="shared" si="373"/>
        <v>0</v>
      </c>
      <c r="CV413">
        <f t="shared" si="374"/>
        <v>0</v>
      </c>
      <c r="CW413">
        <f t="shared" si="375"/>
        <v>0</v>
      </c>
      <c r="CX413">
        <f t="shared" si="376"/>
        <v>0</v>
      </c>
      <c r="CY413">
        <f t="shared" si="377"/>
        <v>0</v>
      </c>
      <c r="CZ413">
        <f t="shared" si="378"/>
        <v>0</v>
      </c>
      <c r="DC413" t="s">
        <v>6</v>
      </c>
      <c r="DD413" t="s">
        <v>6</v>
      </c>
      <c r="DE413" t="s">
        <v>6</v>
      </c>
      <c r="DF413" t="s">
        <v>6</v>
      </c>
      <c r="DG413" t="s">
        <v>6</v>
      </c>
      <c r="DH413" t="s">
        <v>6</v>
      </c>
      <c r="DI413" t="s">
        <v>6</v>
      </c>
      <c r="DJ413" t="s">
        <v>6</v>
      </c>
      <c r="DK413" t="s">
        <v>6</v>
      </c>
      <c r="DL413" t="s">
        <v>6</v>
      </c>
      <c r="DM413" t="s">
        <v>6</v>
      </c>
      <c r="DN413">
        <v>0</v>
      </c>
      <c r="DO413">
        <v>0</v>
      </c>
      <c r="DP413">
        <v>1</v>
      </c>
      <c r="DQ413">
        <v>1</v>
      </c>
      <c r="DU413">
        <v>1013</v>
      </c>
      <c r="DV413" t="s">
        <v>177</v>
      </c>
      <c r="DW413" t="s">
        <v>177</v>
      </c>
      <c r="DX413">
        <v>1</v>
      </c>
      <c r="EE413">
        <v>16609132</v>
      </c>
      <c r="EF413">
        <v>2</v>
      </c>
      <c r="EG413" t="s">
        <v>14</v>
      </c>
      <c r="EH413">
        <v>0</v>
      </c>
      <c r="EI413" t="s">
        <v>6</v>
      </c>
      <c r="EJ413">
        <v>1</v>
      </c>
      <c r="EK413">
        <v>17001</v>
      </c>
      <c r="EL413" t="s">
        <v>941</v>
      </c>
      <c r="EM413" t="s">
        <v>942</v>
      </c>
      <c r="EO413" t="s">
        <v>6</v>
      </c>
      <c r="EQ413">
        <v>0</v>
      </c>
      <c r="ER413">
        <v>87.17</v>
      </c>
      <c r="ES413">
        <v>87.17</v>
      </c>
      <c r="ET413">
        <v>0</v>
      </c>
      <c r="EU413">
        <v>0</v>
      </c>
      <c r="EV413">
        <v>0</v>
      </c>
      <c r="EW413">
        <v>0</v>
      </c>
      <c r="EX413">
        <v>0</v>
      </c>
      <c r="FQ413">
        <v>0</v>
      </c>
      <c r="FR413">
        <f t="shared" si="379"/>
        <v>0</v>
      </c>
      <c r="FS413">
        <v>0</v>
      </c>
      <c r="FT413" t="s">
        <v>22</v>
      </c>
      <c r="FU413" t="s">
        <v>23</v>
      </c>
      <c r="FX413">
        <v>115.2</v>
      </c>
      <c r="FY413">
        <v>70.55</v>
      </c>
      <c r="GA413" t="s">
        <v>6</v>
      </c>
      <c r="GD413">
        <v>0</v>
      </c>
      <c r="GF413">
        <v>-518659730</v>
      </c>
      <c r="GG413">
        <v>1</v>
      </c>
      <c r="GH413">
        <v>1</v>
      </c>
      <c r="GI413">
        <v>4</v>
      </c>
      <c r="GJ413">
        <v>0</v>
      </c>
      <c r="GK413">
        <f>ROUND(R413*(R12)/100,2)</f>
        <v>0</v>
      </c>
      <c r="GL413">
        <f t="shared" si="380"/>
        <v>0</v>
      </c>
      <c r="GM413">
        <f t="shared" si="381"/>
        <v>3107.61</v>
      </c>
      <c r="GN413">
        <f t="shared" si="382"/>
        <v>3107.61</v>
      </c>
      <c r="GO413">
        <f t="shared" si="383"/>
        <v>0</v>
      </c>
      <c r="GP413">
        <f t="shared" si="384"/>
        <v>0</v>
      </c>
      <c r="GR413">
        <v>0</v>
      </c>
      <c r="GS413">
        <v>3</v>
      </c>
      <c r="GT413">
        <v>0</v>
      </c>
      <c r="GU413" t="s">
        <v>6</v>
      </c>
      <c r="GV413">
        <f t="shared" si="385"/>
        <v>0</v>
      </c>
      <c r="GW413">
        <v>1</v>
      </c>
      <c r="GX413">
        <f t="shared" si="386"/>
        <v>0</v>
      </c>
      <c r="HA413">
        <v>0</v>
      </c>
      <c r="HB413">
        <v>0</v>
      </c>
      <c r="HC413">
        <f t="shared" si="387"/>
        <v>0</v>
      </c>
      <c r="IK413">
        <v>0</v>
      </c>
    </row>
    <row r="414" spans="1:245" x14ac:dyDescent="0.2">
      <c r="A414">
        <v>17</v>
      </c>
      <c r="B414">
        <v>1</v>
      </c>
      <c r="C414">
        <f>ROW(SmtRes!A845)</f>
        <v>845</v>
      </c>
      <c r="D414">
        <f>ROW(EtalonRes!A858)</f>
        <v>858</v>
      </c>
      <c r="E414" t="s">
        <v>1077</v>
      </c>
      <c r="F414" t="s">
        <v>825</v>
      </c>
      <c r="G414" t="s">
        <v>826</v>
      </c>
      <c r="H414" t="s">
        <v>57</v>
      </c>
      <c r="I414">
        <f>ROUND(90.3/100,9)</f>
        <v>0.90300000000000002</v>
      </c>
      <c r="J414">
        <v>0</v>
      </c>
      <c r="O414">
        <f t="shared" si="354"/>
        <v>817.67</v>
      </c>
      <c r="P414">
        <f t="shared" si="355"/>
        <v>27.62</v>
      </c>
      <c r="Q414">
        <f t="shared" si="356"/>
        <v>358.23</v>
      </c>
      <c r="R414">
        <f t="shared" si="357"/>
        <v>0</v>
      </c>
      <c r="S414">
        <f t="shared" si="358"/>
        <v>431.82</v>
      </c>
      <c r="T414">
        <f t="shared" si="359"/>
        <v>0</v>
      </c>
      <c r="U414">
        <f t="shared" si="360"/>
        <v>5.2026344999999994</v>
      </c>
      <c r="V414">
        <f t="shared" si="361"/>
        <v>0</v>
      </c>
      <c r="W414">
        <f t="shared" si="362"/>
        <v>0</v>
      </c>
      <c r="X414">
        <f t="shared" si="363"/>
        <v>496.59</v>
      </c>
      <c r="Y414">
        <f t="shared" si="364"/>
        <v>306.58999999999997</v>
      </c>
      <c r="AA414">
        <v>16630606</v>
      </c>
      <c r="AB414">
        <f t="shared" si="365"/>
        <v>127</v>
      </c>
      <c r="AC414">
        <f t="shared" si="388"/>
        <v>4.29</v>
      </c>
      <c r="AD414">
        <f>ROUND(((((ET414*1.25))-((EU414*1.25)))+AE414),2)</f>
        <v>55.64</v>
      </c>
      <c r="AE414">
        <f>ROUND(((EU414*1.25)),2)</f>
        <v>0</v>
      </c>
      <c r="AF414">
        <f>ROUND(((EV414*1.15)),2)</f>
        <v>67.069999999999993</v>
      </c>
      <c r="AG414">
        <f t="shared" si="366"/>
        <v>0</v>
      </c>
      <c r="AH414">
        <f>((EW414*1.15))</f>
        <v>5.761499999999999</v>
      </c>
      <c r="AI414">
        <f>((EX414*1.25))</f>
        <v>0</v>
      </c>
      <c r="AJ414">
        <f t="shared" si="367"/>
        <v>0</v>
      </c>
      <c r="AK414">
        <v>107.12</v>
      </c>
      <c r="AL414">
        <v>4.29</v>
      </c>
      <c r="AM414">
        <v>44.51</v>
      </c>
      <c r="AN414">
        <v>0</v>
      </c>
      <c r="AO414">
        <v>58.32</v>
      </c>
      <c r="AP414">
        <v>0</v>
      </c>
      <c r="AQ414">
        <v>5.01</v>
      </c>
      <c r="AR414">
        <v>0</v>
      </c>
      <c r="AS414">
        <v>0</v>
      </c>
      <c r="AT414">
        <v>115</v>
      </c>
      <c r="AU414">
        <v>71</v>
      </c>
      <c r="AV414">
        <v>1</v>
      </c>
      <c r="AW414">
        <v>1</v>
      </c>
      <c r="AZ414">
        <v>7.13</v>
      </c>
      <c r="BA414">
        <v>7.13</v>
      </c>
      <c r="BB414">
        <v>7.13</v>
      </c>
      <c r="BC414">
        <v>7.13</v>
      </c>
      <c r="BD414" t="s">
        <v>6</v>
      </c>
      <c r="BE414" t="s">
        <v>6</v>
      </c>
      <c r="BF414" t="s">
        <v>6</v>
      </c>
      <c r="BG414" t="s">
        <v>6</v>
      </c>
      <c r="BH414">
        <v>0</v>
      </c>
      <c r="BI414">
        <v>1</v>
      </c>
      <c r="BJ414" t="s">
        <v>827</v>
      </c>
      <c r="BM414">
        <v>16001</v>
      </c>
      <c r="BN414">
        <v>0</v>
      </c>
      <c r="BO414" t="s">
        <v>6</v>
      </c>
      <c r="BP414">
        <v>0</v>
      </c>
      <c r="BQ414">
        <v>2</v>
      </c>
      <c r="BR414">
        <v>0</v>
      </c>
      <c r="BS414">
        <v>7.13</v>
      </c>
      <c r="BT414">
        <v>1</v>
      </c>
      <c r="BU414">
        <v>1</v>
      </c>
      <c r="BV414">
        <v>1</v>
      </c>
      <c r="BW414">
        <v>1</v>
      </c>
      <c r="BX414">
        <v>1</v>
      </c>
      <c r="BY414" t="s">
        <v>6</v>
      </c>
      <c r="BZ414">
        <v>128</v>
      </c>
      <c r="CA414">
        <v>83</v>
      </c>
      <c r="CE414">
        <v>0</v>
      </c>
      <c r="CF414">
        <v>0</v>
      </c>
      <c r="CG414">
        <v>0</v>
      </c>
      <c r="CM414">
        <v>0</v>
      </c>
      <c r="CN414" t="s">
        <v>1758</v>
      </c>
      <c r="CO414">
        <v>0</v>
      </c>
      <c r="CP414">
        <f t="shared" si="368"/>
        <v>817.67000000000007</v>
      </c>
      <c r="CQ414">
        <f t="shared" si="369"/>
        <v>30.587699999999998</v>
      </c>
      <c r="CR414">
        <f t="shared" si="370"/>
        <v>396.71319999999997</v>
      </c>
      <c r="CS414">
        <f t="shared" si="371"/>
        <v>0</v>
      </c>
      <c r="CT414">
        <f t="shared" si="372"/>
        <v>478.20909999999992</v>
      </c>
      <c r="CU414">
        <f t="shared" si="373"/>
        <v>0</v>
      </c>
      <c r="CV414">
        <f t="shared" si="374"/>
        <v>5.761499999999999</v>
      </c>
      <c r="CW414">
        <f t="shared" si="375"/>
        <v>0</v>
      </c>
      <c r="CX414">
        <f t="shared" si="376"/>
        <v>0</v>
      </c>
      <c r="CY414">
        <f t="shared" si="377"/>
        <v>496.59299999999996</v>
      </c>
      <c r="CZ414">
        <f t="shared" si="378"/>
        <v>306.59219999999999</v>
      </c>
      <c r="DC414" t="s">
        <v>6</v>
      </c>
      <c r="DD414" t="s">
        <v>6</v>
      </c>
      <c r="DE414" t="s">
        <v>81</v>
      </c>
      <c r="DF414" t="s">
        <v>81</v>
      </c>
      <c r="DG414" t="s">
        <v>82</v>
      </c>
      <c r="DH414" t="s">
        <v>6</v>
      </c>
      <c r="DI414" t="s">
        <v>82</v>
      </c>
      <c r="DJ414" t="s">
        <v>81</v>
      </c>
      <c r="DK414" t="s">
        <v>6</v>
      </c>
      <c r="DL414" t="s">
        <v>6</v>
      </c>
      <c r="DM414" t="s">
        <v>6</v>
      </c>
      <c r="DN414">
        <v>0</v>
      </c>
      <c r="DO414">
        <v>0</v>
      </c>
      <c r="DP414">
        <v>1</v>
      </c>
      <c r="DQ414">
        <v>1</v>
      </c>
      <c r="DU414">
        <v>1003</v>
      </c>
      <c r="DV414" t="s">
        <v>57</v>
      </c>
      <c r="DW414" t="s">
        <v>57</v>
      </c>
      <c r="DX414">
        <v>100</v>
      </c>
      <c r="EE414">
        <v>16609131</v>
      </c>
      <c r="EF414">
        <v>2</v>
      </c>
      <c r="EG414" t="s">
        <v>14</v>
      </c>
      <c r="EH414">
        <v>0</v>
      </c>
      <c r="EI414" t="s">
        <v>6</v>
      </c>
      <c r="EJ414">
        <v>1</v>
      </c>
      <c r="EK414">
        <v>16001</v>
      </c>
      <c r="EL414" t="s">
        <v>730</v>
      </c>
      <c r="EM414" t="s">
        <v>731</v>
      </c>
      <c r="EO414" t="s">
        <v>83</v>
      </c>
      <c r="EQ414">
        <v>131072</v>
      </c>
      <c r="ER414">
        <v>107.12</v>
      </c>
      <c r="ES414">
        <v>4.29</v>
      </c>
      <c r="ET414">
        <v>44.51</v>
      </c>
      <c r="EU414">
        <v>0</v>
      </c>
      <c r="EV414">
        <v>58.32</v>
      </c>
      <c r="EW414">
        <v>5.01</v>
      </c>
      <c r="EX414">
        <v>0</v>
      </c>
      <c r="EY414">
        <v>0</v>
      </c>
      <c r="FQ414">
        <v>0</v>
      </c>
      <c r="FR414">
        <f t="shared" si="379"/>
        <v>0</v>
      </c>
      <c r="FS414">
        <v>0</v>
      </c>
      <c r="FT414" t="s">
        <v>22</v>
      </c>
      <c r="FU414" t="s">
        <v>23</v>
      </c>
      <c r="FX414">
        <v>115.2</v>
      </c>
      <c r="FY414">
        <v>70.55</v>
      </c>
      <c r="GA414" t="s">
        <v>6</v>
      </c>
      <c r="GD414">
        <v>0</v>
      </c>
      <c r="GF414">
        <v>1667606600</v>
      </c>
      <c r="GG414">
        <v>1</v>
      </c>
      <c r="GH414">
        <v>1</v>
      </c>
      <c r="GI414">
        <v>4</v>
      </c>
      <c r="GJ414">
        <v>0</v>
      </c>
      <c r="GK414">
        <f>ROUND(R414*(R12)/100,2)</f>
        <v>0</v>
      </c>
      <c r="GL414">
        <f t="shared" si="380"/>
        <v>0</v>
      </c>
      <c r="GM414">
        <f t="shared" si="381"/>
        <v>1620.85</v>
      </c>
      <c r="GN414">
        <f t="shared" si="382"/>
        <v>1620.85</v>
      </c>
      <c r="GO414">
        <f t="shared" si="383"/>
        <v>0</v>
      </c>
      <c r="GP414">
        <f t="shared" si="384"/>
        <v>0</v>
      </c>
      <c r="GR414">
        <v>0</v>
      </c>
      <c r="GS414">
        <v>3</v>
      </c>
      <c r="GT414">
        <v>0</v>
      </c>
      <c r="GU414" t="s">
        <v>6</v>
      </c>
      <c r="GV414">
        <f t="shared" si="385"/>
        <v>0</v>
      </c>
      <c r="GW414">
        <v>1</v>
      </c>
      <c r="GX414">
        <f t="shared" si="386"/>
        <v>0</v>
      </c>
      <c r="HA414">
        <v>0</v>
      </c>
      <c r="HB414">
        <v>0</v>
      </c>
      <c r="HC414">
        <f t="shared" si="387"/>
        <v>0</v>
      </c>
      <c r="IK414">
        <v>0</v>
      </c>
    </row>
    <row r="415" spans="1:245" x14ac:dyDescent="0.2">
      <c r="A415">
        <v>17</v>
      </c>
      <c r="B415">
        <v>1</v>
      </c>
      <c r="C415">
        <f>ROW(SmtRes!A854)</f>
        <v>854</v>
      </c>
      <c r="D415">
        <f>ROW(EtalonRes!A868)</f>
        <v>868</v>
      </c>
      <c r="E415" t="s">
        <v>1078</v>
      </c>
      <c r="F415" t="s">
        <v>1079</v>
      </c>
      <c r="G415" t="s">
        <v>1080</v>
      </c>
      <c r="H415" t="s">
        <v>127</v>
      </c>
      <c r="I415">
        <v>3</v>
      </c>
      <c r="J415">
        <v>0</v>
      </c>
      <c r="O415">
        <f t="shared" si="354"/>
        <v>1606.17</v>
      </c>
      <c r="P415">
        <f t="shared" si="355"/>
        <v>391.44</v>
      </c>
      <c r="Q415">
        <f t="shared" si="356"/>
        <v>126.41</v>
      </c>
      <c r="R415">
        <f t="shared" si="357"/>
        <v>3.21</v>
      </c>
      <c r="S415">
        <f t="shared" si="358"/>
        <v>1088.32</v>
      </c>
      <c r="T415">
        <f t="shared" si="359"/>
        <v>0</v>
      </c>
      <c r="U415">
        <f t="shared" si="360"/>
        <v>15.386999999999999</v>
      </c>
      <c r="V415">
        <f t="shared" si="361"/>
        <v>3.7500000000000006E-2</v>
      </c>
      <c r="W415">
        <f t="shared" si="362"/>
        <v>0</v>
      </c>
      <c r="X415">
        <f t="shared" si="363"/>
        <v>1255.26</v>
      </c>
      <c r="Y415">
        <f t="shared" si="364"/>
        <v>774.99</v>
      </c>
      <c r="AA415">
        <v>16630606</v>
      </c>
      <c r="AB415">
        <f t="shared" si="365"/>
        <v>75.09</v>
      </c>
      <c r="AC415">
        <f t="shared" si="388"/>
        <v>18.3</v>
      </c>
      <c r="AD415">
        <f>ROUND(((((ET415*1.25))-((EU415*1.25)))+AE415),2)</f>
        <v>5.91</v>
      </c>
      <c r="AE415">
        <f>ROUND(((EU415*1.25)),2)</f>
        <v>0.15</v>
      </c>
      <c r="AF415">
        <f>ROUND(((EV415*1.15)),2)</f>
        <v>50.88</v>
      </c>
      <c r="AG415">
        <f t="shared" si="366"/>
        <v>0</v>
      </c>
      <c r="AH415">
        <f>((EW415*1.15))</f>
        <v>5.1289999999999996</v>
      </c>
      <c r="AI415">
        <f>((EX415*1.25))</f>
        <v>1.2500000000000001E-2</v>
      </c>
      <c r="AJ415">
        <f t="shared" si="367"/>
        <v>0</v>
      </c>
      <c r="AK415">
        <v>67.27</v>
      </c>
      <c r="AL415">
        <v>18.3</v>
      </c>
      <c r="AM415">
        <v>4.7300000000000004</v>
      </c>
      <c r="AN415">
        <v>0.12</v>
      </c>
      <c r="AO415">
        <v>44.24</v>
      </c>
      <c r="AP415">
        <v>0</v>
      </c>
      <c r="AQ415">
        <v>4.46</v>
      </c>
      <c r="AR415">
        <v>0.01</v>
      </c>
      <c r="AS415">
        <v>0</v>
      </c>
      <c r="AT415">
        <v>115</v>
      </c>
      <c r="AU415">
        <v>71</v>
      </c>
      <c r="AV415">
        <v>1</v>
      </c>
      <c r="AW415">
        <v>1</v>
      </c>
      <c r="AZ415">
        <v>7.13</v>
      </c>
      <c r="BA415">
        <v>7.13</v>
      </c>
      <c r="BB415">
        <v>7.13</v>
      </c>
      <c r="BC415">
        <v>7.13</v>
      </c>
      <c r="BD415" t="s">
        <v>6</v>
      </c>
      <c r="BE415" t="s">
        <v>6</v>
      </c>
      <c r="BF415" t="s">
        <v>6</v>
      </c>
      <c r="BG415" t="s">
        <v>6</v>
      </c>
      <c r="BH415">
        <v>0</v>
      </c>
      <c r="BI415">
        <v>1</v>
      </c>
      <c r="BJ415" t="s">
        <v>1081</v>
      </c>
      <c r="BM415">
        <v>16001</v>
      </c>
      <c r="BN415">
        <v>0</v>
      </c>
      <c r="BO415" t="s">
        <v>6</v>
      </c>
      <c r="BP415">
        <v>0</v>
      </c>
      <c r="BQ415">
        <v>2</v>
      </c>
      <c r="BR415">
        <v>0</v>
      </c>
      <c r="BS415">
        <v>7.13</v>
      </c>
      <c r="BT415">
        <v>1</v>
      </c>
      <c r="BU415">
        <v>1</v>
      </c>
      <c r="BV415">
        <v>1</v>
      </c>
      <c r="BW415">
        <v>1</v>
      </c>
      <c r="BX415">
        <v>1</v>
      </c>
      <c r="BY415" t="s">
        <v>6</v>
      </c>
      <c r="BZ415">
        <v>128</v>
      </c>
      <c r="CA415">
        <v>83</v>
      </c>
      <c r="CE415">
        <v>0</v>
      </c>
      <c r="CF415">
        <v>0</v>
      </c>
      <c r="CG415">
        <v>0</v>
      </c>
      <c r="CM415">
        <v>0</v>
      </c>
      <c r="CN415" t="s">
        <v>1758</v>
      </c>
      <c r="CO415">
        <v>0</v>
      </c>
      <c r="CP415">
        <f t="shared" si="368"/>
        <v>1606.17</v>
      </c>
      <c r="CQ415">
        <f t="shared" si="369"/>
        <v>130.47900000000001</v>
      </c>
      <c r="CR415">
        <f t="shared" si="370"/>
        <v>42.138300000000001</v>
      </c>
      <c r="CS415">
        <f t="shared" si="371"/>
        <v>1.0694999999999999</v>
      </c>
      <c r="CT415">
        <f t="shared" si="372"/>
        <v>362.77440000000001</v>
      </c>
      <c r="CU415">
        <f t="shared" si="373"/>
        <v>0</v>
      </c>
      <c r="CV415">
        <f t="shared" si="374"/>
        <v>5.1289999999999996</v>
      </c>
      <c r="CW415">
        <f t="shared" si="375"/>
        <v>1.2500000000000001E-2</v>
      </c>
      <c r="CX415">
        <f t="shared" si="376"/>
        <v>0</v>
      </c>
      <c r="CY415">
        <f t="shared" si="377"/>
        <v>1255.2594999999999</v>
      </c>
      <c r="CZ415">
        <f t="shared" si="378"/>
        <v>774.98630000000003</v>
      </c>
      <c r="DC415" t="s">
        <v>6</v>
      </c>
      <c r="DD415" t="s">
        <v>6</v>
      </c>
      <c r="DE415" t="s">
        <v>81</v>
      </c>
      <c r="DF415" t="s">
        <v>81</v>
      </c>
      <c r="DG415" t="s">
        <v>82</v>
      </c>
      <c r="DH415" t="s">
        <v>6</v>
      </c>
      <c r="DI415" t="s">
        <v>82</v>
      </c>
      <c r="DJ415" t="s">
        <v>81</v>
      </c>
      <c r="DK415" t="s">
        <v>6</v>
      </c>
      <c r="DL415" t="s">
        <v>6</v>
      </c>
      <c r="DM415" t="s">
        <v>6</v>
      </c>
      <c r="DN415">
        <v>0</v>
      </c>
      <c r="DO415">
        <v>0</v>
      </c>
      <c r="DP415">
        <v>1</v>
      </c>
      <c r="DQ415">
        <v>1</v>
      </c>
      <c r="DU415">
        <v>1013</v>
      </c>
      <c r="DV415" t="s">
        <v>127</v>
      </c>
      <c r="DW415" t="s">
        <v>127</v>
      </c>
      <c r="DX415">
        <v>1</v>
      </c>
      <c r="EE415">
        <v>16609131</v>
      </c>
      <c r="EF415">
        <v>2</v>
      </c>
      <c r="EG415" t="s">
        <v>14</v>
      </c>
      <c r="EH415">
        <v>0</v>
      </c>
      <c r="EI415" t="s">
        <v>6</v>
      </c>
      <c r="EJ415">
        <v>1</v>
      </c>
      <c r="EK415">
        <v>16001</v>
      </c>
      <c r="EL415" t="s">
        <v>730</v>
      </c>
      <c r="EM415" t="s">
        <v>731</v>
      </c>
      <c r="EO415" t="s">
        <v>83</v>
      </c>
      <c r="EQ415">
        <v>131072</v>
      </c>
      <c r="ER415">
        <v>67.27</v>
      </c>
      <c r="ES415">
        <v>18.3</v>
      </c>
      <c r="ET415">
        <v>4.7300000000000004</v>
      </c>
      <c r="EU415">
        <v>0.12</v>
      </c>
      <c r="EV415">
        <v>44.24</v>
      </c>
      <c r="EW415">
        <v>4.46</v>
      </c>
      <c r="EX415">
        <v>0.01</v>
      </c>
      <c r="EY415">
        <v>0</v>
      </c>
      <c r="FQ415">
        <v>0</v>
      </c>
      <c r="FR415">
        <f t="shared" si="379"/>
        <v>0</v>
      </c>
      <c r="FS415">
        <v>0</v>
      </c>
      <c r="FT415" t="s">
        <v>22</v>
      </c>
      <c r="FU415" t="s">
        <v>23</v>
      </c>
      <c r="FX415">
        <v>115.2</v>
      </c>
      <c r="FY415">
        <v>70.55</v>
      </c>
      <c r="GA415" t="s">
        <v>6</v>
      </c>
      <c r="GD415">
        <v>0</v>
      </c>
      <c r="GF415">
        <v>300647802</v>
      </c>
      <c r="GG415">
        <v>1</v>
      </c>
      <c r="GH415">
        <v>1</v>
      </c>
      <c r="GI415">
        <v>4</v>
      </c>
      <c r="GJ415">
        <v>0</v>
      </c>
      <c r="GK415">
        <f>ROUND(R415*(R12)/100,2)</f>
        <v>0</v>
      </c>
      <c r="GL415">
        <f t="shared" si="380"/>
        <v>0</v>
      </c>
      <c r="GM415">
        <f t="shared" si="381"/>
        <v>3636.42</v>
      </c>
      <c r="GN415">
        <f t="shared" si="382"/>
        <v>3636.42</v>
      </c>
      <c r="GO415">
        <f t="shared" si="383"/>
        <v>0</v>
      </c>
      <c r="GP415">
        <f t="shared" si="384"/>
        <v>0</v>
      </c>
      <c r="GR415">
        <v>0</v>
      </c>
      <c r="GS415">
        <v>3</v>
      </c>
      <c r="GT415">
        <v>0</v>
      </c>
      <c r="GU415" t="s">
        <v>6</v>
      </c>
      <c r="GV415">
        <f t="shared" si="385"/>
        <v>0</v>
      </c>
      <c r="GW415">
        <v>1</v>
      </c>
      <c r="GX415">
        <f t="shared" si="386"/>
        <v>0</v>
      </c>
      <c r="HA415">
        <v>0</v>
      </c>
      <c r="HB415">
        <v>0</v>
      </c>
      <c r="HC415">
        <f t="shared" si="387"/>
        <v>0</v>
      </c>
      <c r="IK415">
        <v>0</v>
      </c>
    </row>
    <row r="417" spans="1:206" x14ac:dyDescent="0.2">
      <c r="A417" s="2">
        <v>51</v>
      </c>
      <c r="B417" s="2">
        <f>B390</f>
        <v>1</v>
      </c>
      <c r="C417" s="2">
        <f>A390</f>
        <v>4</v>
      </c>
      <c r="D417" s="2">
        <f>ROW(A390)</f>
        <v>390</v>
      </c>
      <c r="E417" s="2"/>
      <c r="F417" s="2" t="str">
        <f>IF(F390&lt;&gt;"",F390,"")</f>
        <v>Новый раздел</v>
      </c>
      <c r="G417" s="2" t="str">
        <f>IF(G390&lt;&gt;"",G390,"")</f>
        <v>Внутренняя система водоснабжения</v>
      </c>
      <c r="H417" s="2">
        <v>0</v>
      </c>
      <c r="I417" s="2"/>
      <c r="J417" s="2"/>
      <c r="K417" s="2"/>
      <c r="L417" s="2"/>
      <c r="M417" s="2"/>
      <c r="N417" s="2"/>
      <c r="O417" s="2">
        <f t="shared" ref="O417:T417" si="393">ROUND(AB417,2)</f>
        <v>63609.18</v>
      </c>
      <c r="P417" s="2">
        <f t="shared" si="393"/>
        <v>37460.39</v>
      </c>
      <c r="Q417" s="2">
        <f t="shared" si="393"/>
        <v>8403.7999999999993</v>
      </c>
      <c r="R417" s="2">
        <f t="shared" si="393"/>
        <v>991.03</v>
      </c>
      <c r="S417" s="2">
        <f t="shared" si="393"/>
        <v>17744.990000000002</v>
      </c>
      <c r="T417" s="2">
        <f t="shared" si="393"/>
        <v>0</v>
      </c>
      <c r="U417" s="2">
        <f>AH417</f>
        <v>260.04746449999993</v>
      </c>
      <c r="V417" s="2">
        <f>AI417</f>
        <v>10.368874999999999</v>
      </c>
      <c r="W417" s="2">
        <f>ROUND(AJ417,2)</f>
        <v>0</v>
      </c>
      <c r="X417" s="2">
        <f>ROUND(AK417,2)</f>
        <v>20665.89</v>
      </c>
      <c r="Y417" s="2">
        <f>ROUND(AL417,2)</f>
        <v>12851.59</v>
      </c>
      <c r="Z417" s="2"/>
      <c r="AA417" s="2"/>
      <c r="AB417" s="2">
        <f>ROUND(SUMIF(AA394:AA415,"=16630606",O394:O415),2)</f>
        <v>63609.18</v>
      </c>
      <c r="AC417" s="2">
        <f>ROUND(SUMIF(AA394:AA415,"=16630606",P394:P415),2)</f>
        <v>37460.39</v>
      </c>
      <c r="AD417" s="2">
        <f>ROUND(SUMIF(AA394:AA415,"=16630606",Q394:Q415),2)</f>
        <v>8403.7999999999993</v>
      </c>
      <c r="AE417" s="2">
        <f>ROUND(SUMIF(AA394:AA415,"=16630606",R394:R415),2)</f>
        <v>991.03</v>
      </c>
      <c r="AF417" s="2">
        <f>ROUND(SUMIF(AA394:AA415,"=16630606",S394:S415),2)</f>
        <v>17744.990000000002</v>
      </c>
      <c r="AG417" s="2">
        <f>ROUND(SUMIF(AA394:AA415,"=16630606",T394:T415),2)</f>
        <v>0</v>
      </c>
      <c r="AH417" s="2">
        <f>SUMIF(AA394:AA415,"=16630606",U394:U415)</f>
        <v>260.04746449999993</v>
      </c>
      <c r="AI417" s="2">
        <f>SUMIF(AA394:AA415,"=16630606",V394:V415)</f>
        <v>10.368874999999999</v>
      </c>
      <c r="AJ417" s="2">
        <f>ROUND(SUMIF(AA394:AA415,"=16630606",W394:W415),2)</f>
        <v>0</v>
      </c>
      <c r="AK417" s="2">
        <f>ROUND(SUMIF(AA394:AA415,"=16630606",X394:X415),2)</f>
        <v>20665.89</v>
      </c>
      <c r="AL417" s="2">
        <f>ROUND(SUMIF(AA394:AA415,"=16630606",Y394:Y415),2)</f>
        <v>12851.59</v>
      </c>
      <c r="AM417" s="2"/>
      <c r="AN417" s="2"/>
      <c r="AO417" s="2">
        <f t="shared" ref="AO417:BC417" si="394">ROUND(BX417,2)</f>
        <v>0</v>
      </c>
      <c r="AP417" s="2">
        <f t="shared" si="394"/>
        <v>0</v>
      </c>
      <c r="AQ417" s="2">
        <f t="shared" si="394"/>
        <v>0</v>
      </c>
      <c r="AR417" s="2">
        <f t="shared" si="394"/>
        <v>97126.66</v>
      </c>
      <c r="AS417" s="2">
        <f t="shared" si="394"/>
        <v>97126.66</v>
      </c>
      <c r="AT417" s="2">
        <f t="shared" si="394"/>
        <v>0</v>
      </c>
      <c r="AU417" s="2">
        <f t="shared" si="394"/>
        <v>0</v>
      </c>
      <c r="AV417" s="2">
        <f t="shared" si="394"/>
        <v>37460.39</v>
      </c>
      <c r="AW417" s="2">
        <f t="shared" si="394"/>
        <v>37460.39</v>
      </c>
      <c r="AX417" s="2">
        <f t="shared" si="394"/>
        <v>0</v>
      </c>
      <c r="AY417" s="2">
        <f t="shared" si="394"/>
        <v>37460.39</v>
      </c>
      <c r="AZ417" s="2">
        <f t="shared" si="394"/>
        <v>0</v>
      </c>
      <c r="BA417" s="2">
        <f t="shared" si="394"/>
        <v>0</v>
      </c>
      <c r="BB417" s="2">
        <f t="shared" si="394"/>
        <v>0</v>
      </c>
      <c r="BC417" s="2">
        <f t="shared" si="394"/>
        <v>0</v>
      </c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>
        <f>ROUND(SUMIF(AA394:AA415,"=16630606",FQ394:FQ415),2)</f>
        <v>0</v>
      </c>
      <c r="BY417" s="2">
        <f>ROUND(SUMIF(AA394:AA415,"=16630606",FR394:FR415),2)</f>
        <v>0</v>
      </c>
      <c r="BZ417" s="2">
        <f>ROUND(SUMIF(AA394:AA415,"=16630606",GL394:GL415),2)</f>
        <v>0</v>
      </c>
      <c r="CA417" s="2">
        <f>ROUND(SUMIF(AA394:AA415,"=16630606",GM394:GM415),2)</f>
        <v>97126.66</v>
      </c>
      <c r="CB417" s="2">
        <f>ROUND(SUMIF(AA394:AA415,"=16630606",GN394:GN415),2)</f>
        <v>97126.66</v>
      </c>
      <c r="CC417" s="2">
        <f>ROUND(SUMIF(AA394:AA415,"=16630606",GO394:GO415),2)</f>
        <v>0</v>
      </c>
      <c r="CD417" s="2">
        <f>ROUND(SUMIF(AA394:AA415,"=16630606",GP394:GP415),2)</f>
        <v>0</v>
      </c>
      <c r="CE417" s="2">
        <f>AC417-BX417</f>
        <v>37460.39</v>
      </c>
      <c r="CF417" s="2">
        <f>AC417-BY417</f>
        <v>37460.39</v>
      </c>
      <c r="CG417" s="2">
        <f>BX417-BZ417</f>
        <v>0</v>
      </c>
      <c r="CH417" s="2">
        <f>AC417-BX417-BY417+BZ417</f>
        <v>37460.39</v>
      </c>
      <c r="CI417" s="2">
        <f>BY417-BZ417</f>
        <v>0</v>
      </c>
      <c r="CJ417" s="2">
        <f>ROUND(SUMIF(AA394:AA415,"=16630606",GX394:GX415),2)</f>
        <v>0</v>
      </c>
      <c r="CK417" s="2">
        <f>ROUND(SUMIF(AA394:AA415,"=16630606",GY394:GY415),2)</f>
        <v>0</v>
      </c>
      <c r="CL417" s="2">
        <f>ROUND(SUMIF(AA394:AA415,"=16630606",GZ394:GZ415),2)</f>
        <v>0</v>
      </c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>
        <v>0</v>
      </c>
    </row>
    <row r="419" spans="1:206" x14ac:dyDescent="0.2">
      <c r="A419" s="4">
        <v>50</v>
      </c>
      <c r="B419" s="4">
        <v>0</v>
      </c>
      <c r="C419" s="4">
        <v>0</v>
      </c>
      <c r="D419" s="4">
        <v>1</v>
      </c>
      <c r="E419" s="4">
        <v>201</v>
      </c>
      <c r="F419" s="4">
        <f>ROUND(Source!O417,O419)</f>
        <v>63609.18</v>
      </c>
      <c r="G419" s="4" t="s">
        <v>428</v>
      </c>
      <c r="H419" s="4" t="s">
        <v>429</v>
      </c>
      <c r="I419" s="4"/>
      <c r="J419" s="4"/>
      <c r="K419" s="4">
        <v>201</v>
      </c>
      <c r="L419" s="4">
        <v>1</v>
      </c>
      <c r="M419" s="4">
        <v>3</v>
      </c>
      <c r="N419" s="4" t="s">
        <v>6</v>
      </c>
      <c r="O419" s="4">
        <v>2</v>
      </c>
      <c r="P419" s="4"/>
      <c r="Q419" s="4"/>
      <c r="R419" s="4"/>
      <c r="S419" s="4"/>
      <c r="T419" s="4"/>
      <c r="U419" s="4"/>
      <c r="V419" s="4"/>
      <c r="W419" s="4"/>
    </row>
    <row r="420" spans="1:206" x14ac:dyDescent="0.2">
      <c r="A420" s="4">
        <v>50</v>
      </c>
      <c r="B420" s="4">
        <v>0</v>
      </c>
      <c r="C420" s="4">
        <v>0</v>
      </c>
      <c r="D420" s="4">
        <v>1</v>
      </c>
      <c r="E420" s="4">
        <v>202</v>
      </c>
      <c r="F420" s="4">
        <f>ROUND(Source!P417,O420)</f>
        <v>37460.39</v>
      </c>
      <c r="G420" s="4" t="s">
        <v>430</v>
      </c>
      <c r="H420" s="4" t="s">
        <v>431</v>
      </c>
      <c r="I420" s="4"/>
      <c r="J420" s="4"/>
      <c r="K420" s="4">
        <v>202</v>
      </c>
      <c r="L420" s="4">
        <v>2</v>
      </c>
      <c r="M420" s="4">
        <v>3</v>
      </c>
      <c r="N420" s="4" t="s">
        <v>6</v>
      </c>
      <c r="O420" s="4">
        <v>2</v>
      </c>
      <c r="P420" s="4"/>
      <c r="Q420" s="4"/>
      <c r="R420" s="4"/>
      <c r="S420" s="4"/>
      <c r="T420" s="4"/>
      <c r="U420" s="4"/>
      <c r="V420" s="4"/>
      <c r="W420" s="4"/>
    </row>
    <row r="421" spans="1:206" x14ac:dyDescent="0.2">
      <c r="A421" s="4">
        <v>50</v>
      </c>
      <c r="B421" s="4">
        <v>0</v>
      </c>
      <c r="C421" s="4">
        <v>0</v>
      </c>
      <c r="D421" s="4">
        <v>1</v>
      </c>
      <c r="E421" s="4">
        <v>222</v>
      </c>
      <c r="F421" s="4">
        <f>ROUND(Source!AO417,O421)</f>
        <v>0</v>
      </c>
      <c r="G421" s="4" t="s">
        <v>432</v>
      </c>
      <c r="H421" s="4" t="s">
        <v>433</v>
      </c>
      <c r="I421" s="4"/>
      <c r="J421" s="4"/>
      <c r="K421" s="4">
        <v>222</v>
      </c>
      <c r="L421" s="4">
        <v>3</v>
      </c>
      <c r="M421" s="4">
        <v>3</v>
      </c>
      <c r="N421" s="4" t="s">
        <v>6</v>
      </c>
      <c r="O421" s="4">
        <v>2</v>
      </c>
      <c r="P421" s="4"/>
      <c r="Q421" s="4"/>
      <c r="R421" s="4"/>
      <c r="S421" s="4"/>
      <c r="T421" s="4"/>
      <c r="U421" s="4"/>
      <c r="V421" s="4"/>
      <c r="W421" s="4"/>
    </row>
    <row r="422" spans="1:206" x14ac:dyDescent="0.2">
      <c r="A422" s="4">
        <v>50</v>
      </c>
      <c r="B422" s="4">
        <v>0</v>
      </c>
      <c r="C422" s="4">
        <v>0</v>
      </c>
      <c r="D422" s="4">
        <v>1</v>
      </c>
      <c r="E422" s="4">
        <v>225</v>
      </c>
      <c r="F422" s="4">
        <f>ROUND(Source!AV417,O422)</f>
        <v>37460.39</v>
      </c>
      <c r="G422" s="4" t="s">
        <v>434</v>
      </c>
      <c r="H422" s="4" t="s">
        <v>435</v>
      </c>
      <c r="I422" s="4"/>
      <c r="J422" s="4"/>
      <c r="K422" s="4">
        <v>225</v>
      </c>
      <c r="L422" s="4">
        <v>4</v>
      </c>
      <c r="M422" s="4">
        <v>3</v>
      </c>
      <c r="N422" s="4" t="s">
        <v>6</v>
      </c>
      <c r="O422" s="4">
        <v>2</v>
      </c>
      <c r="P422" s="4"/>
      <c r="Q422" s="4"/>
      <c r="R422" s="4"/>
      <c r="S422" s="4"/>
      <c r="T422" s="4"/>
      <c r="U422" s="4"/>
      <c r="V422" s="4"/>
      <c r="W422" s="4"/>
    </row>
    <row r="423" spans="1:206" x14ac:dyDescent="0.2">
      <c r="A423" s="4">
        <v>50</v>
      </c>
      <c r="B423" s="4">
        <v>0</v>
      </c>
      <c r="C423" s="4">
        <v>0</v>
      </c>
      <c r="D423" s="4">
        <v>1</v>
      </c>
      <c r="E423" s="4">
        <v>226</v>
      </c>
      <c r="F423" s="4">
        <f>ROUND(Source!AW417,O423)</f>
        <v>37460.39</v>
      </c>
      <c r="G423" s="4" t="s">
        <v>436</v>
      </c>
      <c r="H423" s="4" t="s">
        <v>437</v>
      </c>
      <c r="I423" s="4"/>
      <c r="J423" s="4"/>
      <c r="K423" s="4">
        <v>226</v>
      </c>
      <c r="L423" s="4">
        <v>5</v>
      </c>
      <c r="M423" s="4">
        <v>3</v>
      </c>
      <c r="N423" s="4" t="s">
        <v>6</v>
      </c>
      <c r="O423" s="4">
        <v>2</v>
      </c>
      <c r="P423" s="4"/>
      <c r="Q423" s="4"/>
      <c r="R423" s="4"/>
      <c r="S423" s="4"/>
      <c r="T423" s="4"/>
      <c r="U423" s="4"/>
      <c r="V423" s="4"/>
      <c r="W423" s="4"/>
    </row>
    <row r="424" spans="1:206" x14ac:dyDescent="0.2">
      <c r="A424" s="4">
        <v>50</v>
      </c>
      <c r="B424" s="4">
        <v>0</v>
      </c>
      <c r="C424" s="4">
        <v>0</v>
      </c>
      <c r="D424" s="4">
        <v>1</v>
      </c>
      <c r="E424" s="4">
        <v>227</v>
      </c>
      <c r="F424" s="4">
        <f>ROUND(Source!AX417,O424)</f>
        <v>0</v>
      </c>
      <c r="G424" s="4" t="s">
        <v>438</v>
      </c>
      <c r="H424" s="4" t="s">
        <v>439</v>
      </c>
      <c r="I424" s="4"/>
      <c r="J424" s="4"/>
      <c r="K424" s="4">
        <v>227</v>
      </c>
      <c r="L424" s="4">
        <v>6</v>
      </c>
      <c r="M424" s="4">
        <v>3</v>
      </c>
      <c r="N424" s="4" t="s">
        <v>6</v>
      </c>
      <c r="O424" s="4">
        <v>2</v>
      </c>
      <c r="P424" s="4"/>
      <c r="Q424" s="4"/>
      <c r="R424" s="4"/>
      <c r="S424" s="4"/>
      <c r="T424" s="4"/>
      <c r="U424" s="4"/>
      <c r="V424" s="4"/>
      <c r="W424" s="4"/>
    </row>
    <row r="425" spans="1:206" x14ac:dyDescent="0.2">
      <c r="A425" s="4">
        <v>50</v>
      </c>
      <c r="B425" s="4">
        <v>0</v>
      </c>
      <c r="C425" s="4">
        <v>0</v>
      </c>
      <c r="D425" s="4">
        <v>1</v>
      </c>
      <c r="E425" s="4">
        <v>228</v>
      </c>
      <c r="F425" s="4">
        <f>ROUND(Source!AY417,O425)</f>
        <v>37460.39</v>
      </c>
      <c r="G425" s="4" t="s">
        <v>440</v>
      </c>
      <c r="H425" s="4" t="s">
        <v>441</v>
      </c>
      <c r="I425" s="4"/>
      <c r="J425" s="4"/>
      <c r="K425" s="4">
        <v>228</v>
      </c>
      <c r="L425" s="4">
        <v>7</v>
      </c>
      <c r="M425" s="4">
        <v>3</v>
      </c>
      <c r="N425" s="4" t="s">
        <v>6</v>
      </c>
      <c r="O425" s="4">
        <v>2</v>
      </c>
      <c r="P425" s="4"/>
      <c r="Q425" s="4"/>
      <c r="R425" s="4"/>
      <c r="S425" s="4"/>
      <c r="T425" s="4"/>
      <c r="U425" s="4"/>
      <c r="V425" s="4"/>
      <c r="W425" s="4"/>
    </row>
    <row r="426" spans="1:206" x14ac:dyDescent="0.2">
      <c r="A426" s="4">
        <v>50</v>
      </c>
      <c r="B426" s="4">
        <v>0</v>
      </c>
      <c r="C426" s="4">
        <v>0</v>
      </c>
      <c r="D426" s="4">
        <v>1</v>
      </c>
      <c r="E426" s="4">
        <v>216</v>
      </c>
      <c r="F426" s="4">
        <f>ROUND(Source!AP417,O426)</f>
        <v>0</v>
      </c>
      <c r="G426" s="4" t="s">
        <v>442</v>
      </c>
      <c r="H426" s="4" t="s">
        <v>443</v>
      </c>
      <c r="I426" s="4"/>
      <c r="J426" s="4"/>
      <c r="K426" s="4">
        <v>216</v>
      </c>
      <c r="L426" s="4">
        <v>8</v>
      </c>
      <c r="M426" s="4">
        <v>3</v>
      </c>
      <c r="N426" s="4" t="s">
        <v>6</v>
      </c>
      <c r="O426" s="4">
        <v>2</v>
      </c>
      <c r="P426" s="4"/>
      <c r="Q426" s="4"/>
      <c r="R426" s="4"/>
      <c r="S426" s="4"/>
      <c r="T426" s="4"/>
      <c r="U426" s="4"/>
      <c r="V426" s="4"/>
      <c r="W426" s="4"/>
    </row>
    <row r="427" spans="1:206" x14ac:dyDescent="0.2">
      <c r="A427" s="4">
        <v>50</v>
      </c>
      <c r="B427" s="4">
        <v>0</v>
      </c>
      <c r="C427" s="4">
        <v>0</v>
      </c>
      <c r="D427" s="4">
        <v>1</v>
      </c>
      <c r="E427" s="4">
        <v>223</v>
      </c>
      <c r="F427" s="4">
        <f>ROUND(Source!AQ417,O427)</f>
        <v>0</v>
      </c>
      <c r="G427" s="4" t="s">
        <v>444</v>
      </c>
      <c r="H427" s="4" t="s">
        <v>445</v>
      </c>
      <c r="I427" s="4"/>
      <c r="J427" s="4"/>
      <c r="K427" s="4">
        <v>223</v>
      </c>
      <c r="L427" s="4">
        <v>9</v>
      </c>
      <c r="M427" s="4">
        <v>3</v>
      </c>
      <c r="N427" s="4" t="s">
        <v>6</v>
      </c>
      <c r="O427" s="4">
        <v>2</v>
      </c>
      <c r="P427" s="4"/>
      <c r="Q427" s="4"/>
      <c r="R427" s="4"/>
      <c r="S427" s="4"/>
      <c r="T427" s="4"/>
      <c r="U427" s="4"/>
      <c r="V427" s="4"/>
      <c r="W427" s="4"/>
    </row>
    <row r="428" spans="1:206" x14ac:dyDescent="0.2">
      <c r="A428" s="4">
        <v>50</v>
      </c>
      <c r="B428" s="4">
        <v>0</v>
      </c>
      <c r="C428" s="4">
        <v>0</v>
      </c>
      <c r="D428" s="4">
        <v>1</v>
      </c>
      <c r="E428" s="4">
        <v>229</v>
      </c>
      <c r="F428" s="4">
        <f>ROUND(Source!AZ417,O428)</f>
        <v>0</v>
      </c>
      <c r="G428" s="4" t="s">
        <v>446</v>
      </c>
      <c r="H428" s="4" t="s">
        <v>447</v>
      </c>
      <c r="I428" s="4"/>
      <c r="J428" s="4"/>
      <c r="K428" s="4">
        <v>229</v>
      </c>
      <c r="L428" s="4">
        <v>10</v>
      </c>
      <c r="M428" s="4">
        <v>3</v>
      </c>
      <c r="N428" s="4" t="s">
        <v>6</v>
      </c>
      <c r="O428" s="4">
        <v>2</v>
      </c>
      <c r="P428" s="4"/>
      <c r="Q428" s="4"/>
      <c r="R428" s="4"/>
      <c r="S428" s="4"/>
      <c r="T428" s="4"/>
      <c r="U428" s="4"/>
      <c r="V428" s="4"/>
      <c r="W428" s="4"/>
    </row>
    <row r="429" spans="1:206" x14ac:dyDescent="0.2">
      <c r="A429" s="4">
        <v>50</v>
      </c>
      <c r="B429" s="4">
        <v>0</v>
      </c>
      <c r="C429" s="4">
        <v>0</v>
      </c>
      <c r="D429" s="4">
        <v>1</v>
      </c>
      <c r="E429" s="4">
        <v>203</v>
      </c>
      <c r="F429" s="4">
        <f>ROUND(Source!Q417,O429)</f>
        <v>8403.7999999999993</v>
      </c>
      <c r="G429" s="4" t="s">
        <v>448</v>
      </c>
      <c r="H429" s="4" t="s">
        <v>449</v>
      </c>
      <c r="I429" s="4"/>
      <c r="J429" s="4"/>
      <c r="K429" s="4">
        <v>203</v>
      </c>
      <c r="L429" s="4">
        <v>11</v>
      </c>
      <c r="M429" s="4">
        <v>3</v>
      </c>
      <c r="N429" s="4" t="s">
        <v>6</v>
      </c>
      <c r="O429" s="4">
        <v>2</v>
      </c>
      <c r="P429" s="4"/>
      <c r="Q429" s="4"/>
      <c r="R429" s="4"/>
      <c r="S429" s="4"/>
      <c r="T429" s="4"/>
      <c r="U429" s="4"/>
      <c r="V429" s="4"/>
      <c r="W429" s="4"/>
    </row>
    <row r="430" spans="1:206" x14ac:dyDescent="0.2">
      <c r="A430" s="4">
        <v>50</v>
      </c>
      <c r="B430" s="4">
        <v>0</v>
      </c>
      <c r="C430" s="4">
        <v>0</v>
      </c>
      <c r="D430" s="4">
        <v>1</v>
      </c>
      <c r="E430" s="4">
        <v>231</v>
      </c>
      <c r="F430" s="4">
        <f>ROUND(Source!BB417,O430)</f>
        <v>0</v>
      </c>
      <c r="G430" s="4" t="s">
        <v>450</v>
      </c>
      <c r="H430" s="4" t="s">
        <v>451</v>
      </c>
      <c r="I430" s="4"/>
      <c r="J430" s="4"/>
      <c r="K430" s="4">
        <v>231</v>
      </c>
      <c r="L430" s="4">
        <v>12</v>
      </c>
      <c r="M430" s="4">
        <v>3</v>
      </c>
      <c r="N430" s="4" t="s">
        <v>6</v>
      </c>
      <c r="O430" s="4">
        <v>2</v>
      </c>
      <c r="P430" s="4"/>
      <c r="Q430" s="4"/>
      <c r="R430" s="4"/>
      <c r="S430" s="4"/>
      <c r="T430" s="4"/>
      <c r="U430" s="4"/>
      <c r="V430" s="4"/>
      <c r="W430" s="4"/>
    </row>
    <row r="431" spans="1:206" x14ac:dyDescent="0.2">
      <c r="A431" s="4">
        <v>50</v>
      </c>
      <c r="B431" s="4">
        <v>0</v>
      </c>
      <c r="C431" s="4">
        <v>0</v>
      </c>
      <c r="D431" s="4">
        <v>1</v>
      </c>
      <c r="E431" s="4">
        <v>204</v>
      </c>
      <c r="F431" s="4">
        <f>ROUND(Source!R417,O431)</f>
        <v>991.03</v>
      </c>
      <c r="G431" s="4" t="s">
        <v>452</v>
      </c>
      <c r="H431" s="4" t="s">
        <v>453</v>
      </c>
      <c r="I431" s="4"/>
      <c r="J431" s="4"/>
      <c r="K431" s="4">
        <v>204</v>
      </c>
      <c r="L431" s="4">
        <v>13</v>
      </c>
      <c r="M431" s="4">
        <v>3</v>
      </c>
      <c r="N431" s="4" t="s">
        <v>6</v>
      </c>
      <c r="O431" s="4">
        <v>2</v>
      </c>
      <c r="P431" s="4"/>
      <c r="Q431" s="4"/>
      <c r="R431" s="4"/>
      <c r="S431" s="4"/>
      <c r="T431" s="4"/>
      <c r="U431" s="4"/>
      <c r="V431" s="4"/>
      <c r="W431" s="4"/>
    </row>
    <row r="432" spans="1:206" x14ac:dyDescent="0.2">
      <c r="A432" s="4">
        <v>50</v>
      </c>
      <c r="B432" s="4">
        <v>0</v>
      </c>
      <c r="C432" s="4">
        <v>0</v>
      </c>
      <c r="D432" s="4">
        <v>1</v>
      </c>
      <c r="E432" s="4">
        <v>205</v>
      </c>
      <c r="F432" s="4">
        <f>ROUND(Source!S417,O432)</f>
        <v>17744.990000000002</v>
      </c>
      <c r="G432" s="4" t="s">
        <v>454</v>
      </c>
      <c r="H432" s="4" t="s">
        <v>455</v>
      </c>
      <c r="I432" s="4"/>
      <c r="J432" s="4"/>
      <c r="K432" s="4">
        <v>205</v>
      </c>
      <c r="L432" s="4">
        <v>14</v>
      </c>
      <c r="M432" s="4">
        <v>3</v>
      </c>
      <c r="N432" s="4" t="s">
        <v>6</v>
      </c>
      <c r="O432" s="4">
        <v>2</v>
      </c>
      <c r="P432" s="4"/>
      <c r="Q432" s="4"/>
      <c r="R432" s="4"/>
      <c r="S432" s="4"/>
      <c r="T432" s="4"/>
      <c r="U432" s="4"/>
      <c r="V432" s="4"/>
      <c r="W432" s="4"/>
    </row>
    <row r="433" spans="1:23" x14ac:dyDescent="0.2">
      <c r="A433" s="4">
        <v>50</v>
      </c>
      <c r="B433" s="4">
        <v>0</v>
      </c>
      <c r="C433" s="4">
        <v>0</v>
      </c>
      <c r="D433" s="4">
        <v>1</v>
      </c>
      <c r="E433" s="4">
        <v>232</v>
      </c>
      <c r="F433" s="4">
        <f>ROUND(Source!BC417,O433)</f>
        <v>0</v>
      </c>
      <c r="G433" s="4" t="s">
        <v>456</v>
      </c>
      <c r="H433" s="4" t="s">
        <v>457</v>
      </c>
      <c r="I433" s="4"/>
      <c r="J433" s="4"/>
      <c r="K433" s="4">
        <v>232</v>
      </c>
      <c r="L433" s="4">
        <v>15</v>
      </c>
      <c r="M433" s="4">
        <v>3</v>
      </c>
      <c r="N433" s="4" t="s">
        <v>6</v>
      </c>
      <c r="O433" s="4">
        <v>2</v>
      </c>
      <c r="P433" s="4"/>
      <c r="Q433" s="4"/>
      <c r="R433" s="4"/>
      <c r="S433" s="4"/>
      <c r="T433" s="4"/>
      <c r="U433" s="4"/>
      <c r="V433" s="4"/>
      <c r="W433" s="4"/>
    </row>
    <row r="434" spans="1:23" x14ac:dyDescent="0.2">
      <c r="A434" s="4">
        <v>50</v>
      </c>
      <c r="B434" s="4">
        <v>0</v>
      </c>
      <c r="C434" s="4">
        <v>0</v>
      </c>
      <c r="D434" s="4">
        <v>1</v>
      </c>
      <c r="E434" s="4">
        <v>214</v>
      </c>
      <c r="F434" s="4">
        <f>ROUND(Source!AS417,O434)</f>
        <v>97126.66</v>
      </c>
      <c r="G434" s="4" t="s">
        <v>458</v>
      </c>
      <c r="H434" s="4" t="s">
        <v>459</v>
      </c>
      <c r="I434" s="4"/>
      <c r="J434" s="4"/>
      <c r="K434" s="4">
        <v>214</v>
      </c>
      <c r="L434" s="4">
        <v>16</v>
      </c>
      <c r="M434" s="4">
        <v>3</v>
      </c>
      <c r="N434" s="4" t="s">
        <v>6</v>
      </c>
      <c r="O434" s="4">
        <v>2</v>
      </c>
      <c r="P434" s="4"/>
      <c r="Q434" s="4"/>
      <c r="R434" s="4"/>
      <c r="S434" s="4"/>
      <c r="T434" s="4"/>
      <c r="U434" s="4"/>
      <c r="V434" s="4"/>
      <c r="W434" s="4"/>
    </row>
    <row r="435" spans="1:23" x14ac:dyDescent="0.2">
      <c r="A435" s="4">
        <v>50</v>
      </c>
      <c r="B435" s="4">
        <v>0</v>
      </c>
      <c r="C435" s="4">
        <v>0</v>
      </c>
      <c r="D435" s="4">
        <v>1</v>
      </c>
      <c r="E435" s="4">
        <v>215</v>
      </c>
      <c r="F435" s="4">
        <f>ROUND(Source!AT417,O435)</f>
        <v>0</v>
      </c>
      <c r="G435" s="4" t="s">
        <v>460</v>
      </c>
      <c r="H435" s="4" t="s">
        <v>461</v>
      </c>
      <c r="I435" s="4"/>
      <c r="J435" s="4"/>
      <c r="K435" s="4">
        <v>215</v>
      </c>
      <c r="L435" s="4">
        <v>17</v>
      </c>
      <c r="M435" s="4">
        <v>3</v>
      </c>
      <c r="N435" s="4" t="s">
        <v>6</v>
      </c>
      <c r="O435" s="4">
        <v>2</v>
      </c>
      <c r="P435" s="4"/>
      <c r="Q435" s="4"/>
      <c r="R435" s="4"/>
      <c r="S435" s="4"/>
      <c r="T435" s="4"/>
      <c r="U435" s="4"/>
      <c r="V435" s="4"/>
      <c r="W435" s="4"/>
    </row>
    <row r="436" spans="1:23" x14ac:dyDescent="0.2">
      <c r="A436" s="4">
        <v>50</v>
      </c>
      <c r="B436" s="4">
        <v>0</v>
      </c>
      <c r="C436" s="4">
        <v>0</v>
      </c>
      <c r="D436" s="4">
        <v>1</v>
      </c>
      <c r="E436" s="4">
        <v>217</v>
      </c>
      <c r="F436" s="4">
        <f>ROUND(Source!AU417,O436)</f>
        <v>0</v>
      </c>
      <c r="G436" s="4" t="s">
        <v>462</v>
      </c>
      <c r="H436" s="4" t="s">
        <v>463</v>
      </c>
      <c r="I436" s="4"/>
      <c r="J436" s="4"/>
      <c r="K436" s="4">
        <v>217</v>
      </c>
      <c r="L436" s="4">
        <v>18</v>
      </c>
      <c r="M436" s="4">
        <v>3</v>
      </c>
      <c r="N436" s="4" t="s">
        <v>6</v>
      </c>
      <c r="O436" s="4">
        <v>2</v>
      </c>
      <c r="P436" s="4"/>
      <c r="Q436" s="4"/>
      <c r="R436" s="4"/>
      <c r="S436" s="4"/>
      <c r="T436" s="4"/>
      <c r="U436" s="4"/>
      <c r="V436" s="4"/>
      <c r="W436" s="4"/>
    </row>
    <row r="437" spans="1:23" x14ac:dyDescent="0.2">
      <c r="A437" s="4">
        <v>50</v>
      </c>
      <c r="B437" s="4">
        <v>0</v>
      </c>
      <c r="C437" s="4">
        <v>0</v>
      </c>
      <c r="D437" s="4">
        <v>1</v>
      </c>
      <c r="E437" s="4">
        <v>230</v>
      </c>
      <c r="F437" s="4">
        <f>ROUND(Source!BA417,O437)</f>
        <v>0</v>
      </c>
      <c r="G437" s="4" t="s">
        <v>464</v>
      </c>
      <c r="H437" s="4" t="s">
        <v>465</v>
      </c>
      <c r="I437" s="4"/>
      <c r="J437" s="4"/>
      <c r="K437" s="4">
        <v>230</v>
      </c>
      <c r="L437" s="4">
        <v>19</v>
      </c>
      <c r="M437" s="4">
        <v>3</v>
      </c>
      <c r="N437" s="4" t="s">
        <v>6</v>
      </c>
      <c r="O437" s="4">
        <v>2</v>
      </c>
      <c r="P437" s="4"/>
      <c r="Q437" s="4"/>
      <c r="R437" s="4"/>
      <c r="S437" s="4"/>
      <c r="T437" s="4"/>
      <c r="U437" s="4"/>
      <c r="V437" s="4"/>
      <c r="W437" s="4"/>
    </row>
    <row r="438" spans="1:23" x14ac:dyDescent="0.2">
      <c r="A438" s="4">
        <v>50</v>
      </c>
      <c r="B438" s="4">
        <v>0</v>
      </c>
      <c r="C438" s="4">
        <v>0</v>
      </c>
      <c r="D438" s="4">
        <v>1</v>
      </c>
      <c r="E438" s="4">
        <v>206</v>
      </c>
      <c r="F438" s="4">
        <f>ROUND(Source!T417,O438)</f>
        <v>0</v>
      </c>
      <c r="G438" s="4" t="s">
        <v>466</v>
      </c>
      <c r="H438" s="4" t="s">
        <v>467</v>
      </c>
      <c r="I438" s="4"/>
      <c r="J438" s="4"/>
      <c r="K438" s="4">
        <v>206</v>
      </c>
      <c r="L438" s="4">
        <v>20</v>
      </c>
      <c r="M438" s="4">
        <v>3</v>
      </c>
      <c r="N438" s="4" t="s">
        <v>6</v>
      </c>
      <c r="O438" s="4">
        <v>2</v>
      </c>
      <c r="P438" s="4"/>
      <c r="Q438" s="4"/>
      <c r="R438" s="4"/>
      <c r="S438" s="4"/>
      <c r="T438" s="4"/>
      <c r="U438" s="4"/>
      <c r="V438" s="4"/>
      <c r="W438" s="4"/>
    </row>
    <row r="439" spans="1:23" x14ac:dyDescent="0.2">
      <c r="A439" s="4">
        <v>50</v>
      </c>
      <c r="B439" s="4">
        <v>0</v>
      </c>
      <c r="C439" s="4">
        <v>0</v>
      </c>
      <c r="D439" s="4">
        <v>1</v>
      </c>
      <c r="E439" s="4">
        <v>207</v>
      </c>
      <c r="F439" s="4">
        <f>Source!U417</f>
        <v>260.04746449999993</v>
      </c>
      <c r="G439" s="4" t="s">
        <v>468</v>
      </c>
      <c r="H439" s="4" t="s">
        <v>469</v>
      </c>
      <c r="I439" s="4"/>
      <c r="J439" s="4"/>
      <c r="K439" s="4">
        <v>207</v>
      </c>
      <c r="L439" s="4">
        <v>21</v>
      </c>
      <c r="M439" s="4">
        <v>3</v>
      </c>
      <c r="N439" s="4" t="s">
        <v>6</v>
      </c>
      <c r="O439" s="4">
        <v>-1</v>
      </c>
      <c r="P439" s="4"/>
      <c r="Q439" s="4"/>
      <c r="R439" s="4"/>
      <c r="S439" s="4"/>
      <c r="T439" s="4"/>
      <c r="U439" s="4"/>
      <c r="V439" s="4"/>
      <c r="W439" s="4"/>
    </row>
    <row r="440" spans="1:23" x14ac:dyDescent="0.2">
      <c r="A440" s="4">
        <v>50</v>
      </c>
      <c r="B440" s="4">
        <v>0</v>
      </c>
      <c r="C440" s="4">
        <v>0</v>
      </c>
      <c r="D440" s="4">
        <v>1</v>
      </c>
      <c r="E440" s="4">
        <v>208</v>
      </c>
      <c r="F440" s="4">
        <f>Source!V417</f>
        <v>10.368874999999999</v>
      </c>
      <c r="G440" s="4" t="s">
        <v>470</v>
      </c>
      <c r="H440" s="4" t="s">
        <v>471</v>
      </c>
      <c r="I440" s="4"/>
      <c r="J440" s="4"/>
      <c r="K440" s="4">
        <v>208</v>
      </c>
      <c r="L440" s="4">
        <v>22</v>
      </c>
      <c r="M440" s="4">
        <v>3</v>
      </c>
      <c r="N440" s="4" t="s">
        <v>6</v>
      </c>
      <c r="O440" s="4">
        <v>-1</v>
      </c>
      <c r="P440" s="4"/>
      <c r="Q440" s="4"/>
      <c r="R440" s="4"/>
      <c r="S440" s="4"/>
      <c r="T440" s="4"/>
      <c r="U440" s="4"/>
      <c r="V440" s="4"/>
      <c r="W440" s="4"/>
    </row>
    <row r="441" spans="1:23" x14ac:dyDescent="0.2">
      <c r="A441" s="4">
        <v>50</v>
      </c>
      <c r="B441" s="4">
        <v>0</v>
      </c>
      <c r="C441" s="4">
        <v>0</v>
      </c>
      <c r="D441" s="4">
        <v>1</v>
      </c>
      <c r="E441" s="4">
        <v>209</v>
      </c>
      <c r="F441" s="4">
        <f>ROUND(Source!W417,O441)</f>
        <v>0</v>
      </c>
      <c r="G441" s="4" t="s">
        <v>472</v>
      </c>
      <c r="H441" s="4" t="s">
        <v>473</v>
      </c>
      <c r="I441" s="4"/>
      <c r="J441" s="4"/>
      <c r="K441" s="4">
        <v>209</v>
      </c>
      <c r="L441" s="4">
        <v>23</v>
      </c>
      <c r="M441" s="4">
        <v>3</v>
      </c>
      <c r="N441" s="4" t="s">
        <v>6</v>
      </c>
      <c r="O441" s="4">
        <v>2</v>
      </c>
      <c r="P441" s="4"/>
      <c r="Q441" s="4"/>
      <c r="R441" s="4"/>
      <c r="S441" s="4"/>
      <c r="T441" s="4"/>
      <c r="U441" s="4"/>
      <c r="V441" s="4"/>
      <c r="W441" s="4"/>
    </row>
    <row r="442" spans="1:23" x14ac:dyDescent="0.2">
      <c r="A442" s="4">
        <v>50</v>
      </c>
      <c r="B442" s="4">
        <v>0</v>
      </c>
      <c r="C442" s="4">
        <v>0</v>
      </c>
      <c r="D442" s="4">
        <v>1</v>
      </c>
      <c r="E442" s="4">
        <v>210</v>
      </c>
      <c r="F442" s="4">
        <f>ROUND(Source!X417,O442)</f>
        <v>20665.89</v>
      </c>
      <c r="G442" s="4" t="s">
        <v>474</v>
      </c>
      <c r="H442" s="4" t="s">
        <v>475</v>
      </c>
      <c r="I442" s="4"/>
      <c r="J442" s="4"/>
      <c r="K442" s="4">
        <v>210</v>
      </c>
      <c r="L442" s="4">
        <v>24</v>
      </c>
      <c r="M442" s="4">
        <v>3</v>
      </c>
      <c r="N442" s="4" t="s">
        <v>6</v>
      </c>
      <c r="O442" s="4">
        <v>2</v>
      </c>
      <c r="P442" s="4"/>
      <c r="Q442" s="4"/>
      <c r="R442" s="4"/>
      <c r="S442" s="4"/>
      <c r="T442" s="4"/>
      <c r="U442" s="4"/>
      <c r="V442" s="4"/>
      <c r="W442" s="4"/>
    </row>
    <row r="443" spans="1:23" x14ac:dyDescent="0.2">
      <c r="A443" s="4">
        <v>50</v>
      </c>
      <c r="B443" s="4">
        <v>0</v>
      </c>
      <c r="C443" s="4">
        <v>0</v>
      </c>
      <c r="D443" s="4">
        <v>1</v>
      </c>
      <c r="E443" s="4">
        <v>211</v>
      </c>
      <c r="F443" s="4">
        <f>ROUND(Source!Y417,O443)</f>
        <v>12851.59</v>
      </c>
      <c r="G443" s="4" t="s">
        <v>476</v>
      </c>
      <c r="H443" s="4" t="s">
        <v>477</v>
      </c>
      <c r="I443" s="4"/>
      <c r="J443" s="4"/>
      <c r="K443" s="4">
        <v>211</v>
      </c>
      <c r="L443" s="4">
        <v>25</v>
      </c>
      <c r="M443" s="4">
        <v>3</v>
      </c>
      <c r="N443" s="4" t="s">
        <v>6</v>
      </c>
      <c r="O443" s="4">
        <v>2</v>
      </c>
      <c r="P443" s="4"/>
      <c r="Q443" s="4"/>
      <c r="R443" s="4"/>
      <c r="S443" s="4"/>
      <c r="T443" s="4"/>
      <c r="U443" s="4"/>
      <c r="V443" s="4"/>
      <c r="W443" s="4"/>
    </row>
    <row r="444" spans="1:23" x14ac:dyDescent="0.2">
      <c r="A444" s="4">
        <v>50</v>
      </c>
      <c r="B444" s="4">
        <v>0</v>
      </c>
      <c r="C444" s="4">
        <v>0</v>
      </c>
      <c r="D444" s="4">
        <v>1</v>
      </c>
      <c r="E444" s="4">
        <v>0</v>
      </c>
      <c r="F444" s="4">
        <f>ROUND(Source!AR417,O444)</f>
        <v>97126.66</v>
      </c>
      <c r="G444" s="4" t="s">
        <v>478</v>
      </c>
      <c r="H444" s="4" t="s">
        <v>479</v>
      </c>
      <c r="I444" s="4"/>
      <c r="J444" s="4"/>
      <c r="K444" s="4">
        <v>224</v>
      </c>
      <c r="L444" s="4">
        <v>26</v>
      </c>
      <c r="M444" s="4">
        <v>3</v>
      </c>
      <c r="N444" s="4" t="s">
        <v>6</v>
      </c>
      <c r="O444" s="4">
        <v>2</v>
      </c>
      <c r="P444" s="4"/>
      <c r="Q444" s="4"/>
      <c r="R444" s="4"/>
      <c r="S444" s="4"/>
      <c r="T444" s="4"/>
      <c r="U444" s="4"/>
      <c r="V444" s="4"/>
      <c r="W444" s="4"/>
    </row>
    <row r="445" spans="1:23" x14ac:dyDescent="0.2">
      <c r="A445" s="4">
        <v>50</v>
      </c>
      <c r="B445" s="4">
        <v>1</v>
      </c>
      <c r="C445" s="4">
        <v>0</v>
      </c>
      <c r="D445" s="4">
        <v>2</v>
      </c>
      <c r="E445" s="4">
        <v>0</v>
      </c>
      <c r="F445" s="4">
        <f>ROUND(F444,O445)</f>
        <v>97126.66</v>
      </c>
      <c r="G445" s="4" t="s">
        <v>480</v>
      </c>
      <c r="H445" s="4" t="s">
        <v>478</v>
      </c>
      <c r="I445" s="4"/>
      <c r="J445" s="4"/>
      <c r="K445" s="4">
        <v>212</v>
      </c>
      <c r="L445" s="4">
        <v>27</v>
      </c>
      <c r="M445" s="4">
        <v>0</v>
      </c>
      <c r="N445" s="4" t="s">
        <v>6</v>
      </c>
      <c r="O445" s="4">
        <v>2</v>
      </c>
      <c r="P445" s="4"/>
      <c r="Q445" s="4"/>
      <c r="R445" s="4"/>
      <c r="S445" s="4"/>
      <c r="T445" s="4"/>
      <c r="U445" s="4"/>
      <c r="V445" s="4"/>
      <c r="W445" s="4"/>
    </row>
    <row r="446" spans="1:23" x14ac:dyDescent="0.2">
      <c r="A446" s="4">
        <v>50</v>
      </c>
      <c r="B446" s="4">
        <v>1</v>
      </c>
      <c r="C446" s="4">
        <v>0</v>
      </c>
      <c r="D446" s="4">
        <v>2</v>
      </c>
      <c r="E446" s="4">
        <v>0</v>
      </c>
      <c r="F446" s="4">
        <f>ROUND(F445*0.18,O446)</f>
        <v>17482.8</v>
      </c>
      <c r="G446" s="4" t="s">
        <v>481</v>
      </c>
      <c r="H446" s="4" t="s">
        <v>482</v>
      </c>
      <c r="I446" s="4"/>
      <c r="J446" s="4"/>
      <c r="K446" s="4">
        <v>212</v>
      </c>
      <c r="L446" s="4">
        <v>28</v>
      </c>
      <c r="M446" s="4">
        <v>0</v>
      </c>
      <c r="N446" s="4" t="s">
        <v>6</v>
      </c>
      <c r="O446" s="4">
        <v>2</v>
      </c>
      <c r="P446" s="4"/>
      <c r="Q446" s="4"/>
      <c r="R446" s="4"/>
      <c r="S446" s="4"/>
      <c r="T446" s="4"/>
      <c r="U446" s="4"/>
      <c r="V446" s="4"/>
      <c r="W446" s="4"/>
    </row>
    <row r="447" spans="1:23" x14ac:dyDescent="0.2">
      <c r="A447" s="4">
        <v>50</v>
      </c>
      <c r="B447" s="4">
        <v>1</v>
      </c>
      <c r="C447" s="4">
        <v>0</v>
      </c>
      <c r="D447" s="4">
        <v>2</v>
      </c>
      <c r="E447" s="4">
        <v>224</v>
      </c>
      <c r="F447" s="4">
        <f>ROUND(F445+F446,O447)</f>
        <v>114609.46</v>
      </c>
      <c r="G447" s="4" t="s">
        <v>483</v>
      </c>
      <c r="H447" s="4" t="s">
        <v>484</v>
      </c>
      <c r="I447" s="4"/>
      <c r="J447" s="4"/>
      <c r="K447" s="4">
        <v>212</v>
      </c>
      <c r="L447" s="4">
        <v>29</v>
      </c>
      <c r="M447" s="4">
        <v>0</v>
      </c>
      <c r="N447" s="4" t="s">
        <v>6</v>
      </c>
      <c r="O447" s="4">
        <v>2</v>
      </c>
      <c r="P447" s="4"/>
      <c r="Q447" s="4"/>
      <c r="R447" s="4"/>
      <c r="S447" s="4"/>
      <c r="T447" s="4"/>
      <c r="U447" s="4"/>
      <c r="V447" s="4"/>
      <c r="W447" s="4"/>
    </row>
    <row r="449" spans="1:206" x14ac:dyDescent="0.2">
      <c r="A449" s="2">
        <v>51</v>
      </c>
      <c r="B449" s="2">
        <f>B20</f>
        <v>1</v>
      </c>
      <c r="C449" s="2">
        <f>A20</f>
        <v>3</v>
      </c>
      <c r="D449" s="2">
        <f>ROW(A20)</f>
        <v>20</v>
      </c>
      <c r="E449" s="2"/>
      <c r="F449" s="2" t="str">
        <f>IF(F20&lt;&gt;"",F20,"")</f>
        <v>Новая локальная смета</v>
      </c>
      <c r="G449" s="2" t="str">
        <f>IF(G20&lt;&gt;"",G20,"")</f>
        <v>Новая локальная смета</v>
      </c>
      <c r="H449" s="2">
        <v>0</v>
      </c>
      <c r="I449" s="2"/>
      <c r="J449" s="2"/>
      <c r="K449" s="2"/>
      <c r="L449" s="2"/>
      <c r="M449" s="2"/>
      <c r="N449" s="2"/>
      <c r="O449" s="2">
        <f t="shared" ref="O449:T449" si="395">ROUND(O123+O212+O286+O358+O417+AB449,2)</f>
        <v>1850942.08</v>
      </c>
      <c r="P449" s="2">
        <f t="shared" si="395"/>
        <v>1632370.1</v>
      </c>
      <c r="Q449" s="2">
        <f t="shared" si="395"/>
        <v>27339.14</v>
      </c>
      <c r="R449" s="2">
        <f t="shared" si="395"/>
        <v>4707.92</v>
      </c>
      <c r="S449" s="2">
        <f t="shared" si="395"/>
        <v>191232.84</v>
      </c>
      <c r="T449" s="2">
        <f t="shared" si="395"/>
        <v>0</v>
      </c>
      <c r="U449" s="2">
        <f>U123+U212+U286+U358+U417+AH449</f>
        <v>2938.3394818500001</v>
      </c>
      <c r="V449" s="2">
        <f>V123+V212+V286+V358+V417+AI449</f>
        <v>54.859778374999991</v>
      </c>
      <c r="W449" s="2">
        <f>ROUND(W123+W212+W286+W358+W417+AJ449,2)</f>
        <v>0</v>
      </c>
      <c r="X449" s="2">
        <f>ROUND(X123+X212+X286+X358+X417+AK449,2)</f>
        <v>192043.01</v>
      </c>
      <c r="Y449" s="2">
        <f>ROUND(Y123+Y212+Y286+Y358+Y417+AL449,2)</f>
        <v>113390.43</v>
      </c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>
        <f t="shared" ref="AO449:BC449" si="396">ROUND(AO123+AO212+AO286+AO358+AO417+BX449,2)</f>
        <v>0</v>
      </c>
      <c r="AP449" s="2">
        <f t="shared" si="396"/>
        <v>0</v>
      </c>
      <c r="AQ449" s="2">
        <f t="shared" si="396"/>
        <v>0</v>
      </c>
      <c r="AR449" s="2">
        <f t="shared" si="396"/>
        <v>2162722.7000000002</v>
      </c>
      <c r="AS449" s="2">
        <f t="shared" si="396"/>
        <v>1927500.45</v>
      </c>
      <c r="AT449" s="2">
        <f t="shared" si="396"/>
        <v>223488.79</v>
      </c>
      <c r="AU449" s="2">
        <f t="shared" si="396"/>
        <v>11733.46</v>
      </c>
      <c r="AV449" s="2">
        <f t="shared" si="396"/>
        <v>1632370.1</v>
      </c>
      <c r="AW449" s="2">
        <f t="shared" si="396"/>
        <v>1632370.1</v>
      </c>
      <c r="AX449" s="2">
        <f t="shared" si="396"/>
        <v>0</v>
      </c>
      <c r="AY449" s="2">
        <f t="shared" si="396"/>
        <v>1632370.1</v>
      </c>
      <c r="AZ449" s="2">
        <f t="shared" si="396"/>
        <v>0</v>
      </c>
      <c r="BA449" s="2">
        <f t="shared" si="396"/>
        <v>0</v>
      </c>
      <c r="BB449" s="2">
        <f t="shared" si="396"/>
        <v>0</v>
      </c>
      <c r="BC449" s="2">
        <f t="shared" si="396"/>
        <v>0</v>
      </c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3"/>
      <c r="DH449" s="3"/>
      <c r="DI449" s="3"/>
      <c r="DJ449" s="3"/>
      <c r="DK449" s="3"/>
      <c r="DL449" s="3"/>
      <c r="DM449" s="3"/>
      <c r="DN449" s="3"/>
      <c r="DO449" s="3"/>
      <c r="DP449" s="3"/>
      <c r="DQ449" s="3"/>
      <c r="DR449" s="3"/>
      <c r="DS449" s="3"/>
      <c r="DT449" s="3"/>
      <c r="DU449" s="3"/>
      <c r="DV449" s="3"/>
      <c r="DW449" s="3"/>
      <c r="DX449" s="3"/>
      <c r="DY449" s="3"/>
      <c r="DZ449" s="3"/>
      <c r="EA449" s="3"/>
      <c r="EB449" s="3"/>
      <c r="EC449" s="3"/>
      <c r="ED449" s="3"/>
      <c r="EE449" s="3"/>
      <c r="EF449" s="3"/>
      <c r="EG449" s="3"/>
      <c r="EH449" s="3"/>
      <c r="EI449" s="3"/>
      <c r="EJ449" s="3"/>
      <c r="EK449" s="3"/>
      <c r="EL449" s="3"/>
      <c r="EM449" s="3"/>
      <c r="EN449" s="3"/>
      <c r="EO449" s="3"/>
      <c r="EP449" s="3"/>
      <c r="EQ449" s="3"/>
      <c r="ER449" s="3"/>
      <c r="ES449" s="3"/>
      <c r="ET449" s="3"/>
      <c r="EU449" s="3"/>
      <c r="EV449" s="3"/>
      <c r="EW449" s="3"/>
      <c r="EX449" s="3"/>
      <c r="EY449" s="3"/>
      <c r="EZ449" s="3"/>
      <c r="FA449" s="3"/>
      <c r="FB449" s="3"/>
      <c r="FC449" s="3"/>
      <c r="FD449" s="3"/>
      <c r="FE449" s="3"/>
      <c r="FF449" s="3"/>
      <c r="FG449" s="3"/>
      <c r="FH449" s="3"/>
      <c r="FI449" s="3"/>
      <c r="FJ449" s="3"/>
      <c r="FK449" s="3"/>
      <c r="FL449" s="3"/>
      <c r="FM449" s="3"/>
      <c r="FN449" s="3"/>
      <c r="FO449" s="3"/>
      <c r="FP449" s="3"/>
      <c r="FQ449" s="3"/>
      <c r="FR449" s="3"/>
      <c r="FS449" s="3"/>
      <c r="FT449" s="3"/>
      <c r="FU449" s="3"/>
      <c r="FV449" s="3"/>
      <c r="FW449" s="3"/>
      <c r="FX449" s="3"/>
      <c r="FY449" s="3"/>
      <c r="FZ449" s="3"/>
      <c r="GA449" s="3"/>
      <c r="GB449" s="3"/>
      <c r="GC449" s="3"/>
      <c r="GD449" s="3"/>
      <c r="GE449" s="3"/>
      <c r="GF449" s="3"/>
      <c r="GG449" s="3"/>
      <c r="GH449" s="3"/>
      <c r="GI449" s="3"/>
      <c r="GJ449" s="3"/>
      <c r="GK449" s="3"/>
      <c r="GL449" s="3"/>
      <c r="GM449" s="3"/>
      <c r="GN449" s="3"/>
      <c r="GO449" s="3"/>
      <c r="GP449" s="3"/>
      <c r="GQ449" s="3"/>
      <c r="GR449" s="3"/>
      <c r="GS449" s="3"/>
      <c r="GT449" s="3"/>
      <c r="GU449" s="3"/>
      <c r="GV449" s="3"/>
      <c r="GW449" s="3"/>
      <c r="GX449" s="3">
        <v>0</v>
      </c>
    </row>
    <row r="451" spans="1:206" x14ac:dyDescent="0.2">
      <c r="A451" s="4">
        <v>50</v>
      </c>
      <c r="B451" s="4">
        <v>0</v>
      </c>
      <c r="C451" s="4">
        <v>0</v>
      </c>
      <c r="D451" s="4">
        <v>1</v>
      </c>
      <c r="E451" s="4">
        <v>201</v>
      </c>
      <c r="F451" s="4">
        <f>ROUND(Source!O449,O451)</f>
        <v>1850942.08</v>
      </c>
      <c r="G451" s="4" t="s">
        <v>428</v>
      </c>
      <c r="H451" s="4" t="s">
        <v>429</v>
      </c>
      <c r="I451" s="4"/>
      <c r="J451" s="4"/>
      <c r="K451" s="4">
        <v>201</v>
      </c>
      <c r="L451" s="4">
        <v>1</v>
      </c>
      <c r="M451" s="4">
        <v>3</v>
      </c>
      <c r="N451" s="4" t="s">
        <v>6</v>
      </c>
      <c r="O451" s="4">
        <v>2</v>
      </c>
      <c r="P451" s="4"/>
      <c r="Q451" s="4"/>
      <c r="R451" s="4"/>
      <c r="S451" s="4"/>
      <c r="T451" s="4"/>
      <c r="U451" s="4"/>
      <c r="V451" s="4"/>
      <c r="W451" s="4"/>
    </row>
    <row r="452" spans="1:206" x14ac:dyDescent="0.2">
      <c r="A452" s="4">
        <v>50</v>
      </c>
      <c r="B452" s="4">
        <v>0</v>
      </c>
      <c r="C452" s="4">
        <v>0</v>
      </c>
      <c r="D452" s="4">
        <v>1</v>
      </c>
      <c r="E452" s="4">
        <v>202</v>
      </c>
      <c r="F452" s="4">
        <f>ROUND(Source!P449,O452)</f>
        <v>1632370.1</v>
      </c>
      <c r="G452" s="4" t="s">
        <v>430</v>
      </c>
      <c r="H452" s="4" t="s">
        <v>431</v>
      </c>
      <c r="I452" s="4"/>
      <c r="J452" s="4"/>
      <c r="K452" s="4">
        <v>202</v>
      </c>
      <c r="L452" s="4">
        <v>2</v>
      </c>
      <c r="M452" s="4">
        <v>3</v>
      </c>
      <c r="N452" s="4" t="s">
        <v>6</v>
      </c>
      <c r="O452" s="4">
        <v>2</v>
      </c>
      <c r="P452" s="4"/>
      <c r="Q452" s="4"/>
      <c r="R452" s="4"/>
      <c r="S452" s="4"/>
      <c r="T452" s="4"/>
      <c r="U452" s="4"/>
      <c r="V452" s="4"/>
      <c r="W452" s="4"/>
    </row>
    <row r="453" spans="1:206" x14ac:dyDescent="0.2">
      <c r="A453" s="4">
        <v>50</v>
      </c>
      <c r="B453" s="4">
        <v>0</v>
      </c>
      <c r="C453" s="4">
        <v>0</v>
      </c>
      <c r="D453" s="4">
        <v>1</v>
      </c>
      <c r="E453" s="4">
        <v>222</v>
      </c>
      <c r="F453" s="4">
        <f>ROUND(Source!AO449,O453)</f>
        <v>0</v>
      </c>
      <c r="G453" s="4" t="s">
        <v>432</v>
      </c>
      <c r="H453" s="4" t="s">
        <v>433</v>
      </c>
      <c r="I453" s="4"/>
      <c r="J453" s="4"/>
      <c r="K453" s="4">
        <v>222</v>
      </c>
      <c r="L453" s="4">
        <v>3</v>
      </c>
      <c r="M453" s="4">
        <v>3</v>
      </c>
      <c r="N453" s="4" t="s">
        <v>6</v>
      </c>
      <c r="O453" s="4">
        <v>2</v>
      </c>
      <c r="P453" s="4"/>
      <c r="Q453" s="4"/>
      <c r="R453" s="4"/>
      <c r="S453" s="4"/>
      <c r="T453" s="4"/>
      <c r="U453" s="4"/>
      <c r="V453" s="4"/>
      <c r="W453" s="4"/>
    </row>
    <row r="454" spans="1:206" x14ac:dyDescent="0.2">
      <c r="A454" s="4">
        <v>50</v>
      </c>
      <c r="B454" s="4">
        <v>0</v>
      </c>
      <c r="C454" s="4">
        <v>0</v>
      </c>
      <c r="D454" s="4">
        <v>1</v>
      </c>
      <c r="E454" s="4">
        <v>225</v>
      </c>
      <c r="F454" s="4">
        <f>ROUND(Source!AV449,O454)</f>
        <v>1632370.1</v>
      </c>
      <c r="G454" s="4" t="s">
        <v>434</v>
      </c>
      <c r="H454" s="4" t="s">
        <v>435</v>
      </c>
      <c r="I454" s="4"/>
      <c r="J454" s="4"/>
      <c r="K454" s="4">
        <v>225</v>
      </c>
      <c r="L454" s="4">
        <v>4</v>
      </c>
      <c r="M454" s="4">
        <v>3</v>
      </c>
      <c r="N454" s="4" t="s">
        <v>6</v>
      </c>
      <c r="O454" s="4">
        <v>2</v>
      </c>
      <c r="P454" s="4"/>
      <c r="Q454" s="4"/>
      <c r="R454" s="4"/>
      <c r="S454" s="4"/>
      <c r="T454" s="4"/>
      <c r="U454" s="4"/>
      <c r="V454" s="4"/>
      <c r="W454" s="4"/>
    </row>
    <row r="455" spans="1:206" x14ac:dyDescent="0.2">
      <c r="A455" s="4">
        <v>50</v>
      </c>
      <c r="B455" s="4">
        <v>0</v>
      </c>
      <c r="C455" s="4">
        <v>0</v>
      </c>
      <c r="D455" s="4">
        <v>1</v>
      </c>
      <c r="E455" s="4">
        <v>226</v>
      </c>
      <c r="F455" s="4">
        <f>ROUND(Source!AW449,O455)</f>
        <v>1632370.1</v>
      </c>
      <c r="G455" s="4" t="s">
        <v>436</v>
      </c>
      <c r="H455" s="4" t="s">
        <v>437</v>
      </c>
      <c r="I455" s="4"/>
      <c r="J455" s="4"/>
      <c r="K455" s="4">
        <v>226</v>
      </c>
      <c r="L455" s="4">
        <v>5</v>
      </c>
      <c r="M455" s="4">
        <v>3</v>
      </c>
      <c r="N455" s="4" t="s">
        <v>6</v>
      </c>
      <c r="O455" s="4">
        <v>2</v>
      </c>
      <c r="P455" s="4"/>
      <c r="Q455" s="4"/>
      <c r="R455" s="4"/>
      <c r="S455" s="4"/>
      <c r="T455" s="4"/>
      <c r="U455" s="4"/>
      <c r="V455" s="4"/>
      <c r="W455" s="4"/>
    </row>
    <row r="456" spans="1:206" x14ac:dyDescent="0.2">
      <c r="A456" s="4">
        <v>50</v>
      </c>
      <c r="B456" s="4">
        <v>0</v>
      </c>
      <c r="C456" s="4">
        <v>0</v>
      </c>
      <c r="D456" s="4">
        <v>1</v>
      </c>
      <c r="E456" s="4">
        <v>227</v>
      </c>
      <c r="F456" s="4">
        <f>ROUND(Source!AX449,O456)</f>
        <v>0</v>
      </c>
      <c r="G456" s="4" t="s">
        <v>438</v>
      </c>
      <c r="H456" s="4" t="s">
        <v>439</v>
      </c>
      <c r="I456" s="4"/>
      <c r="J456" s="4"/>
      <c r="K456" s="4">
        <v>227</v>
      </c>
      <c r="L456" s="4">
        <v>6</v>
      </c>
      <c r="M456" s="4">
        <v>3</v>
      </c>
      <c r="N456" s="4" t="s">
        <v>6</v>
      </c>
      <c r="O456" s="4">
        <v>2</v>
      </c>
      <c r="P456" s="4"/>
      <c r="Q456" s="4"/>
      <c r="R456" s="4"/>
      <c r="S456" s="4"/>
      <c r="T456" s="4"/>
      <c r="U456" s="4"/>
      <c r="V456" s="4"/>
      <c r="W456" s="4"/>
    </row>
    <row r="457" spans="1:206" x14ac:dyDescent="0.2">
      <c r="A457" s="4">
        <v>50</v>
      </c>
      <c r="B457" s="4">
        <v>0</v>
      </c>
      <c r="C457" s="4">
        <v>0</v>
      </c>
      <c r="D457" s="4">
        <v>1</v>
      </c>
      <c r="E457" s="4">
        <v>228</v>
      </c>
      <c r="F457" s="4">
        <f>ROUND(Source!AY449,O457)</f>
        <v>1632370.1</v>
      </c>
      <c r="G457" s="4" t="s">
        <v>440</v>
      </c>
      <c r="H457" s="4" t="s">
        <v>441</v>
      </c>
      <c r="I457" s="4"/>
      <c r="J457" s="4"/>
      <c r="K457" s="4">
        <v>228</v>
      </c>
      <c r="L457" s="4">
        <v>7</v>
      </c>
      <c r="M457" s="4">
        <v>3</v>
      </c>
      <c r="N457" s="4" t="s">
        <v>6</v>
      </c>
      <c r="O457" s="4">
        <v>2</v>
      </c>
      <c r="P457" s="4"/>
      <c r="Q457" s="4"/>
      <c r="R457" s="4"/>
      <c r="S457" s="4"/>
      <c r="T457" s="4"/>
      <c r="U457" s="4"/>
      <c r="V457" s="4"/>
      <c r="W457" s="4"/>
    </row>
    <row r="458" spans="1:206" x14ac:dyDescent="0.2">
      <c r="A458" s="4">
        <v>50</v>
      </c>
      <c r="B458" s="4">
        <v>0</v>
      </c>
      <c r="C458" s="4">
        <v>0</v>
      </c>
      <c r="D458" s="4">
        <v>1</v>
      </c>
      <c r="E458" s="4">
        <v>216</v>
      </c>
      <c r="F458" s="4">
        <f>ROUND(Source!AP449,O458)</f>
        <v>0</v>
      </c>
      <c r="G458" s="4" t="s">
        <v>442</v>
      </c>
      <c r="H458" s="4" t="s">
        <v>443</v>
      </c>
      <c r="I458" s="4"/>
      <c r="J458" s="4"/>
      <c r="K458" s="4">
        <v>216</v>
      </c>
      <c r="L458" s="4">
        <v>8</v>
      </c>
      <c r="M458" s="4">
        <v>3</v>
      </c>
      <c r="N458" s="4" t="s">
        <v>6</v>
      </c>
      <c r="O458" s="4">
        <v>2</v>
      </c>
      <c r="P458" s="4"/>
      <c r="Q458" s="4"/>
      <c r="R458" s="4"/>
      <c r="S458" s="4"/>
      <c r="T458" s="4"/>
      <c r="U458" s="4"/>
      <c r="V458" s="4"/>
      <c r="W458" s="4"/>
    </row>
    <row r="459" spans="1:206" x14ac:dyDescent="0.2">
      <c r="A459" s="4">
        <v>50</v>
      </c>
      <c r="B459" s="4">
        <v>0</v>
      </c>
      <c r="C459" s="4">
        <v>0</v>
      </c>
      <c r="D459" s="4">
        <v>1</v>
      </c>
      <c r="E459" s="4">
        <v>223</v>
      </c>
      <c r="F459" s="4">
        <f>ROUND(Source!AQ449,O459)</f>
        <v>0</v>
      </c>
      <c r="G459" s="4" t="s">
        <v>444</v>
      </c>
      <c r="H459" s="4" t="s">
        <v>445</v>
      </c>
      <c r="I459" s="4"/>
      <c r="J459" s="4"/>
      <c r="K459" s="4">
        <v>223</v>
      </c>
      <c r="L459" s="4">
        <v>9</v>
      </c>
      <c r="M459" s="4">
        <v>3</v>
      </c>
      <c r="N459" s="4" t="s">
        <v>6</v>
      </c>
      <c r="O459" s="4">
        <v>2</v>
      </c>
      <c r="P459" s="4"/>
      <c r="Q459" s="4"/>
      <c r="R459" s="4"/>
      <c r="S459" s="4"/>
      <c r="T459" s="4"/>
      <c r="U459" s="4"/>
      <c r="V459" s="4"/>
      <c r="W459" s="4"/>
    </row>
    <row r="460" spans="1:206" x14ac:dyDescent="0.2">
      <c r="A460" s="4">
        <v>50</v>
      </c>
      <c r="B460" s="4">
        <v>0</v>
      </c>
      <c r="C460" s="4">
        <v>0</v>
      </c>
      <c r="D460" s="4">
        <v>1</v>
      </c>
      <c r="E460" s="4">
        <v>229</v>
      </c>
      <c r="F460" s="4">
        <f>ROUND(Source!AZ449,O460)</f>
        <v>0</v>
      </c>
      <c r="G460" s="4" t="s">
        <v>446</v>
      </c>
      <c r="H460" s="4" t="s">
        <v>447</v>
      </c>
      <c r="I460" s="4"/>
      <c r="J460" s="4"/>
      <c r="K460" s="4">
        <v>229</v>
      </c>
      <c r="L460" s="4">
        <v>10</v>
      </c>
      <c r="M460" s="4">
        <v>3</v>
      </c>
      <c r="N460" s="4" t="s">
        <v>6</v>
      </c>
      <c r="O460" s="4">
        <v>2</v>
      </c>
      <c r="P460" s="4"/>
      <c r="Q460" s="4"/>
      <c r="R460" s="4"/>
      <c r="S460" s="4"/>
      <c r="T460" s="4"/>
      <c r="U460" s="4"/>
      <c r="V460" s="4"/>
      <c r="W460" s="4"/>
    </row>
    <row r="461" spans="1:206" x14ac:dyDescent="0.2">
      <c r="A461" s="4">
        <v>50</v>
      </c>
      <c r="B461" s="4">
        <v>0</v>
      </c>
      <c r="C461" s="4">
        <v>0</v>
      </c>
      <c r="D461" s="4">
        <v>1</v>
      </c>
      <c r="E461" s="4">
        <v>203</v>
      </c>
      <c r="F461" s="4">
        <f>ROUND(Source!Q449,O461)</f>
        <v>27339.14</v>
      </c>
      <c r="G461" s="4" t="s">
        <v>448</v>
      </c>
      <c r="H461" s="4" t="s">
        <v>449</v>
      </c>
      <c r="I461" s="4"/>
      <c r="J461" s="4"/>
      <c r="K461" s="4">
        <v>203</v>
      </c>
      <c r="L461" s="4">
        <v>11</v>
      </c>
      <c r="M461" s="4">
        <v>3</v>
      </c>
      <c r="N461" s="4" t="s">
        <v>6</v>
      </c>
      <c r="O461" s="4">
        <v>2</v>
      </c>
      <c r="P461" s="4"/>
      <c r="Q461" s="4"/>
      <c r="R461" s="4"/>
      <c r="S461" s="4"/>
      <c r="T461" s="4"/>
      <c r="U461" s="4"/>
      <c r="V461" s="4"/>
      <c r="W461" s="4"/>
    </row>
    <row r="462" spans="1:206" x14ac:dyDescent="0.2">
      <c r="A462" s="4">
        <v>50</v>
      </c>
      <c r="B462" s="4">
        <v>0</v>
      </c>
      <c r="C462" s="4">
        <v>0</v>
      </c>
      <c r="D462" s="4">
        <v>1</v>
      </c>
      <c r="E462" s="4">
        <v>231</v>
      </c>
      <c r="F462" s="4">
        <f>ROUND(Source!BB449,O462)</f>
        <v>0</v>
      </c>
      <c r="G462" s="4" t="s">
        <v>450</v>
      </c>
      <c r="H462" s="4" t="s">
        <v>451</v>
      </c>
      <c r="I462" s="4"/>
      <c r="J462" s="4"/>
      <c r="K462" s="4">
        <v>231</v>
      </c>
      <c r="L462" s="4">
        <v>12</v>
      </c>
      <c r="M462" s="4">
        <v>3</v>
      </c>
      <c r="N462" s="4" t="s">
        <v>6</v>
      </c>
      <c r="O462" s="4">
        <v>2</v>
      </c>
      <c r="P462" s="4"/>
      <c r="Q462" s="4"/>
      <c r="R462" s="4"/>
      <c r="S462" s="4"/>
      <c r="T462" s="4"/>
      <c r="U462" s="4"/>
      <c r="V462" s="4"/>
      <c r="W462" s="4"/>
    </row>
    <row r="463" spans="1:206" x14ac:dyDescent="0.2">
      <c r="A463" s="4">
        <v>50</v>
      </c>
      <c r="B463" s="4">
        <v>0</v>
      </c>
      <c r="C463" s="4">
        <v>0</v>
      </c>
      <c r="D463" s="4">
        <v>1</v>
      </c>
      <c r="E463" s="4">
        <v>204</v>
      </c>
      <c r="F463" s="4">
        <f>ROUND(Source!R449,O463)</f>
        <v>4707.92</v>
      </c>
      <c r="G463" s="4" t="s">
        <v>452</v>
      </c>
      <c r="H463" s="4" t="s">
        <v>453</v>
      </c>
      <c r="I463" s="4"/>
      <c r="J463" s="4"/>
      <c r="K463" s="4">
        <v>204</v>
      </c>
      <c r="L463" s="4">
        <v>13</v>
      </c>
      <c r="M463" s="4">
        <v>3</v>
      </c>
      <c r="N463" s="4" t="s">
        <v>6</v>
      </c>
      <c r="O463" s="4">
        <v>2</v>
      </c>
      <c r="P463" s="4"/>
      <c r="Q463" s="4"/>
      <c r="R463" s="4"/>
      <c r="S463" s="4"/>
      <c r="T463" s="4"/>
      <c r="U463" s="4"/>
      <c r="V463" s="4"/>
      <c r="W463" s="4"/>
    </row>
    <row r="464" spans="1:206" x14ac:dyDescent="0.2">
      <c r="A464" s="4">
        <v>50</v>
      </c>
      <c r="B464" s="4">
        <v>0</v>
      </c>
      <c r="C464" s="4">
        <v>0</v>
      </c>
      <c r="D464" s="4">
        <v>1</v>
      </c>
      <c r="E464" s="4">
        <v>205</v>
      </c>
      <c r="F464" s="4">
        <f>ROUND(Source!S449,O464)</f>
        <v>191232.84</v>
      </c>
      <c r="G464" s="4" t="s">
        <v>454</v>
      </c>
      <c r="H464" s="4" t="s">
        <v>455</v>
      </c>
      <c r="I464" s="4"/>
      <c r="J464" s="4"/>
      <c r="K464" s="4">
        <v>205</v>
      </c>
      <c r="L464" s="4">
        <v>14</v>
      </c>
      <c r="M464" s="4">
        <v>3</v>
      </c>
      <c r="N464" s="4" t="s">
        <v>6</v>
      </c>
      <c r="O464" s="4">
        <v>2</v>
      </c>
      <c r="P464" s="4"/>
      <c r="Q464" s="4"/>
      <c r="R464" s="4"/>
      <c r="S464" s="4"/>
      <c r="T464" s="4"/>
      <c r="U464" s="4"/>
      <c r="V464" s="4"/>
      <c r="W464" s="4"/>
    </row>
    <row r="465" spans="1:23" x14ac:dyDescent="0.2">
      <c r="A465" s="4">
        <v>50</v>
      </c>
      <c r="B465" s="4">
        <v>0</v>
      </c>
      <c r="C465" s="4">
        <v>0</v>
      </c>
      <c r="D465" s="4">
        <v>1</v>
      </c>
      <c r="E465" s="4">
        <v>232</v>
      </c>
      <c r="F465" s="4">
        <f>ROUND(Source!BC449,O465)</f>
        <v>0</v>
      </c>
      <c r="G465" s="4" t="s">
        <v>456</v>
      </c>
      <c r="H465" s="4" t="s">
        <v>457</v>
      </c>
      <c r="I465" s="4"/>
      <c r="J465" s="4"/>
      <c r="K465" s="4">
        <v>232</v>
      </c>
      <c r="L465" s="4">
        <v>15</v>
      </c>
      <c r="M465" s="4">
        <v>3</v>
      </c>
      <c r="N465" s="4" t="s">
        <v>6</v>
      </c>
      <c r="O465" s="4">
        <v>2</v>
      </c>
      <c r="P465" s="4"/>
      <c r="Q465" s="4"/>
      <c r="R465" s="4"/>
      <c r="S465" s="4"/>
      <c r="T465" s="4"/>
      <c r="U465" s="4"/>
      <c r="V465" s="4"/>
      <c r="W465" s="4"/>
    </row>
    <row r="466" spans="1:23" x14ac:dyDescent="0.2">
      <c r="A466" s="4">
        <v>50</v>
      </c>
      <c r="B466" s="4">
        <v>0</v>
      </c>
      <c r="C466" s="4">
        <v>0</v>
      </c>
      <c r="D466" s="4">
        <v>1</v>
      </c>
      <c r="E466" s="4">
        <v>214</v>
      </c>
      <c r="F466" s="4">
        <f>ROUND(Source!AS449,O466)</f>
        <v>1927500.45</v>
      </c>
      <c r="G466" s="4" t="s">
        <v>458</v>
      </c>
      <c r="H466" s="4" t="s">
        <v>459</v>
      </c>
      <c r="I466" s="4"/>
      <c r="J466" s="4"/>
      <c r="K466" s="4">
        <v>214</v>
      </c>
      <c r="L466" s="4">
        <v>16</v>
      </c>
      <c r="M466" s="4">
        <v>3</v>
      </c>
      <c r="N466" s="4" t="s">
        <v>6</v>
      </c>
      <c r="O466" s="4">
        <v>2</v>
      </c>
      <c r="P466" s="4"/>
      <c r="Q466" s="4"/>
      <c r="R466" s="4"/>
      <c r="S466" s="4"/>
      <c r="T466" s="4"/>
      <c r="U466" s="4"/>
      <c r="V466" s="4"/>
      <c r="W466" s="4"/>
    </row>
    <row r="467" spans="1:23" x14ac:dyDescent="0.2">
      <c r="A467" s="4">
        <v>50</v>
      </c>
      <c r="B467" s="4">
        <v>0</v>
      </c>
      <c r="C467" s="4">
        <v>0</v>
      </c>
      <c r="D467" s="4">
        <v>1</v>
      </c>
      <c r="E467" s="4">
        <v>215</v>
      </c>
      <c r="F467" s="4">
        <f>ROUND(Source!AT449,O467)</f>
        <v>223488.79</v>
      </c>
      <c r="G467" s="4" t="s">
        <v>460</v>
      </c>
      <c r="H467" s="4" t="s">
        <v>461</v>
      </c>
      <c r="I467" s="4"/>
      <c r="J467" s="4"/>
      <c r="K467" s="4">
        <v>215</v>
      </c>
      <c r="L467" s="4">
        <v>17</v>
      </c>
      <c r="M467" s="4">
        <v>3</v>
      </c>
      <c r="N467" s="4" t="s">
        <v>6</v>
      </c>
      <c r="O467" s="4">
        <v>2</v>
      </c>
      <c r="P467" s="4"/>
      <c r="Q467" s="4"/>
      <c r="R467" s="4"/>
      <c r="S467" s="4"/>
      <c r="T467" s="4"/>
      <c r="U467" s="4"/>
      <c r="V467" s="4"/>
      <c r="W467" s="4"/>
    </row>
    <row r="468" spans="1:23" x14ac:dyDescent="0.2">
      <c r="A468" s="4">
        <v>50</v>
      </c>
      <c r="B468" s="4">
        <v>0</v>
      </c>
      <c r="C468" s="4">
        <v>0</v>
      </c>
      <c r="D468" s="4">
        <v>1</v>
      </c>
      <c r="E468" s="4">
        <v>217</v>
      </c>
      <c r="F468" s="4">
        <f>ROUND(Source!AU449,O468)</f>
        <v>11733.46</v>
      </c>
      <c r="G468" s="4" t="s">
        <v>462</v>
      </c>
      <c r="H468" s="4" t="s">
        <v>463</v>
      </c>
      <c r="I468" s="4"/>
      <c r="J468" s="4"/>
      <c r="K468" s="4">
        <v>217</v>
      </c>
      <c r="L468" s="4">
        <v>18</v>
      </c>
      <c r="M468" s="4">
        <v>3</v>
      </c>
      <c r="N468" s="4" t="s">
        <v>6</v>
      </c>
      <c r="O468" s="4">
        <v>2</v>
      </c>
      <c r="P468" s="4"/>
      <c r="Q468" s="4"/>
      <c r="R468" s="4"/>
      <c r="S468" s="4"/>
      <c r="T468" s="4"/>
      <c r="U468" s="4"/>
      <c r="V468" s="4"/>
      <c r="W468" s="4"/>
    </row>
    <row r="469" spans="1:23" x14ac:dyDescent="0.2">
      <c r="A469" s="4">
        <v>50</v>
      </c>
      <c r="B469" s="4">
        <v>0</v>
      </c>
      <c r="C469" s="4">
        <v>0</v>
      </c>
      <c r="D469" s="4">
        <v>1</v>
      </c>
      <c r="E469" s="4">
        <v>230</v>
      </c>
      <c r="F469" s="4">
        <f>ROUND(Source!BA449,O469)</f>
        <v>0</v>
      </c>
      <c r="G469" s="4" t="s">
        <v>464</v>
      </c>
      <c r="H469" s="4" t="s">
        <v>465</v>
      </c>
      <c r="I469" s="4"/>
      <c r="J469" s="4"/>
      <c r="K469" s="4">
        <v>230</v>
      </c>
      <c r="L469" s="4">
        <v>19</v>
      </c>
      <c r="M469" s="4">
        <v>3</v>
      </c>
      <c r="N469" s="4" t="s">
        <v>6</v>
      </c>
      <c r="O469" s="4">
        <v>2</v>
      </c>
      <c r="P469" s="4"/>
      <c r="Q469" s="4"/>
      <c r="R469" s="4"/>
      <c r="S469" s="4"/>
      <c r="T469" s="4"/>
      <c r="U469" s="4"/>
      <c r="V469" s="4"/>
      <c r="W469" s="4"/>
    </row>
    <row r="470" spans="1:23" x14ac:dyDescent="0.2">
      <c r="A470" s="4">
        <v>50</v>
      </c>
      <c r="B470" s="4">
        <v>0</v>
      </c>
      <c r="C470" s="4">
        <v>0</v>
      </c>
      <c r="D470" s="4">
        <v>1</v>
      </c>
      <c r="E470" s="4">
        <v>206</v>
      </c>
      <c r="F470" s="4">
        <f>ROUND(Source!T449,O470)</f>
        <v>0</v>
      </c>
      <c r="G470" s="4" t="s">
        <v>466</v>
      </c>
      <c r="H470" s="4" t="s">
        <v>467</v>
      </c>
      <c r="I470" s="4"/>
      <c r="J470" s="4"/>
      <c r="K470" s="4">
        <v>206</v>
      </c>
      <c r="L470" s="4">
        <v>20</v>
      </c>
      <c r="M470" s="4">
        <v>3</v>
      </c>
      <c r="N470" s="4" t="s">
        <v>6</v>
      </c>
      <c r="O470" s="4">
        <v>2</v>
      </c>
      <c r="P470" s="4"/>
      <c r="Q470" s="4"/>
      <c r="R470" s="4"/>
      <c r="S470" s="4"/>
      <c r="T470" s="4"/>
      <c r="U470" s="4"/>
      <c r="V470" s="4"/>
      <c r="W470" s="4"/>
    </row>
    <row r="471" spans="1:23" x14ac:dyDescent="0.2">
      <c r="A471" s="4">
        <v>50</v>
      </c>
      <c r="B471" s="4">
        <v>0</v>
      </c>
      <c r="C471" s="4">
        <v>0</v>
      </c>
      <c r="D471" s="4">
        <v>1</v>
      </c>
      <c r="E471" s="4">
        <v>207</v>
      </c>
      <c r="F471" s="4">
        <f>Source!U449</f>
        <v>2938.3394818500001</v>
      </c>
      <c r="G471" s="4" t="s">
        <v>468</v>
      </c>
      <c r="H471" s="4" t="s">
        <v>469</v>
      </c>
      <c r="I471" s="4"/>
      <c r="J471" s="4"/>
      <c r="K471" s="4">
        <v>207</v>
      </c>
      <c r="L471" s="4">
        <v>21</v>
      </c>
      <c r="M471" s="4">
        <v>3</v>
      </c>
      <c r="N471" s="4" t="s">
        <v>6</v>
      </c>
      <c r="O471" s="4">
        <v>-1</v>
      </c>
      <c r="P471" s="4"/>
      <c r="Q471" s="4"/>
      <c r="R471" s="4"/>
      <c r="S471" s="4"/>
      <c r="T471" s="4"/>
      <c r="U471" s="4"/>
      <c r="V471" s="4"/>
      <c r="W471" s="4"/>
    </row>
    <row r="472" spans="1:23" x14ac:dyDescent="0.2">
      <c r="A472" s="4">
        <v>50</v>
      </c>
      <c r="B472" s="4">
        <v>0</v>
      </c>
      <c r="C472" s="4">
        <v>0</v>
      </c>
      <c r="D472" s="4">
        <v>1</v>
      </c>
      <c r="E472" s="4">
        <v>208</v>
      </c>
      <c r="F472" s="4">
        <f>Source!V449</f>
        <v>54.859778374999991</v>
      </c>
      <c r="G472" s="4" t="s">
        <v>470</v>
      </c>
      <c r="H472" s="4" t="s">
        <v>471</v>
      </c>
      <c r="I472" s="4"/>
      <c r="J472" s="4"/>
      <c r="K472" s="4">
        <v>208</v>
      </c>
      <c r="L472" s="4">
        <v>22</v>
      </c>
      <c r="M472" s="4">
        <v>3</v>
      </c>
      <c r="N472" s="4" t="s">
        <v>6</v>
      </c>
      <c r="O472" s="4">
        <v>-1</v>
      </c>
      <c r="P472" s="4"/>
      <c r="Q472" s="4"/>
      <c r="R472" s="4"/>
      <c r="S472" s="4"/>
      <c r="T472" s="4"/>
      <c r="U472" s="4"/>
      <c r="V472" s="4"/>
      <c r="W472" s="4"/>
    </row>
    <row r="473" spans="1:23" x14ac:dyDescent="0.2">
      <c r="A473" s="4">
        <v>50</v>
      </c>
      <c r="B473" s="4">
        <v>0</v>
      </c>
      <c r="C473" s="4">
        <v>0</v>
      </c>
      <c r="D473" s="4">
        <v>1</v>
      </c>
      <c r="E473" s="4">
        <v>209</v>
      </c>
      <c r="F473" s="4">
        <f>ROUND(Source!W449,O473)</f>
        <v>0</v>
      </c>
      <c r="G473" s="4" t="s">
        <v>472</v>
      </c>
      <c r="H473" s="4" t="s">
        <v>473</v>
      </c>
      <c r="I473" s="4"/>
      <c r="J473" s="4"/>
      <c r="K473" s="4">
        <v>209</v>
      </c>
      <c r="L473" s="4">
        <v>23</v>
      </c>
      <c r="M473" s="4">
        <v>3</v>
      </c>
      <c r="N473" s="4" t="s">
        <v>6</v>
      </c>
      <c r="O473" s="4">
        <v>2</v>
      </c>
      <c r="P473" s="4"/>
      <c r="Q473" s="4"/>
      <c r="R473" s="4"/>
      <c r="S473" s="4"/>
      <c r="T473" s="4"/>
      <c r="U473" s="4"/>
      <c r="V473" s="4"/>
      <c r="W473" s="4"/>
    </row>
    <row r="474" spans="1:23" x14ac:dyDescent="0.2">
      <c r="A474" s="4">
        <v>50</v>
      </c>
      <c r="B474" s="4">
        <v>0</v>
      </c>
      <c r="C474" s="4">
        <v>0</v>
      </c>
      <c r="D474" s="4">
        <v>1</v>
      </c>
      <c r="E474" s="4">
        <v>210</v>
      </c>
      <c r="F474" s="4">
        <f>ROUND(Source!X449,O474)</f>
        <v>192043.01</v>
      </c>
      <c r="G474" s="4" t="s">
        <v>474</v>
      </c>
      <c r="H474" s="4" t="s">
        <v>475</v>
      </c>
      <c r="I474" s="4"/>
      <c r="J474" s="4"/>
      <c r="K474" s="4">
        <v>210</v>
      </c>
      <c r="L474" s="4">
        <v>24</v>
      </c>
      <c r="M474" s="4">
        <v>3</v>
      </c>
      <c r="N474" s="4" t="s">
        <v>6</v>
      </c>
      <c r="O474" s="4">
        <v>2</v>
      </c>
      <c r="P474" s="4"/>
      <c r="Q474" s="4"/>
      <c r="R474" s="4"/>
      <c r="S474" s="4"/>
      <c r="T474" s="4"/>
      <c r="U474" s="4"/>
      <c r="V474" s="4"/>
      <c r="W474" s="4"/>
    </row>
    <row r="475" spans="1:23" x14ac:dyDescent="0.2">
      <c r="A475" s="4">
        <v>50</v>
      </c>
      <c r="B475" s="4">
        <v>0</v>
      </c>
      <c r="C475" s="4">
        <v>0</v>
      </c>
      <c r="D475" s="4">
        <v>1</v>
      </c>
      <c r="E475" s="4">
        <v>211</v>
      </c>
      <c r="F475" s="4">
        <f>ROUND(Source!Y449,O475)</f>
        <v>113390.43</v>
      </c>
      <c r="G475" s="4" t="s">
        <v>476</v>
      </c>
      <c r="H475" s="4" t="s">
        <v>477</v>
      </c>
      <c r="I475" s="4"/>
      <c r="J475" s="4"/>
      <c r="K475" s="4">
        <v>211</v>
      </c>
      <c r="L475" s="4">
        <v>25</v>
      </c>
      <c r="M475" s="4">
        <v>3</v>
      </c>
      <c r="N475" s="4" t="s">
        <v>6</v>
      </c>
      <c r="O475" s="4">
        <v>2</v>
      </c>
      <c r="P475" s="4"/>
      <c r="Q475" s="4"/>
      <c r="R475" s="4"/>
      <c r="S475" s="4"/>
      <c r="T475" s="4"/>
      <c r="U475" s="4"/>
      <c r="V475" s="4"/>
      <c r="W475" s="4"/>
    </row>
    <row r="476" spans="1:23" x14ac:dyDescent="0.2">
      <c r="A476" s="4">
        <v>50</v>
      </c>
      <c r="B476" s="4">
        <v>0</v>
      </c>
      <c r="C476" s="4">
        <v>0</v>
      </c>
      <c r="D476" s="4">
        <v>1</v>
      </c>
      <c r="E476" s="4">
        <v>0</v>
      </c>
      <c r="F476" s="4">
        <f>ROUND(Source!AR449,O476)</f>
        <v>2162722.7000000002</v>
      </c>
      <c r="G476" s="4" t="s">
        <v>478</v>
      </c>
      <c r="H476" s="4" t="s">
        <v>479</v>
      </c>
      <c r="I476" s="4"/>
      <c r="J476" s="4"/>
      <c r="K476" s="4">
        <v>224</v>
      </c>
      <c r="L476" s="4">
        <v>26</v>
      </c>
      <c r="M476" s="4">
        <v>3</v>
      </c>
      <c r="N476" s="4" t="s">
        <v>6</v>
      </c>
      <c r="O476" s="4">
        <v>2</v>
      </c>
      <c r="P476" s="4"/>
      <c r="Q476" s="4"/>
      <c r="R476" s="4"/>
      <c r="S476" s="4"/>
      <c r="T476" s="4"/>
      <c r="U476" s="4"/>
      <c r="V476" s="4"/>
      <c r="W476" s="4"/>
    </row>
    <row r="477" spans="1:23" x14ac:dyDescent="0.2">
      <c r="A477" s="4">
        <v>50</v>
      </c>
      <c r="B477" s="4">
        <v>1</v>
      </c>
      <c r="C477" s="4">
        <v>0</v>
      </c>
      <c r="D477" s="4">
        <v>2</v>
      </c>
      <c r="E477" s="4">
        <v>0</v>
      </c>
      <c r="F477" s="4">
        <f>ROUND(F476,O477)</f>
        <v>2162722.7000000002</v>
      </c>
      <c r="G477" s="4" t="s">
        <v>480</v>
      </c>
      <c r="H477" s="4" t="s">
        <v>478</v>
      </c>
      <c r="I477" s="4"/>
      <c r="J477" s="4"/>
      <c r="K477" s="4">
        <v>212</v>
      </c>
      <c r="L477" s="4">
        <v>27</v>
      </c>
      <c r="M477" s="4">
        <v>0</v>
      </c>
      <c r="N477" s="4" t="s">
        <v>6</v>
      </c>
      <c r="O477" s="4">
        <v>2</v>
      </c>
      <c r="P477" s="4"/>
      <c r="Q477" s="4"/>
      <c r="R477" s="4"/>
      <c r="S477" s="4"/>
      <c r="T477" s="4"/>
      <c r="U477" s="4"/>
      <c r="V477" s="4"/>
      <c r="W477" s="4"/>
    </row>
    <row r="478" spans="1:23" x14ac:dyDescent="0.2">
      <c r="A478" s="4">
        <v>50</v>
      </c>
      <c r="B478" s="4">
        <v>1</v>
      </c>
      <c r="C478" s="4">
        <v>0</v>
      </c>
      <c r="D478" s="4">
        <v>2</v>
      </c>
      <c r="E478" s="4">
        <v>0</v>
      </c>
      <c r="F478" s="4">
        <f>ROUND(F477*0.18,O478)</f>
        <v>389290.09</v>
      </c>
      <c r="G478" s="4" t="s">
        <v>481</v>
      </c>
      <c r="H478" s="4" t="s">
        <v>482</v>
      </c>
      <c r="I478" s="4"/>
      <c r="J478" s="4"/>
      <c r="K478" s="4">
        <v>212</v>
      </c>
      <c r="L478" s="4">
        <v>28</v>
      </c>
      <c r="M478" s="4">
        <v>0</v>
      </c>
      <c r="N478" s="4" t="s">
        <v>6</v>
      </c>
      <c r="O478" s="4">
        <v>2</v>
      </c>
      <c r="P478" s="4"/>
      <c r="Q478" s="4"/>
      <c r="R478" s="4"/>
      <c r="S478" s="4"/>
      <c r="T478" s="4"/>
      <c r="U478" s="4"/>
      <c r="V478" s="4"/>
      <c r="W478" s="4"/>
    </row>
    <row r="479" spans="1:23" x14ac:dyDescent="0.2">
      <c r="A479" s="4">
        <v>50</v>
      </c>
      <c r="B479" s="4">
        <v>1</v>
      </c>
      <c r="C479" s="4">
        <v>0</v>
      </c>
      <c r="D479" s="4">
        <v>2</v>
      </c>
      <c r="E479" s="4">
        <v>224</v>
      </c>
      <c r="F479" s="4">
        <f>ROUND(F477+F478,O479)</f>
        <v>2552012.79</v>
      </c>
      <c r="G479" s="4" t="s">
        <v>483</v>
      </c>
      <c r="H479" s="4" t="s">
        <v>484</v>
      </c>
      <c r="I479" s="4"/>
      <c r="J479" s="4"/>
      <c r="K479" s="4">
        <v>212</v>
      </c>
      <c r="L479" s="4">
        <v>29</v>
      </c>
      <c r="M479" s="4">
        <v>0</v>
      </c>
      <c r="N479" s="4" t="s">
        <v>6</v>
      </c>
      <c r="O479" s="4">
        <v>2</v>
      </c>
      <c r="P479" s="4"/>
      <c r="Q479" s="4"/>
      <c r="R479" s="4"/>
      <c r="S479" s="4"/>
      <c r="T479" s="4"/>
      <c r="U479" s="4"/>
      <c r="V479" s="4"/>
      <c r="W479" s="4"/>
    </row>
    <row r="481" spans="1:206" x14ac:dyDescent="0.2">
      <c r="A481" s="2">
        <v>51</v>
      </c>
      <c r="B481" s="2">
        <f>B12</f>
        <v>542</v>
      </c>
      <c r="C481" s="2">
        <f>A12</f>
        <v>1</v>
      </c>
      <c r="D481" s="2">
        <f>ROW(A12)</f>
        <v>12</v>
      </c>
      <c r="E481" s="2"/>
      <c r="F481" s="2" t="str">
        <f>IF(F12&lt;&gt;"",F12,"")</f>
        <v>Новый объект_(Копия)_(Копия)</v>
      </c>
      <c r="G481" s="2" t="str">
        <f>IF(G12&lt;&gt;"",G12,"")</f>
        <v>Капитальный ремонт общежития №2  2-этаж  НВПК НИЯУ МИФИ</v>
      </c>
      <c r="H481" s="2">
        <v>0</v>
      </c>
      <c r="I481" s="2"/>
      <c r="J481" s="2"/>
      <c r="K481" s="2"/>
      <c r="L481" s="2"/>
      <c r="M481" s="2"/>
      <c r="N481" s="2"/>
      <c r="O481" s="2">
        <f t="shared" ref="O481:T481" si="397">ROUND(O449,2)</f>
        <v>1850942.08</v>
      </c>
      <c r="P481" s="2">
        <f t="shared" si="397"/>
        <v>1632370.1</v>
      </c>
      <c r="Q481" s="2">
        <f t="shared" si="397"/>
        <v>27339.14</v>
      </c>
      <c r="R481" s="2">
        <f t="shared" si="397"/>
        <v>4707.92</v>
      </c>
      <c r="S481" s="2">
        <f t="shared" si="397"/>
        <v>191232.84</v>
      </c>
      <c r="T481" s="2">
        <f t="shared" si="397"/>
        <v>0</v>
      </c>
      <c r="U481" s="2">
        <f>U449</f>
        <v>2938.3394818500001</v>
      </c>
      <c r="V481" s="2">
        <f>V449</f>
        <v>54.859778374999991</v>
      </c>
      <c r="W481" s="2">
        <f>ROUND(W449,2)</f>
        <v>0</v>
      </c>
      <c r="X481" s="2">
        <f>ROUND(X449,2)</f>
        <v>192043.01</v>
      </c>
      <c r="Y481" s="2">
        <f>ROUND(Y449,2)</f>
        <v>113390.43</v>
      </c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>
        <f t="shared" ref="AO481:BC481" si="398">ROUND(AO449,2)</f>
        <v>0</v>
      </c>
      <c r="AP481" s="2">
        <f t="shared" si="398"/>
        <v>0</v>
      </c>
      <c r="AQ481" s="2">
        <f t="shared" si="398"/>
        <v>0</v>
      </c>
      <c r="AR481" s="2">
        <f t="shared" si="398"/>
        <v>2162722.7000000002</v>
      </c>
      <c r="AS481" s="2">
        <f t="shared" si="398"/>
        <v>1927500.45</v>
      </c>
      <c r="AT481" s="2">
        <f t="shared" si="398"/>
        <v>223488.79</v>
      </c>
      <c r="AU481" s="2">
        <f t="shared" si="398"/>
        <v>11733.46</v>
      </c>
      <c r="AV481" s="2">
        <f t="shared" si="398"/>
        <v>1632370.1</v>
      </c>
      <c r="AW481" s="2">
        <f t="shared" si="398"/>
        <v>1632370.1</v>
      </c>
      <c r="AX481" s="2">
        <f t="shared" si="398"/>
        <v>0</v>
      </c>
      <c r="AY481" s="2">
        <f t="shared" si="398"/>
        <v>1632370.1</v>
      </c>
      <c r="AZ481" s="2">
        <f t="shared" si="398"/>
        <v>0</v>
      </c>
      <c r="BA481" s="2">
        <f t="shared" si="398"/>
        <v>0</v>
      </c>
      <c r="BB481" s="2">
        <f t="shared" si="398"/>
        <v>0</v>
      </c>
      <c r="BC481" s="2">
        <f t="shared" si="398"/>
        <v>0</v>
      </c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3"/>
      <c r="DH481" s="3"/>
      <c r="DI481" s="3"/>
      <c r="DJ481" s="3"/>
      <c r="DK481" s="3"/>
      <c r="DL481" s="3"/>
      <c r="DM481" s="3"/>
      <c r="DN481" s="3"/>
      <c r="DO481" s="3"/>
      <c r="DP481" s="3"/>
      <c r="DQ481" s="3"/>
      <c r="DR481" s="3"/>
      <c r="DS481" s="3"/>
      <c r="DT481" s="3"/>
      <c r="DU481" s="3"/>
      <c r="DV481" s="3"/>
      <c r="DW481" s="3"/>
      <c r="DX481" s="3"/>
      <c r="DY481" s="3"/>
      <c r="DZ481" s="3"/>
      <c r="EA481" s="3"/>
      <c r="EB481" s="3"/>
      <c r="EC481" s="3"/>
      <c r="ED481" s="3"/>
      <c r="EE481" s="3"/>
      <c r="EF481" s="3"/>
      <c r="EG481" s="3"/>
      <c r="EH481" s="3"/>
      <c r="EI481" s="3"/>
      <c r="EJ481" s="3"/>
      <c r="EK481" s="3"/>
      <c r="EL481" s="3"/>
      <c r="EM481" s="3"/>
      <c r="EN481" s="3"/>
      <c r="EO481" s="3"/>
      <c r="EP481" s="3"/>
      <c r="EQ481" s="3"/>
      <c r="ER481" s="3"/>
      <c r="ES481" s="3"/>
      <c r="ET481" s="3"/>
      <c r="EU481" s="3"/>
      <c r="EV481" s="3"/>
      <c r="EW481" s="3"/>
      <c r="EX481" s="3"/>
      <c r="EY481" s="3"/>
      <c r="EZ481" s="3"/>
      <c r="FA481" s="3"/>
      <c r="FB481" s="3"/>
      <c r="FC481" s="3"/>
      <c r="FD481" s="3"/>
      <c r="FE481" s="3"/>
      <c r="FF481" s="3"/>
      <c r="FG481" s="3"/>
      <c r="FH481" s="3"/>
      <c r="FI481" s="3"/>
      <c r="FJ481" s="3"/>
      <c r="FK481" s="3"/>
      <c r="FL481" s="3"/>
      <c r="FM481" s="3"/>
      <c r="FN481" s="3"/>
      <c r="FO481" s="3"/>
      <c r="FP481" s="3"/>
      <c r="FQ481" s="3"/>
      <c r="FR481" s="3"/>
      <c r="FS481" s="3"/>
      <c r="FT481" s="3"/>
      <c r="FU481" s="3"/>
      <c r="FV481" s="3"/>
      <c r="FW481" s="3"/>
      <c r="FX481" s="3"/>
      <c r="FY481" s="3"/>
      <c r="FZ481" s="3"/>
      <c r="GA481" s="3"/>
      <c r="GB481" s="3"/>
      <c r="GC481" s="3"/>
      <c r="GD481" s="3"/>
      <c r="GE481" s="3"/>
      <c r="GF481" s="3"/>
      <c r="GG481" s="3"/>
      <c r="GH481" s="3"/>
      <c r="GI481" s="3"/>
      <c r="GJ481" s="3"/>
      <c r="GK481" s="3"/>
      <c r="GL481" s="3"/>
      <c r="GM481" s="3"/>
      <c r="GN481" s="3"/>
      <c r="GO481" s="3"/>
      <c r="GP481" s="3"/>
      <c r="GQ481" s="3"/>
      <c r="GR481" s="3"/>
      <c r="GS481" s="3"/>
      <c r="GT481" s="3"/>
      <c r="GU481" s="3"/>
      <c r="GV481" s="3"/>
      <c r="GW481" s="3"/>
      <c r="GX481" s="3">
        <v>0</v>
      </c>
    </row>
    <row r="483" spans="1:206" x14ac:dyDescent="0.2">
      <c r="A483" s="4">
        <v>50</v>
      </c>
      <c r="B483" s="4">
        <v>0</v>
      </c>
      <c r="C483" s="4">
        <v>0</v>
      </c>
      <c r="D483" s="4">
        <v>1</v>
      </c>
      <c r="E483" s="4">
        <v>201</v>
      </c>
      <c r="F483" s="4">
        <f>ROUND(Source!O481,O483)</f>
        <v>1850942.08</v>
      </c>
      <c r="G483" s="4" t="s">
        <v>428</v>
      </c>
      <c r="H483" s="4" t="s">
        <v>429</v>
      </c>
      <c r="I483" s="4"/>
      <c r="J483" s="4"/>
      <c r="K483" s="4">
        <v>201</v>
      </c>
      <c r="L483" s="4">
        <v>1</v>
      </c>
      <c r="M483" s="4">
        <v>3</v>
      </c>
      <c r="N483" s="4" t="s">
        <v>6</v>
      </c>
      <c r="O483" s="4">
        <v>2</v>
      </c>
      <c r="P483" s="4"/>
      <c r="Q483" s="4"/>
      <c r="R483" s="4"/>
      <c r="S483" s="4"/>
      <c r="T483" s="4"/>
      <c r="U483" s="4"/>
      <c r="V483" s="4"/>
      <c r="W483" s="4"/>
    </row>
    <row r="484" spans="1:206" x14ac:dyDescent="0.2">
      <c r="A484" s="4">
        <v>50</v>
      </c>
      <c r="B484" s="4">
        <v>0</v>
      </c>
      <c r="C484" s="4">
        <v>0</v>
      </c>
      <c r="D484" s="4">
        <v>1</v>
      </c>
      <c r="E484" s="4">
        <v>202</v>
      </c>
      <c r="F484" s="4">
        <f>ROUND(Source!P481,O484)</f>
        <v>1632370.1</v>
      </c>
      <c r="G484" s="4" t="s">
        <v>430</v>
      </c>
      <c r="H484" s="4" t="s">
        <v>431</v>
      </c>
      <c r="I484" s="4"/>
      <c r="J484" s="4"/>
      <c r="K484" s="4">
        <v>202</v>
      </c>
      <c r="L484" s="4">
        <v>2</v>
      </c>
      <c r="M484" s="4">
        <v>3</v>
      </c>
      <c r="N484" s="4" t="s">
        <v>6</v>
      </c>
      <c r="O484" s="4">
        <v>2</v>
      </c>
      <c r="P484" s="4"/>
      <c r="Q484" s="4"/>
      <c r="R484" s="4"/>
      <c r="S484" s="4"/>
      <c r="T484" s="4"/>
      <c r="U484" s="4"/>
      <c r="V484" s="4"/>
      <c r="W484" s="4"/>
    </row>
    <row r="485" spans="1:206" x14ac:dyDescent="0.2">
      <c r="A485" s="4">
        <v>50</v>
      </c>
      <c r="B485" s="4">
        <v>0</v>
      </c>
      <c r="C485" s="4">
        <v>0</v>
      </c>
      <c r="D485" s="4">
        <v>1</v>
      </c>
      <c r="E485" s="4">
        <v>222</v>
      </c>
      <c r="F485" s="4">
        <f>ROUND(Source!AO481,O485)</f>
        <v>0</v>
      </c>
      <c r="G485" s="4" t="s">
        <v>432</v>
      </c>
      <c r="H485" s="4" t="s">
        <v>433</v>
      </c>
      <c r="I485" s="4"/>
      <c r="J485" s="4"/>
      <c r="K485" s="4">
        <v>222</v>
      </c>
      <c r="L485" s="4">
        <v>3</v>
      </c>
      <c r="M485" s="4">
        <v>3</v>
      </c>
      <c r="N485" s="4" t="s">
        <v>6</v>
      </c>
      <c r="O485" s="4">
        <v>2</v>
      </c>
      <c r="P485" s="4"/>
      <c r="Q485" s="4"/>
      <c r="R485" s="4"/>
      <c r="S485" s="4"/>
      <c r="T485" s="4"/>
      <c r="U485" s="4"/>
      <c r="V485" s="4"/>
      <c r="W485" s="4"/>
    </row>
    <row r="486" spans="1:206" x14ac:dyDescent="0.2">
      <c r="A486" s="4">
        <v>50</v>
      </c>
      <c r="B486" s="4">
        <v>0</v>
      </c>
      <c r="C486" s="4">
        <v>0</v>
      </c>
      <c r="D486" s="4">
        <v>1</v>
      </c>
      <c r="E486" s="4">
        <v>225</v>
      </c>
      <c r="F486" s="4">
        <f>ROUND(Source!AV481,O486)</f>
        <v>1632370.1</v>
      </c>
      <c r="G486" s="4" t="s">
        <v>434</v>
      </c>
      <c r="H486" s="4" t="s">
        <v>435</v>
      </c>
      <c r="I486" s="4"/>
      <c r="J486" s="4"/>
      <c r="K486" s="4">
        <v>225</v>
      </c>
      <c r="L486" s="4">
        <v>4</v>
      </c>
      <c r="M486" s="4">
        <v>3</v>
      </c>
      <c r="N486" s="4" t="s">
        <v>6</v>
      </c>
      <c r="O486" s="4">
        <v>2</v>
      </c>
      <c r="P486" s="4"/>
      <c r="Q486" s="4"/>
      <c r="R486" s="4"/>
      <c r="S486" s="4"/>
      <c r="T486" s="4"/>
      <c r="U486" s="4"/>
      <c r="V486" s="4"/>
      <c r="W486" s="4"/>
    </row>
    <row r="487" spans="1:206" x14ac:dyDescent="0.2">
      <c r="A487" s="4">
        <v>50</v>
      </c>
      <c r="B487" s="4">
        <v>0</v>
      </c>
      <c r="C487" s="4">
        <v>0</v>
      </c>
      <c r="D487" s="4">
        <v>1</v>
      </c>
      <c r="E487" s="4">
        <v>226</v>
      </c>
      <c r="F487" s="4">
        <f>ROUND(Source!AW481,O487)</f>
        <v>1632370.1</v>
      </c>
      <c r="G487" s="4" t="s">
        <v>436</v>
      </c>
      <c r="H487" s="4" t="s">
        <v>437</v>
      </c>
      <c r="I487" s="4"/>
      <c r="J487" s="4"/>
      <c r="K487" s="4">
        <v>226</v>
      </c>
      <c r="L487" s="4">
        <v>5</v>
      </c>
      <c r="M487" s="4">
        <v>3</v>
      </c>
      <c r="N487" s="4" t="s">
        <v>6</v>
      </c>
      <c r="O487" s="4">
        <v>2</v>
      </c>
      <c r="P487" s="4"/>
      <c r="Q487" s="4"/>
      <c r="R487" s="4"/>
      <c r="S487" s="4"/>
      <c r="T487" s="4"/>
      <c r="U487" s="4"/>
      <c r="V487" s="4"/>
      <c r="W487" s="4"/>
    </row>
    <row r="488" spans="1:206" x14ac:dyDescent="0.2">
      <c r="A488" s="4">
        <v>50</v>
      </c>
      <c r="B488" s="4">
        <v>0</v>
      </c>
      <c r="C488" s="4">
        <v>0</v>
      </c>
      <c r="D488" s="4">
        <v>1</v>
      </c>
      <c r="E488" s="4">
        <v>227</v>
      </c>
      <c r="F488" s="4">
        <f>ROUND(Source!AX481,O488)</f>
        <v>0</v>
      </c>
      <c r="G488" s="4" t="s">
        <v>438</v>
      </c>
      <c r="H488" s="4" t="s">
        <v>439</v>
      </c>
      <c r="I488" s="4"/>
      <c r="J488" s="4"/>
      <c r="K488" s="4">
        <v>227</v>
      </c>
      <c r="L488" s="4">
        <v>6</v>
      </c>
      <c r="M488" s="4">
        <v>3</v>
      </c>
      <c r="N488" s="4" t="s">
        <v>6</v>
      </c>
      <c r="O488" s="4">
        <v>2</v>
      </c>
      <c r="P488" s="4"/>
      <c r="Q488" s="4"/>
      <c r="R488" s="4"/>
      <c r="S488" s="4"/>
      <c r="T488" s="4"/>
      <c r="U488" s="4"/>
      <c r="V488" s="4"/>
      <c r="W488" s="4"/>
    </row>
    <row r="489" spans="1:206" x14ac:dyDescent="0.2">
      <c r="A489" s="4">
        <v>50</v>
      </c>
      <c r="B489" s="4">
        <v>0</v>
      </c>
      <c r="C489" s="4">
        <v>0</v>
      </c>
      <c r="D489" s="4">
        <v>1</v>
      </c>
      <c r="E489" s="4">
        <v>228</v>
      </c>
      <c r="F489" s="4">
        <f>ROUND(Source!AY481,O489)</f>
        <v>1632370.1</v>
      </c>
      <c r="G489" s="4" t="s">
        <v>440</v>
      </c>
      <c r="H489" s="4" t="s">
        <v>441</v>
      </c>
      <c r="I489" s="4"/>
      <c r="J489" s="4"/>
      <c r="K489" s="4">
        <v>228</v>
      </c>
      <c r="L489" s="4">
        <v>7</v>
      </c>
      <c r="M489" s="4">
        <v>3</v>
      </c>
      <c r="N489" s="4" t="s">
        <v>6</v>
      </c>
      <c r="O489" s="4">
        <v>2</v>
      </c>
      <c r="P489" s="4"/>
      <c r="Q489" s="4"/>
      <c r="R489" s="4"/>
      <c r="S489" s="4"/>
      <c r="T489" s="4"/>
      <c r="U489" s="4"/>
      <c r="V489" s="4"/>
      <c r="W489" s="4"/>
    </row>
    <row r="490" spans="1:206" x14ac:dyDescent="0.2">
      <c r="A490" s="4">
        <v>50</v>
      </c>
      <c r="B490" s="4">
        <v>0</v>
      </c>
      <c r="C490" s="4">
        <v>0</v>
      </c>
      <c r="D490" s="4">
        <v>1</v>
      </c>
      <c r="E490" s="4">
        <v>216</v>
      </c>
      <c r="F490" s="4">
        <f>ROUND(Source!AP481,O490)</f>
        <v>0</v>
      </c>
      <c r="G490" s="4" t="s">
        <v>442</v>
      </c>
      <c r="H490" s="4" t="s">
        <v>443</v>
      </c>
      <c r="I490" s="4"/>
      <c r="J490" s="4"/>
      <c r="K490" s="4">
        <v>216</v>
      </c>
      <c r="L490" s="4">
        <v>8</v>
      </c>
      <c r="M490" s="4">
        <v>3</v>
      </c>
      <c r="N490" s="4" t="s">
        <v>6</v>
      </c>
      <c r="O490" s="4">
        <v>2</v>
      </c>
      <c r="P490" s="4"/>
      <c r="Q490" s="4"/>
      <c r="R490" s="4"/>
      <c r="S490" s="4"/>
      <c r="T490" s="4"/>
      <c r="U490" s="4"/>
      <c r="V490" s="4"/>
      <c r="W490" s="4"/>
    </row>
    <row r="491" spans="1:206" x14ac:dyDescent="0.2">
      <c r="A491" s="4">
        <v>50</v>
      </c>
      <c r="B491" s="4">
        <v>0</v>
      </c>
      <c r="C491" s="4">
        <v>0</v>
      </c>
      <c r="D491" s="4">
        <v>1</v>
      </c>
      <c r="E491" s="4">
        <v>223</v>
      </c>
      <c r="F491" s="4">
        <f>ROUND(Source!AQ481,O491)</f>
        <v>0</v>
      </c>
      <c r="G491" s="4" t="s">
        <v>444</v>
      </c>
      <c r="H491" s="4" t="s">
        <v>445</v>
      </c>
      <c r="I491" s="4"/>
      <c r="J491" s="4"/>
      <c r="K491" s="4">
        <v>223</v>
      </c>
      <c r="L491" s="4">
        <v>9</v>
      </c>
      <c r="M491" s="4">
        <v>3</v>
      </c>
      <c r="N491" s="4" t="s">
        <v>6</v>
      </c>
      <c r="O491" s="4">
        <v>2</v>
      </c>
      <c r="P491" s="4"/>
      <c r="Q491" s="4"/>
      <c r="R491" s="4"/>
      <c r="S491" s="4"/>
      <c r="T491" s="4"/>
      <c r="U491" s="4"/>
      <c r="V491" s="4"/>
      <c r="W491" s="4"/>
    </row>
    <row r="492" spans="1:206" x14ac:dyDescent="0.2">
      <c r="A492" s="4">
        <v>50</v>
      </c>
      <c r="B492" s="4">
        <v>0</v>
      </c>
      <c r="C492" s="4">
        <v>0</v>
      </c>
      <c r="D492" s="4">
        <v>1</v>
      </c>
      <c r="E492" s="4">
        <v>229</v>
      </c>
      <c r="F492" s="4">
        <f>ROUND(Source!AZ481,O492)</f>
        <v>0</v>
      </c>
      <c r="G492" s="4" t="s">
        <v>446</v>
      </c>
      <c r="H492" s="4" t="s">
        <v>447</v>
      </c>
      <c r="I492" s="4"/>
      <c r="J492" s="4"/>
      <c r="K492" s="4">
        <v>229</v>
      </c>
      <c r="L492" s="4">
        <v>10</v>
      </c>
      <c r="M492" s="4">
        <v>3</v>
      </c>
      <c r="N492" s="4" t="s">
        <v>6</v>
      </c>
      <c r="O492" s="4">
        <v>2</v>
      </c>
      <c r="P492" s="4"/>
      <c r="Q492" s="4"/>
      <c r="R492" s="4"/>
      <c r="S492" s="4"/>
      <c r="T492" s="4"/>
      <c r="U492" s="4"/>
      <c r="V492" s="4"/>
      <c r="W492" s="4"/>
    </row>
    <row r="493" spans="1:206" x14ac:dyDescent="0.2">
      <c r="A493" s="4">
        <v>50</v>
      </c>
      <c r="B493" s="4">
        <v>0</v>
      </c>
      <c r="C493" s="4">
        <v>0</v>
      </c>
      <c r="D493" s="4">
        <v>1</v>
      </c>
      <c r="E493" s="4">
        <v>203</v>
      </c>
      <c r="F493" s="4">
        <f>ROUND(Source!Q481,O493)</f>
        <v>27339.14</v>
      </c>
      <c r="G493" s="4" t="s">
        <v>448</v>
      </c>
      <c r="H493" s="4" t="s">
        <v>449</v>
      </c>
      <c r="I493" s="4"/>
      <c r="J493" s="4"/>
      <c r="K493" s="4">
        <v>203</v>
      </c>
      <c r="L493" s="4">
        <v>11</v>
      </c>
      <c r="M493" s="4">
        <v>3</v>
      </c>
      <c r="N493" s="4" t="s">
        <v>6</v>
      </c>
      <c r="O493" s="4">
        <v>2</v>
      </c>
      <c r="P493" s="4"/>
      <c r="Q493" s="4"/>
      <c r="R493" s="4"/>
      <c r="S493" s="4"/>
      <c r="T493" s="4"/>
      <c r="U493" s="4"/>
      <c r="V493" s="4"/>
      <c r="W493" s="4"/>
    </row>
    <row r="494" spans="1:206" x14ac:dyDescent="0.2">
      <c r="A494" s="4">
        <v>50</v>
      </c>
      <c r="B494" s="4">
        <v>0</v>
      </c>
      <c r="C494" s="4">
        <v>0</v>
      </c>
      <c r="D494" s="4">
        <v>1</v>
      </c>
      <c r="E494" s="4">
        <v>231</v>
      </c>
      <c r="F494" s="4">
        <f>ROUND(Source!BB481,O494)</f>
        <v>0</v>
      </c>
      <c r="G494" s="4" t="s">
        <v>450</v>
      </c>
      <c r="H494" s="4" t="s">
        <v>451</v>
      </c>
      <c r="I494" s="4"/>
      <c r="J494" s="4"/>
      <c r="K494" s="4">
        <v>231</v>
      </c>
      <c r="L494" s="4">
        <v>12</v>
      </c>
      <c r="M494" s="4">
        <v>3</v>
      </c>
      <c r="N494" s="4" t="s">
        <v>6</v>
      </c>
      <c r="O494" s="4">
        <v>2</v>
      </c>
      <c r="P494" s="4"/>
      <c r="Q494" s="4"/>
      <c r="R494" s="4"/>
      <c r="S494" s="4"/>
      <c r="T494" s="4"/>
      <c r="U494" s="4"/>
      <c r="V494" s="4"/>
      <c r="W494" s="4"/>
    </row>
    <row r="495" spans="1:206" x14ac:dyDescent="0.2">
      <c r="A495" s="4">
        <v>50</v>
      </c>
      <c r="B495" s="4">
        <v>0</v>
      </c>
      <c r="C495" s="4">
        <v>0</v>
      </c>
      <c r="D495" s="4">
        <v>1</v>
      </c>
      <c r="E495" s="4">
        <v>204</v>
      </c>
      <c r="F495" s="4">
        <f>ROUND(Source!R481,O495)</f>
        <v>4707.92</v>
      </c>
      <c r="G495" s="4" t="s">
        <v>452</v>
      </c>
      <c r="H495" s="4" t="s">
        <v>453</v>
      </c>
      <c r="I495" s="4"/>
      <c r="J495" s="4"/>
      <c r="K495" s="4">
        <v>204</v>
      </c>
      <c r="L495" s="4">
        <v>13</v>
      </c>
      <c r="M495" s="4">
        <v>3</v>
      </c>
      <c r="N495" s="4" t="s">
        <v>6</v>
      </c>
      <c r="O495" s="4">
        <v>2</v>
      </c>
      <c r="P495" s="4"/>
      <c r="Q495" s="4"/>
      <c r="R495" s="4"/>
      <c r="S495" s="4"/>
      <c r="T495" s="4"/>
      <c r="U495" s="4"/>
      <c r="V495" s="4"/>
      <c r="W495" s="4"/>
    </row>
    <row r="496" spans="1:206" x14ac:dyDescent="0.2">
      <c r="A496" s="4">
        <v>50</v>
      </c>
      <c r="B496" s="4">
        <v>0</v>
      </c>
      <c r="C496" s="4">
        <v>0</v>
      </c>
      <c r="D496" s="4">
        <v>1</v>
      </c>
      <c r="E496" s="4">
        <v>205</v>
      </c>
      <c r="F496" s="4">
        <f>ROUND(Source!S481,O496)</f>
        <v>191232.84</v>
      </c>
      <c r="G496" s="4" t="s">
        <v>454</v>
      </c>
      <c r="H496" s="4" t="s">
        <v>455</v>
      </c>
      <c r="I496" s="4"/>
      <c r="J496" s="4"/>
      <c r="K496" s="4">
        <v>205</v>
      </c>
      <c r="L496" s="4">
        <v>14</v>
      </c>
      <c r="M496" s="4">
        <v>3</v>
      </c>
      <c r="N496" s="4" t="s">
        <v>6</v>
      </c>
      <c r="O496" s="4">
        <v>2</v>
      </c>
      <c r="P496" s="4"/>
      <c r="Q496" s="4"/>
      <c r="R496" s="4"/>
      <c r="S496" s="4"/>
      <c r="T496" s="4"/>
      <c r="U496" s="4"/>
      <c r="V496" s="4"/>
      <c r="W496" s="4"/>
    </row>
    <row r="497" spans="1:23" x14ac:dyDescent="0.2">
      <c r="A497" s="4">
        <v>50</v>
      </c>
      <c r="B497" s="4">
        <v>0</v>
      </c>
      <c r="C497" s="4">
        <v>0</v>
      </c>
      <c r="D497" s="4">
        <v>1</v>
      </c>
      <c r="E497" s="4">
        <v>232</v>
      </c>
      <c r="F497" s="4">
        <f>ROUND(Source!BC481,O497)</f>
        <v>0</v>
      </c>
      <c r="G497" s="4" t="s">
        <v>456</v>
      </c>
      <c r="H497" s="4" t="s">
        <v>457</v>
      </c>
      <c r="I497" s="4"/>
      <c r="J497" s="4"/>
      <c r="K497" s="4">
        <v>232</v>
      </c>
      <c r="L497" s="4">
        <v>15</v>
      </c>
      <c r="M497" s="4">
        <v>3</v>
      </c>
      <c r="N497" s="4" t="s">
        <v>6</v>
      </c>
      <c r="O497" s="4">
        <v>2</v>
      </c>
      <c r="P497" s="4"/>
      <c r="Q497" s="4"/>
      <c r="R497" s="4"/>
      <c r="S497" s="4"/>
      <c r="T497" s="4"/>
      <c r="U497" s="4"/>
      <c r="V497" s="4"/>
      <c r="W497" s="4"/>
    </row>
    <row r="498" spans="1:23" x14ac:dyDescent="0.2">
      <c r="A498" s="4">
        <v>50</v>
      </c>
      <c r="B498" s="4">
        <v>0</v>
      </c>
      <c r="C498" s="4">
        <v>0</v>
      </c>
      <c r="D498" s="4">
        <v>1</v>
      </c>
      <c r="E498" s="4">
        <v>214</v>
      </c>
      <c r="F498" s="4">
        <f>ROUND(Source!AS481,O498)</f>
        <v>1927500.45</v>
      </c>
      <c r="G498" s="4" t="s">
        <v>458</v>
      </c>
      <c r="H498" s="4" t="s">
        <v>459</v>
      </c>
      <c r="I498" s="4"/>
      <c r="J498" s="4"/>
      <c r="K498" s="4">
        <v>214</v>
      </c>
      <c r="L498" s="4">
        <v>16</v>
      </c>
      <c r="M498" s="4">
        <v>3</v>
      </c>
      <c r="N498" s="4" t="s">
        <v>6</v>
      </c>
      <c r="O498" s="4">
        <v>2</v>
      </c>
      <c r="P498" s="4"/>
      <c r="Q498" s="4"/>
      <c r="R498" s="4"/>
      <c r="S498" s="4"/>
      <c r="T498" s="4"/>
      <c r="U498" s="4"/>
      <c r="V498" s="4"/>
      <c r="W498" s="4"/>
    </row>
    <row r="499" spans="1:23" x14ac:dyDescent="0.2">
      <c r="A499" s="4">
        <v>50</v>
      </c>
      <c r="B499" s="4">
        <v>0</v>
      </c>
      <c r="C499" s="4">
        <v>0</v>
      </c>
      <c r="D499" s="4">
        <v>1</v>
      </c>
      <c r="E499" s="4">
        <v>215</v>
      </c>
      <c r="F499" s="4">
        <f>ROUND(Source!AT481,O499)</f>
        <v>223488.79</v>
      </c>
      <c r="G499" s="4" t="s">
        <v>460</v>
      </c>
      <c r="H499" s="4" t="s">
        <v>461</v>
      </c>
      <c r="I499" s="4"/>
      <c r="J499" s="4"/>
      <c r="K499" s="4">
        <v>215</v>
      </c>
      <c r="L499" s="4">
        <v>17</v>
      </c>
      <c r="M499" s="4">
        <v>3</v>
      </c>
      <c r="N499" s="4" t="s">
        <v>6</v>
      </c>
      <c r="O499" s="4">
        <v>2</v>
      </c>
      <c r="P499" s="4"/>
      <c r="Q499" s="4"/>
      <c r="R499" s="4"/>
      <c r="S499" s="4"/>
      <c r="T499" s="4"/>
      <c r="U499" s="4"/>
      <c r="V499" s="4"/>
      <c r="W499" s="4"/>
    </row>
    <row r="500" spans="1:23" x14ac:dyDescent="0.2">
      <c r="A500" s="4">
        <v>50</v>
      </c>
      <c r="B500" s="4">
        <v>0</v>
      </c>
      <c r="C500" s="4">
        <v>0</v>
      </c>
      <c r="D500" s="4">
        <v>1</v>
      </c>
      <c r="E500" s="4">
        <v>217</v>
      </c>
      <c r="F500" s="4">
        <f>ROUND(Source!AU481,O500)</f>
        <v>11733.46</v>
      </c>
      <c r="G500" s="4" t="s">
        <v>462</v>
      </c>
      <c r="H500" s="4" t="s">
        <v>463</v>
      </c>
      <c r="I500" s="4"/>
      <c r="J500" s="4"/>
      <c r="K500" s="4">
        <v>217</v>
      </c>
      <c r="L500" s="4">
        <v>18</v>
      </c>
      <c r="M500" s="4">
        <v>3</v>
      </c>
      <c r="N500" s="4" t="s">
        <v>6</v>
      </c>
      <c r="O500" s="4">
        <v>2</v>
      </c>
      <c r="P500" s="4"/>
      <c r="Q500" s="4"/>
      <c r="R500" s="4"/>
      <c r="S500" s="4"/>
      <c r="T500" s="4"/>
      <c r="U500" s="4"/>
      <c r="V500" s="4"/>
      <c r="W500" s="4"/>
    </row>
    <row r="501" spans="1:23" x14ac:dyDescent="0.2">
      <c r="A501" s="4">
        <v>50</v>
      </c>
      <c r="B501" s="4">
        <v>0</v>
      </c>
      <c r="C501" s="4">
        <v>0</v>
      </c>
      <c r="D501" s="4">
        <v>1</v>
      </c>
      <c r="E501" s="4">
        <v>230</v>
      </c>
      <c r="F501" s="4">
        <f>ROUND(Source!BA481,O501)</f>
        <v>0</v>
      </c>
      <c r="G501" s="4" t="s">
        <v>464</v>
      </c>
      <c r="H501" s="4" t="s">
        <v>465</v>
      </c>
      <c r="I501" s="4"/>
      <c r="J501" s="4"/>
      <c r="K501" s="4">
        <v>230</v>
      </c>
      <c r="L501" s="4">
        <v>19</v>
      </c>
      <c r="M501" s="4">
        <v>3</v>
      </c>
      <c r="N501" s="4" t="s">
        <v>6</v>
      </c>
      <c r="O501" s="4">
        <v>2</v>
      </c>
      <c r="P501" s="4"/>
      <c r="Q501" s="4"/>
      <c r="R501" s="4"/>
      <c r="S501" s="4"/>
      <c r="T501" s="4"/>
      <c r="U501" s="4"/>
      <c r="V501" s="4"/>
      <c r="W501" s="4"/>
    </row>
    <row r="502" spans="1:23" x14ac:dyDescent="0.2">
      <c r="A502" s="4">
        <v>50</v>
      </c>
      <c r="B502" s="4">
        <v>0</v>
      </c>
      <c r="C502" s="4">
        <v>0</v>
      </c>
      <c r="D502" s="4">
        <v>1</v>
      </c>
      <c r="E502" s="4">
        <v>206</v>
      </c>
      <c r="F502" s="4">
        <f>ROUND(Source!T481,O502)</f>
        <v>0</v>
      </c>
      <c r="G502" s="4" t="s">
        <v>466</v>
      </c>
      <c r="H502" s="4" t="s">
        <v>467</v>
      </c>
      <c r="I502" s="4"/>
      <c r="J502" s="4"/>
      <c r="K502" s="4">
        <v>206</v>
      </c>
      <c r="L502" s="4">
        <v>20</v>
      </c>
      <c r="M502" s="4">
        <v>3</v>
      </c>
      <c r="N502" s="4" t="s">
        <v>6</v>
      </c>
      <c r="O502" s="4">
        <v>2</v>
      </c>
      <c r="P502" s="4"/>
      <c r="Q502" s="4"/>
      <c r="R502" s="4"/>
      <c r="S502" s="4"/>
      <c r="T502" s="4"/>
      <c r="U502" s="4"/>
      <c r="V502" s="4"/>
      <c r="W502" s="4"/>
    </row>
    <row r="503" spans="1:23" x14ac:dyDescent="0.2">
      <c r="A503" s="4">
        <v>50</v>
      </c>
      <c r="B503" s="4">
        <v>0</v>
      </c>
      <c r="C503" s="4">
        <v>0</v>
      </c>
      <c r="D503" s="4">
        <v>1</v>
      </c>
      <c r="E503" s="4">
        <v>207</v>
      </c>
      <c r="F503" s="4">
        <f>Source!U481</f>
        <v>2938.3394818500001</v>
      </c>
      <c r="G503" s="4" t="s">
        <v>468</v>
      </c>
      <c r="H503" s="4" t="s">
        <v>469</v>
      </c>
      <c r="I503" s="4"/>
      <c r="J503" s="4"/>
      <c r="K503" s="4">
        <v>207</v>
      </c>
      <c r="L503" s="4">
        <v>21</v>
      </c>
      <c r="M503" s="4">
        <v>3</v>
      </c>
      <c r="N503" s="4" t="s">
        <v>6</v>
      </c>
      <c r="O503" s="4">
        <v>-1</v>
      </c>
      <c r="P503" s="4"/>
      <c r="Q503" s="4"/>
      <c r="R503" s="4"/>
      <c r="S503" s="4"/>
      <c r="T503" s="4"/>
      <c r="U503" s="4"/>
      <c r="V503" s="4"/>
      <c r="W503" s="4"/>
    </row>
    <row r="504" spans="1:23" x14ac:dyDescent="0.2">
      <c r="A504" s="4">
        <v>50</v>
      </c>
      <c r="B504" s="4">
        <v>0</v>
      </c>
      <c r="C504" s="4">
        <v>0</v>
      </c>
      <c r="D504" s="4">
        <v>1</v>
      </c>
      <c r="E504" s="4">
        <v>208</v>
      </c>
      <c r="F504" s="4">
        <f>Source!V481</f>
        <v>54.859778374999991</v>
      </c>
      <c r="G504" s="4" t="s">
        <v>470</v>
      </c>
      <c r="H504" s="4" t="s">
        <v>471</v>
      </c>
      <c r="I504" s="4"/>
      <c r="J504" s="4"/>
      <c r="K504" s="4">
        <v>208</v>
      </c>
      <c r="L504" s="4">
        <v>22</v>
      </c>
      <c r="M504" s="4">
        <v>3</v>
      </c>
      <c r="N504" s="4" t="s">
        <v>6</v>
      </c>
      <c r="O504" s="4">
        <v>-1</v>
      </c>
      <c r="P504" s="4"/>
      <c r="Q504" s="4"/>
      <c r="R504" s="4"/>
      <c r="S504" s="4"/>
      <c r="T504" s="4"/>
      <c r="U504" s="4"/>
      <c r="V504" s="4"/>
      <c r="W504" s="4"/>
    </row>
    <row r="505" spans="1:23" x14ac:dyDescent="0.2">
      <c r="A505" s="4">
        <v>50</v>
      </c>
      <c r="B505" s="4">
        <v>0</v>
      </c>
      <c r="C505" s="4">
        <v>0</v>
      </c>
      <c r="D505" s="4">
        <v>1</v>
      </c>
      <c r="E505" s="4">
        <v>209</v>
      </c>
      <c r="F505" s="4">
        <f>ROUND(Source!W481,O505)</f>
        <v>0</v>
      </c>
      <c r="G505" s="4" t="s">
        <v>472</v>
      </c>
      <c r="H505" s="4" t="s">
        <v>473</v>
      </c>
      <c r="I505" s="4"/>
      <c r="J505" s="4"/>
      <c r="K505" s="4">
        <v>209</v>
      </c>
      <c r="L505" s="4">
        <v>23</v>
      </c>
      <c r="M505" s="4">
        <v>3</v>
      </c>
      <c r="N505" s="4" t="s">
        <v>6</v>
      </c>
      <c r="O505" s="4">
        <v>2</v>
      </c>
      <c r="P505" s="4"/>
      <c r="Q505" s="4"/>
      <c r="R505" s="4"/>
      <c r="S505" s="4"/>
      <c r="T505" s="4"/>
      <c r="U505" s="4"/>
      <c r="V505" s="4"/>
      <c r="W505" s="4"/>
    </row>
    <row r="506" spans="1:23" x14ac:dyDescent="0.2">
      <c r="A506" s="4">
        <v>50</v>
      </c>
      <c r="B506" s="4">
        <v>0</v>
      </c>
      <c r="C506" s="4">
        <v>0</v>
      </c>
      <c r="D506" s="4">
        <v>1</v>
      </c>
      <c r="E506" s="4">
        <v>210</v>
      </c>
      <c r="F506" s="4">
        <f>ROUND(Source!X481,O506)</f>
        <v>192043.01</v>
      </c>
      <c r="G506" s="4" t="s">
        <v>474</v>
      </c>
      <c r="H506" s="4" t="s">
        <v>475</v>
      </c>
      <c r="I506" s="4"/>
      <c r="J506" s="4"/>
      <c r="K506" s="4">
        <v>210</v>
      </c>
      <c r="L506" s="4">
        <v>24</v>
      </c>
      <c r="M506" s="4">
        <v>3</v>
      </c>
      <c r="N506" s="4" t="s">
        <v>6</v>
      </c>
      <c r="O506" s="4">
        <v>2</v>
      </c>
      <c r="P506" s="4"/>
      <c r="Q506" s="4"/>
      <c r="R506" s="4"/>
      <c r="S506" s="4"/>
      <c r="T506" s="4"/>
      <c r="U506" s="4"/>
      <c r="V506" s="4"/>
      <c r="W506" s="4"/>
    </row>
    <row r="507" spans="1:23" x14ac:dyDescent="0.2">
      <c r="A507" s="4">
        <v>50</v>
      </c>
      <c r="B507" s="4">
        <v>0</v>
      </c>
      <c r="C507" s="4">
        <v>0</v>
      </c>
      <c r="D507" s="4">
        <v>1</v>
      </c>
      <c r="E507" s="4">
        <v>211</v>
      </c>
      <c r="F507" s="4">
        <f>ROUND(Source!Y481,O507)</f>
        <v>113390.43</v>
      </c>
      <c r="G507" s="4" t="s">
        <v>476</v>
      </c>
      <c r="H507" s="4" t="s">
        <v>477</v>
      </c>
      <c r="I507" s="4"/>
      <c r="J507" s="4"/>
      <c r="K507" s="4">
        <v>211</v>
      </c>
      <c r="L507" s="4">
        <v>25</v>
      </c>
      <c r="M507" s="4">
        <v>3</v>
      </c>
      <c r="N507" s="4" t="s">
        <v>6</v>
      </c>
      <c r="O507" s="4">
        <v>2</v>
      </c>
      <c r="P507" s="4"/>
      <c r="Q507" s="4"/>
      <c r="R507" s="4"/>
      <c r="S507" s="4"/>
      <c r="T507" s="4"/>
      <c r="U507" s="4"/>
      <c r="V507" s="4"/>
      <c r="W507" s="4"/>
    </row>
    <row r="508" spans="1:23" x14ac:dyDescent="0.2">
      <c r="A508" s="4">
        <v>50</v>
      </c>
      <c r="B508" s="4">
        <v>0</v>
      </c>
      <c r="C508" s="4">
        <v>0</v>
      </c>
      <c r="D508" s="4">
        <v>1</v>
      </c>
      <c r="E508" s="4">
        <v>0</v>
      </c>
      <c r="F508" s="4">
        <f>ROUND(Source!AR481,O508)</f>
        <v>2162722.7000000002</v>
      </c>
      <c r="G508" s="4" t="s">
        <v>478</v>
      </c>
      <c r="H508" s="4" t="s">
        <v>479</v>
      </c>
      <c r="I508" s="4"/>
      <c r="J508" s="4"/>
      <c r="K508" s="4">
        <v>224</v>
      </c>
      <c r="L508" s="4">
        <v>26</v>
      </c>
      <c r="M508" s="4">
        <v>3</v>
      </c>
      <c r="N508" s="4" t="s">
        <v>6</v>
      </c>
      <c r="O508" s="4">
        <v>2</v>
      </c>
      <c r="P508" s="4"/>
      <c r="Q508" s="4"/>
      <c r="R508" s="4"/>
      <c r="S508" s="4"/>
      <c r="T508" s="4"/>
      <c r="U508" s="4"/>
      <c r="V508" s="4"/>
      <c r="W508" s="4"/>
    </row>
    <row r="509" spans="1:23" x14ac:dyDescent="0.2">
      <c r="A509" s="4">
        <v>50</v>
      </c>
      <c r="B509" s="4">
        <v>1</v>
      </c>
      <c r="C509" s="4">
        <v>0</v>
      </c>
      <c r="D509" s="4">
        <v>2</v>
      </c>
      <c r="E509" s="4">
        <v>0</v>
      </c>
      <c r="F509" s="4">
        <f>ROUND(F508,O509)</f>
        <v>2162722.7000000002</v>
      </c>
      <c r="G509" s="4" t="s">
        <v>480</v>
      </c>
      <c r="H509" s="4" t="s">
        <v>478</v>
      </c>
      <c r="I509" s="4"/>
      <c r="J509" s="4"/>
      <c r="K509" s="4">
        <v>212</v>
      </c>
      <c r="L509" s="4">
        <v>27</v>
      </c>
      <c r="M509" s="4">
        <v>0</v>
      </c>
      <c r="N509" s="4" t="s">
        <v>6</v>
      </c>
      <c r="O509" s="4">
        <v>2</v>
      </c>
      <c r="P509" s="4"/>
      <c r="Q509" s="4"/>
      <c r="R509" s="4"/>
      <c r="S509" s="4"/>
      <c r="T509" s="4"/>
      <c r="U509" s="4"/>
      <c r="V509" s="4"/>
      <c r="W509" s="4"/>
    </row>
    <row r="510" spans="1:23" x14ac:dyDescent="0.2">
      <c r="A510" s="4">
        <v>50</v>
      </c>
      <c r="B510" s="4">
        <v>1</v>
      </c>
      <c r="C510" s="4">
        <v>0</v>
      </c>
      <c r="D510" s="4">
        <v>2</v>
      </c>
      <c r="E510" s="4">
        <v>0</v>
      </c>
      <c r="F510" s="4">
        <f>ROUND(F509*0.18,O510)</f>
        <v>389290.09</v>
      </c>
      <c r="G510" s="4" t="s">
        <v>481</v>
      </c>
      <c r="H510" s="4" t="s">
        <v>482</v>
      </c>
      <c r="I510" s="4"/>
      <c r="J510" s="4"/>
      <c r="K510" s="4">
        <v>212</v>
      </c>
      <c r="L510" s="4">
        <v>28</v>
      </c>
      <c r="M510" s="4">
        <v>0</v>
      </c>
      <c r="N510" s="4" t="s">
        <v>6</v>
      </c>
      <c r="O510" s="4">
        <v>2</v>
      </c>
      <c r="P510" s="4"/>
      <c r="Q510" s="4"/>
      <c r="R510" s="4"/>
      <c r="S510" s="4"/>
      <c r="T510" s="4"/>
      <c r="U510" s="4"/>
      <c r="V510" s="4"/>
      <c r="W510" s="4"/>
    </row>
    <row r="511" spans="1:23" x14ac:dyDescent="0.2">
      <c r="A511" s="4">
        <v>50</v>
      </c>
      <c r="B511" s="4">
        <v>1</v>
      </c>
      <c r="C511" s="4">
        <v>0</v>
      </c>
      <c r="D511" s="4">
        <v>2</v>
      </c>
      <c r="E511" s="4">
        <v>224</v>
      </c>
      <c r="F511" s="4">
        <f>ROUND(F509+F510,O511)</f>
        <v>2552012.79</v>
      </c>
      <c r="G511" s="4" t="s">
        <v>483</v>
      </c>
      <c r="H511" s="4" t="s">
        <v>484</v>
      </c>
      <c r="I511" s="4"/>
      <c r="J511" s="4"/>
      <c r="K511" s="4">
        <v>212</v>
      </c>
      <c r="L511" s="4">
        <v>29</v>
      </c>
      <c r="M511" s="4">
        <v>0</v>
      </c>
      <c r="N511" s="4" t="s">
        <v>6</v>
      </c>
      <c r="O511" s="4">
        <v>2</v>
      </c>
      <c r="P511" s="4"/>
      <c r="Q511" s="4"/>
      <c r="R511" s="4"/>
      <c r="S511" s="4"/>
      <c r="T511" s="4"/>
      <c r="U511" s="4"/>
      <c r="V511" s="4"/>
      <c r="W511" s="4"/>
    </row>
    <row r="514" spans="1:14" x14ac:dyDescent="0.2">
      <c r="A514">
        <v>70</v>
      </c>
      <c r="B514">
        <v>1</v>
      </c>
      <c r="D514">
        <v>1</v>
      </c>
      <c r="E514" t="s">
        <v>1082</v>
      </c>
      <c r="F514" t="s">
        <v>1083</v>
      </c>
      <c r="G514">
        <v>0</v>
      </c>
      <c r="H514">
        <v>0</v>
      </c>
      <c r="I514" t="s">
        <v>6</v>
      </c>
      <c r="J514">
        <v>1</v>
      </c>
      <c r="K514">
        <v>0</v>
      </c>
      <c r="L514" t="s">
        <v>6</v>
      </c>
      <c r="M514" t="s">
        <v>6</v>
      </c>
      <c r="N514">
        <v>0</v>
      </c>
    </row>
    <row r="515" spans="1:14" x14ac:dyDescent="0.2">
      <c r="A515">
        <v>70</v>
      </c>
      <c r="B515">
        <v>1</v>
      </c>
      <c r="D515">
        <v>2</v>
      </c>
      <c r="E515" t="s">
        <v>1084</v>
      </c>
      <c r="F515" t="s">
        <v>1085</v>
      </c>
      <c r="G515">
        <v>1</v>
      </c>
      <c r="H515">
        <v>0</v>
      </c>
      <c r="I515" t="s">
        <v>6</v>
      </c>
      <c r="J515">
        <v>1</v>
      </c>
      <c r="K515">
        <v>0</v>
      </c>
      <c r="L515" t="s">
        <v>6</v>
      </c>
      <c r="M515" t="s">
        <v>6</v>
      </c>
      <c r="N515">
        <v>0</v>
      </c>
    </row>
    <row r="516" spans="1:14" x14ac:dyDescent="0.2">
      <c r="A516">
        <v>70</v>
      </c>
      <c r="B516">
        <v>1</v>
      </c>
      <c r="D516">
        <v>3</v>
      </c>
      <c r="E516" t="s">
        <v>1086</v>
      </c>
      <c r="F516" t="s">
        <v>1087</v>
      </c>
      <c r="G516">
        <v>0</v>
      </c>
      <c r="H516">
        <v>0</v>
      </c>
      <c r="I516" t="s">
        <v>6</v>
      </c>
      <c r="J516">
        <v>1</v>
      </c>
      <c r="K516">
        <v>0</v>
      </c>
      <c r="L516" t="s">
        <v>6</v>
      </c>
      <c r="M516" t="s">
        <v>6</v>
      </c>
      <c r="N516">
        <v>0</v>
      </c>
    </row>
    <row r="517" spans="1:14" x14ac:dyDescent="0.2">
      <c r="A517">
        <v>70</v>
      </c>
      <c r="B517">
        <v>1</v>
      </c>
      <c r="D517">
        <v>4</v>
      </c>
      <c r="E517" t="s">
        <v>1088</v>
      </c>
      <c r="F517" t="s">
        <v>1089</v>
      </c>
      <c r="G517">
        <v>0</v>
      </c>
      <c r="H517">
        <v>0</v>
      </c>
      <c r="I517" t="s">
        <v>1090</v>
      </c>
      <c r="J517">
        <v>0</v>
      </c>
      <c r="K517">
        <v>0</v>
      </c>
      <c r="L517" t="s">
        <v>6</v>
      </c>
      <c r="M517" t="s">
        <v>6</v>
      </c>
      <c r="N517">
        <v>0</v>
      </c>
    </row>
    <row r="518" spans="1:14" x14ac:dyDescent="0.2">
      <c r="A518">
        <v>70</v>
      </c>
      <c r="B518">
        <v>1</v>
      </c>
      <c r="D518">
        <v>5</v>
      </c>
      <c r="E518" t="s">
        <v>1091</v>
      </c>
      <c r="F518" t="s">
        <v>1092</v>
      </c>
      <c r="G518">
        <v>0</v>
      </c>
      <c r="H518">
        <v>0</v>
      </c>
      <c r="I518" t="s">
        <v>1093</v>
      </c>
      <c r="J518">
        <v>0</v>
      </c>
      <c r="K518">
        <v>0</v>
      </c>
      <c r="L518" t="s">
        <v>6</v>
      </c>
      <c r="M518" t="s">
        <v>6</v>
      </c>
      <c r="N518">
        <v>0</v>
      </c>
    </row>
    <row r="519" spans="1:14" x14ac:dyDescent="0.2">
      <c r="A519">
        <v>70</v>
      </c>
      <c r="B519">
        <v>1</v>
      </c>
      <c r="D519">
        <v>6</v>
      </c>
      <c r="E519" t="s">
        <v>1094</v>
      </c>
      <c r="F519" t="s">
        <v>1095</v>
      </c>
      <c r="G519">
        <v>0</v>
      </c>
      <c r="H519">
        <v>0</v>
      </c>
      <c r="I519" t="s">
        <v>1096</v>
      </c>
      <c r="J519">
        <v>0</v>
      </c>
      <c r="K519">
        <v>0</v>
      </c>
      <c r="L519" t="s">
        <v>6</v>
      </c>
      <c r="M519" t="s">
        <v>6</v>
      </c>
      <c r="N519">
        <v>0</v>
      </c>
    </row>
    <row r="520" spans="1:14" x14ac:dyDescent="0.2">
      <c r="A520">
        <v>70</v>
      </c>
      <c r="B520">
        <v>1</v>
      </c>
      <c r="D520">
        <v>7</v>
      </c>
      <c r="E520" t="s">
        <v>1097</v>
      </c>
      <c r="F520" t="s">
        <v>1098</v>
      </c>
      <c r="G520">
        <v>0</v>
      </c>
      <c r="H520">
        <v>0</v>
      </c>
      <c r="I520" t="s">
        <v>6</v>
      </c>
      <c r="J520">
        <v>0</v>
      </c>
      <c r="K520">
        <v>0</v>
      </c>
      <c r="L520" t="s">
        <v>6</v>
      </c>
      <c r="M520" t="s">
        <v>6</v>
      </c>
      <c r="N520">
        <v>0</v>
      </c>
    </row>
    <row r="521" spans="1:14" x14ac:dyDescent="0.2">
      <c r="A521">
        <v>70</v>
      </c>
      <c r="B521">
        <v>1</v>
      </c>
      <c r="D521">
        <v>8</v>
      </c>
      <c r="E521" t="s">
        <v>1099</v>
      </c>
      <c r="F521" t="s">
        <v>1100</v>
      </c>
      <c r="G521">
        <v>0</v>
      </c>
      <c r="H521">
        <v>0</v>
      </c>
      <c r="I521" t="s">
        <v>1101</v>
      </c>
      <c r="J521">
        <v>0</v>
      </c>
      <c r="K521">
        <v>0</v>
      </c>
      <c r="L521" t="s">
        <v>6</v>
      </c>
      <c r="M521" t="s">
        <v>6</v>
      </c>
      <c r="N521">
        <v>0</v>
      </c>
    </row>
    <row r="522" spans="1:14" x14ac:dyDescent="0.2">
      <c r="A522">
        <v>70</v>
      </c>
      <c r="B522">
        <v>1</v>
      </c>
      <c r="D522">
        <v>9</v>
      </c>
      <c r="E522" t="s">
        <v>1102</v>
      </c>
      <c r="F522" t="s">
        <v>1103</v>
      </c>
      <c r="G522">
        <v>0</v>
      </c>
      <c r="H522">
        <v>0</v>
      </c>
      <c r="I522" t="s">
        <v>1104</v>
      </c>
      <c r="J522">
        <v>0</v>
      </c>
      <c r="K522">
        <v>0</v>
      </c>
      <c r="L522" t="s">
        <v>6</v>
      </c>
      <c r="M522" t="s">
        <v>6</v>
      </c>
      <c r="N522">
        <v>0</v>
      </c>
    </row>
    <row r="523" spans="1:14" x14ac:dyDescent="0.2">
      <c r="A523">
        <v>70</v>
      </c>
      <c r="B523">
        <v>1</v>
      </c>
      <c r="D523">
        <v>10</v>
      </c>
      <c r="E523" t="s">
        <v>1105</v>
      </c>
      <c r="F523" t="s">
        <v>1106</v>
      </c>
      <c r="G523">
        <v>0</v>
      </c>
      <c r="H523">
        <v>0</v>
      </c>
      <c r="I523" t="s">
        <v>1107</v>
      </c>
      <c r="J523">
        <v>0</v>
      </c>
      <c r="K523">
        <v>0</v>
      </c>
      <c r="L523" t="s">
        <v>6</v>
      </c>
      <c r="M523" t="s">
        <v>6</v>
      </c>
      <c r="N523">
        <v>0</v>
      </c>
    </row>
    <row r="524" spans="1:14" x14ac:dyDescent="0.2">
      <c r="A524">
        <v>70</v>
      </c>
      <c r="B524">
        <v>1</v>
      </c>
      <c r="D524">
        <v>11</v>
      </c>
      <c r="E524" t="s">
        <v>1108</v>
      </c>
      <c r="F524" t="s">
        <v>1109</v>
      </c>
      <c r="G524">
        <v>0</v>
      </c>
      <c r="H524">
        <v>0</v>
      </c>
      <c r="I524" t="s">
        <v>1110</v>
      </c>
      <c r="J524">
        <v>0</v>
      </c>
      <c r="K524">
        <v>0</v>
      </c>
      <c r="L524" t="s">
        <v>6</v>
      </c>
      <c r="M524" t="s">
        <v>6</v>
      </c>
      <c r="N524">
        <v>0</v>
      </c>
    </row>
    <row r="525" spans="1:14" x14ac:dyDescent="0.2">
      <c r="A525">
        <v>70</v>
      </c>
      <c r="B525">
        <v>1</v>
      </c>
      <c r="D525">
        <v>12</v>
      </c>
      <c r="E525" t="s">
        <v>1111</v>
      </c>
      <c r="F525" t="s">
        <v>1112</v>
      </c>
      <c r="G525">
        <v>0</v>
      </c>
      <c r="H525">
        <v>0</v>
      </c>
      <c r="I525" t="s">
        <v>6</v>
      </c>
      <c r="J525">
        <v>0</v>
      </c>
      <c r="K525">
        <v>0</v>
      </c>
      <c r="L525" t="s">
        <v>6</v>
      </c>
      <c r="M525" t="s">
        <v>6</v>
      </c>
      <c r="N525">
        <v>0</v>
      </c>
    </row>
    <row r="526" spans="1:14" x14ac:dyDescent="0.2">
      <c r="A526">
        <v>70</v>
      </c>
      <c r="B526">
        <v>1</v>
      </c>
      <c r="D526">
        <v>1</v>
      </c>
      <c r="E526" t="s">
        <v>1113</v>
      </c>
      <c r="F526" t="s">
        <v>1114</v>
      </c>
      <c r="G526">
        <v>0.9</v>
      </c>
      <c r="H526">
        <v>1</v>
      </c>
      <c r="I526" t="s">
        <v>1115</v>
      </c>
      <c r="J526">
        <v>0</v>
      </c>
      <c r="K526">
        <v>0</v>
      </c>
      <c r="L526" t="s">
        <v>6</v>
      </c>
      <c r="M526" t="s">
        <v>6</v>
      </c>
      <c r="N526">
        <v>0</v>
      </c>
    </row>
    <row r="527" spans="1:14" x14ac:dyDescent="0.2">
      <c r="A527">
        <v>70</v>
      </c>
      <c r="B527">
        <v>1</v>
      </c>
      <c r="D527">
        <v>2</v>
      </c>
      <c r="E527" t="s">
        <v>1116</v>
      </c>
      <c r="F527" t="s">
        <v>1117</v>
      </c>
      <c r="G527">
        <v>0.85</v>
      </c>
      <c r="H527">
        <v>1</v>
      </c>
      <c r="I527" t="s">
        <v>1118</v>
      </c>
      <c r="J527">
        <v>0</v>
      </c>
      <c r="K527">
        <v>0</v>
      </c>
      <c r="L527" t="s">
        <v>6</v>
      </c>
      <c r="M527" t="s">
        <v>6</v>
      </c>
      <c r="N527">
        <v>0</v>
      </c>
    </row>
    <row r="528" spans="1:14" x14ac:dyDescent="0.2">
      <c r="A528">
        <v>70</v>
      </c>
      <c r="B528">
        <v>1</v>
      </c>
      <c r="D528">
        <v>3</v>
      </c>
      <c r="E528" t="s">
        <v>1119</v>
      </c>
      <c r="F528" t="s">
        <v>1120</v>
      </c>
      <c r="G528">
        <v>1</v>
      </c>
      <c r="H528">
        <v>0.85</v>
      </c>
      <c r="I528" t="s">
        <v>1121</v>
      </c>
      <c r="J528">
        <v>0</v>
      </c>
      <c r="K528">
        <v>0</v>
      </c>
      <c r="L528" t="s">
        <v>6</v>
      </c>
      <c r="M528" t="s">
        <v>6</v>
      </c>
      <c r="N528">
        <v>0</v>
      </c>
    </row>
    <row r="529" spans="1:34" x14ac:dyDescent="0.2">
      <c r="A529">
        <v>70</v>
      </c>
      <c r="B529">
        <v>1</v>
      </c>
      <c r="D529">
        <v>4</v>
      </c>
      <c r="E529" t="s">
        <v>1122</v>
      </c>
      <c r="F529" t="s">
        <v>1123</v>
      </c>
      <c r="G529">
        <v>1</v>
      </c>
      <c r="H529">
        <v>0</v>
      </c>
      <c r="I529" t="s">
        <v>6</v>
      </c>
      <c r="J529">
        <v>0</v>
      </c>
      <c r="K529">
        <v>0</v>
      </c>
      <c r="L529" t="s">
        <v>6</v>
      </c>
      <c r="M529" t="s">
        <v>6</v>
      </c>
      <c r="N529">
        <v>0</v>
      </c>
    </row>
    <row r="530" spans="1:34" x14ac:dyDescent="0.2">
      <c r="A530">
        <v>70</v>
      </c>
      <c r="B530">
        <v>1</v>
      </c>
      <c r="D530">
        <v>5</v>
      </c>
      <c r="E530" t="s">
        <v>1124</v>
      </c>
      <c r="F530" t="s">
        <v>1125</v>
      </c>
      <c r="G530">
        <v>1</v>
      </c>
      <c r="H530">
        <v>0.8</v>
      </c>
      <c r="I530" t="s">
        <v>1126</v>
      </c>
      <c r="J530">
        <v>0</v>
      </c>
      <c r="K530">
        <v>0</v>
      </c>
      <c r="L530" t="s">
        <v>6</v>
      </c>
      <c r="M530" t="s">
        <v>6</v>
      </c>
      <c r="N530">
        <v>0</v>
      </c>
    </row>
    <row r="531" spans="1:34" x14ac:dyDescent="0.2">
      <c r="A531">
        <v>70</v>
      </c>
      <c r="B531">
        <v>1</v>
      </c>
      <c r="D531">
        <v>6</v>
      </c>
      <c r="E531" t="s">
        <v>1127</v>
      </c>
      <c r="F531" t="s">
        <v>1128</v>
      </c>
      <c r="G531">
        <v>0.85</v>
      </c>
      <c r="H531">
        <v>0</v>
      </c>
      <c r="I531" t="s">
        <v>6</v>
      </c>
      <c r="J531">
        <v>0</v>
      </c>
      <c r="K531">
        <v>0</v>
      </c>
      <c r="L531" t="s">
        <v>6</v>
      </c>
      <c r="M531" t="s">
        <v>6</v>
      </c>
      <c r="N531">
        <v>0</v>
      </c>
    </row>
    <row r="532" spans="1:34" x14ac:dyDescent="0.2">
      <c r="A532">
        <v>70</v>
      </c>
      <c r="B532">
        <v>1</v>
      </c>
      <c r="D532">
        <v>7</v>
      </c>
      <c r="E532" t="s">
        <v>1129</v>
      </c>
      <c r="F532" t="s">
        <v>1130</v>
      </c>
      <c r="G532">
        <v>0.8</v>
      </c>
      <c r="H532">
        <v>0</v>
      </c>
      <c r="I532" t="s">
        <v>6</v>
      </c>
      <c r="J532">
        <v>0</v>
      </c>
      <c r="K532">
        <v>0</v>
      </c>
      <c r="L532" t="s">
        <v>6</v>
      </c>
      <c r="M532" t="s">
        <v>6</v>
      </c>
      <c r="N532">
        <v>0</v>
      </c>
    </row>
    <row r="533" spans="1:34" x14ac:dyDescent="0.2">
      <c r="A533">
        <v>70</v>
      </c>
      <c r="B533">
        <v>1</v>
      </c>
      <c r="D533">
        <v>8</v>
      </c>
      <c r="E533" t="s">
        <v>1131</v>
      </c>
      <c r="F533" t="s">
        <v>1132</v>
      </c>
      <c r="G533">
        <v>0.94</v>
      </c>
      <c r="H533">
        <v>0</v>
      </c>
      <c r="I533" t="s">
        <v>6</v>
      </c>
      <c r="J533">
        <v>0</v>
      </c>
      <c r="K533">
        <v>0</v>
      </c>
      <c r="L533" t="s">
        <v>6</v>
      </c>
      <c r="M533" t="s">
        <v>6</v>
      </c>
      <c r="N533">
        <v>0</v>
      </c>
    </row>
    <row r="534" spans="1:34" x14ac:dyDescent="0.2">
      <c r="A534">
        <v>70</v>
      </c>
      <c r="B534">
        <v>1</v>
      </c>
      <c r="D534">
        <v>9</v>
      </c>
      <c r="E534" t="s">
        <v>1133</v>
      </c>
      <c r="F534" t="s">
        <v>1134</v>
      </c>
      <c r="G534">
        <v>0.9</v>
      </c>
      <c r="H534">
        <v>0</v>
      </c>
      <c r="I534" t="s">
        <v>6</v>
      </c>
      <c r="J534">
        <v>0</v>
      </c>
      <c r="K534">
        <v>0</v>
      </c>
      <c r="L534" t="s">
        <v>6</v>
      </c>
      <c r="M534" t="s">
        <v>6</v>
      </c>
      <c r="N534">
        <v>0</v>
      </c>
    </row>
    <row r="535" spans="1:34" x14ac:dyDescent="0.2">
      <c r="A535">
        <v>70</v>
      </c>
      <c r="B535">
        <v>1</v>
      </c>
      <c r="D535">
        <v>10</v>
      </c>
      <c r="E535" t="s">
        <v>1135</v>
      </c>
      <c r="F535" t="s">
        <v>1136</v>
      </c>
      <c r="G535">
        <v>0.6</v>
      </c>
      <c r="H535">
        <v>0</v>
      </c>
      <c r="I535" t="s">
        <v>6</v>
      </c>
      <c r="J535">
        <v>0</v>
      </c>
      <c r="K535">
        <v>0</v>
      </c>
      <c r="L535" t="s">
        <v>6</v>
      </c>
      <c r="M535" t="s">
        <v>6</v>
      </c>
      <c r="N535">
        <v>0</v>
      </c>
    </row>
    <row r="536" spans="1:34" x14ac:dyDescent="0.2">
      <c r="A536">
        <v>70</v>
      </c>
      <c r="B536">
        <v>1</v>
      </c>
      <c r="D536">
        <v>11</v>
      </c>
      <c r="E536" t="s">
        <v>1137</v>
      </c>
      <c r="F536" t="s">
        <v>1138</v>
      </c>
      <c r="G536">
        <v>1.2</v>
      </c>
      <c r="H536">
        <v>0</v>
      </c>
      <c r="I536" t="s">
        <v>6</v>
      </c>
      <c r="J536">
        <v>0</v>
      </c>
      <c r="K536">
        <v>0</v>
      </c>
      <c r="L536" t="s">
        <v>6</v>
      </c>
      <c r="M536" t="s">
        <v>6</v>
      </c>
      <c r="N536">
        <v>0</v>
      </c>
    </row>
    <row r="537" spans="1:34" x14ac:dyDescent="0.2">
      <c r="A537">
        <v>70</v>
      </c>
      <c r="B537">
        <v>1</v>
      </c>
      <c r="D537">
        <v>12</v>
      </c>
      <c r="E537" t="s">
        <v>1139</v>
      </c>
      <c r="F537" t="s">
        <v>1140</v>
      </c>
      <c r="G537">
        <v>0</v>
      </c>
      <c r="H537">
        <v>0</v>
      </c>
      <c r="I537" t="s">
        <v>6</v>
      </c>
      <c r="J537">
        <v>0</v>
      </c>
      <c r="K537">
        <v>0</v>
      </c>
      <c r="L537" t="s">
        <v>6</v>
      </c>
      <c r="M537" t="s">
        <v>6</v>
      </c>
      <c r="N537">
        <v>0</v>
      </c>
    </row>
    <row r="538" spans="1:34" x14ac:dyDescent="0.2">
      <c r="A538">
        <v>70</v>
      </c>
      <c r="B538">
        <v>1</v>
      </c>
      <c r="D538">
        <v>13</v>
      </c>
      <c r="E538" t="s">
        <v>1141</v>
      </c>
      <c r="F538" t="s">
        <v>1142</v>
      </c>
      <c r="G538">
        <v>0.94</v>
      </c>
      <c r="H538">
        <v>0</v>
      </c>
      <c r="I538" t="s">
        <v>6</v>
      </c>
      <c r="J538">
        <v>0</v>
      </c>
      <c r="K538">
        <v>0</v>
      </c>
      <c r="L538" t="s">
        <v>6</v>
      </c>
      <c r="M538" t="s">
        <v>6</v>
      </c>
      <c r="N538">
        <v>0</v>
      </c>
    </row>
    <row r="540" spans="1:34" x14ac:dyDescent="0.2">
      <c r="A540">
        <v>-1</v>
      </c>
    </row>
    <row r="542" spans="1:34" x14ac:dyDescent="0.2">
      <c r="A542" s="3">
        <v>75</v>
      </c>
      <c r="B542" s="3" t="s">
        <v>1143</v>
      </c>
      <c r="C542" s="3">
        <v>2017</v>
      </c>
      <c r="D542" s="3">
        <v>4</v>
      </c>
      <c r="E542" s="3">
        <v>0</v>
      </c>
      <c r="F542" s="3">
        <v>0</v>
      </c>
      <c r="G542" s="3">
        <v>0</v>
      </c>
      <c r="H542" s="3">
        <v>1</v>
      </c>
      <c r="I542" s="3">
        <v>0</v>
      </c>
      <c r="J542" s="3">
        <v>1</v>
      </c>
      <c r="K542" s="3">
        <v>0</v>
      </c>
      <c r="L542" s="3">
        <v>0</v>
      </c>
      <c r="M542" s="3">
        <v>0</v>
      </c>
      <c r="N542" s="3">
        <v>16630606</v>
      </c>
      <c r="O542" s="3">
        <v>1</v>
      </c>
    </row>
    <row r="543" spans="1:34" x14ac:dyDescent="0.2">
      <c r="A543" s="5">
        <v>3</v>
      </c>
      <c r="B543" s="5" t="s">
        <v>1144</v>
      </c>
      <c r="C543" s="5">
        <v>7.13</v>
      </c>
      <c r="D543" s="5">
        <v>1</v>
      </c>
      <c r="E543" s="5">
        <v>1</v>
      </c>
      <c r="F543" s="5">
        <v>1</v>
      </c>
      <c r="G543" s="5">
        <v>1</v>
      </c>
      <c r="H543" s="5">
        <v>1</v>
      </c>
      <c r="I543" s="5">
        <v>1</v>
      </c>
      <c r="J543" s="5">
        <v>1</v>
      </c>
      <c r="K543" s="5">
        <v>12.56</v>
      </c>
      <c r="L543" s="5">
        <v>1</v>
      </c>
      <c r="M543" s="5">
        <v>7.13</v>
      </c>
      <c r="N543" s="5">
        <v>1</v>
      </c>
      <c r="O543" s="5">
        <v>1</v>
      </c>
      <c r="P543" s="5">
        <v>1</v>
      </c>
      <c r="Q543" s="5">
        <v>12.56</v>
      </c>
      <c r="R543" s="5">
        <v>1</v>
      </c>
      <c r="S543" s="5" t="s">
        <v>6</v>
      </c>
      <c r="T543" s="5" t="s">
        <v>6</v>
      </c>
      <c r="U543" s="5" t="s">
        <v>6</v>
      </c>
      <c r="V543" s="5" t="s">
        <v>6</v>
      </c>
      <c r="W543" s="5" t="s">
        <v>6</v>
      </c>
      <c r="X543" s="5" t="s">
        <v>6</v>
      </c>
      <c r="Y543" s="5" t="s">
        <v>6</v>
      </c>
      <c r="Z543" s="5" t="s">
        <v>6</v>
      </c>
      <c r="AA543" s="5" t="s">
        <v>6</v>
      </c>
      <c r="AB543" s="5" t="s">
        <v>6</v>
      </c>
      <c r="AC543" s="5" t="s">
        <v>6</v>
      </c>
      <c r="AD543" s="5" t="s">
        <v>6</v>
      </c>
      <c r="AE543" s="5" t="s">
        <v>6</v>
      </c>
      <c r="AF543" s="5" t="s">
        <v>6</v>
      </c>
      <c r="AG543" s="5" t="s">
        <v>6</v>
      </c>
      <c r="AH543" s="5" t="s">
        <v>6</v>
      </c>
    </row>
    <row r="544" spans="1:34" x14ac:dyDescent="0.2">
      <c r="A544" s="5">
        <v>3</v>
      </c>
      <c r="B544" s="5" t="s">
        <v>1144</v>
      </c>
      <c r="C544" s="5">
        <v>1</v>
      </c>
      <c r="D544" s="5">
        <v>1</v>
      </c>
      <c r="E544" s="5">
        <v>1</v>
      </c>
      <c r="F544" s="5">
        <v>1</v>
      </c>
      <c r="G544" s="5">
        <v>1</v>
      </c>
      <c r="H544" s="5">
        <v>1</v>
      </c>
      <c r="I544" s="5">
        <v>1</v>
      </c>
      <c r="J544" s="5">
        <v>2</v>
      </c>
      <c r="K544" s="5">
        <v>1</v>
      </c>
      <c r="L544" s="5">
        <v>1</v>
      </c>
      <c r="M544" s="5">
        <v>1</v>
      </c>
      <c r="N544" s="5">
        <v>1</v>
      </c>
      <c r="O544" s="5">
        <v>1</v>
      </c>
      <c r="P544" s="5">
        <v>1</v>
      </c>
      <c r="Q544" s="5">
        <v>1</v>
      </c>
      <c r="R544" s="5">
        <v>1</v>
      </c>
      <c r="S544" s="5" t="s">
        <v>6</v>
      </c>
      <c r="T544" s="5" t="s">
        <v>6</v>
      </c>
      <c r="U544" s="5" t="s">
        <v>6</v>
      </c>
      <c r="V544" s="5" t="s">
        <v>6</v>
      </c>
      <c r="W544" s="5" t="s">
        <v>6</v>
      </c>
      <c r="X544" s="5" t="s">
        <v>6</v>
      </c>
      <c r="Y544" s="5" t="s">
        <v>6</v>
      </c>
      <c r="Z544" s="5" t="s">
        <v>6</v>
      </c>
      <c r="AA544" s="5" t="s">
        <v>6</v>
      </c>
      <c r="AB544" s="5" t="s">
        <v>6</v>
      </c>
      <c r="AC544" s="5" t="s">
        <v>6</v>
      </c>
      <c r="AD544" s="5" t="s">
        <v>6</v>
      </c>
      <c r="AE544" s="5" t="s">
        <v>6</v>
      </c>
      <c r="AF544" s="5" t="s">
        <v>6</v>
      </c>
      <c r="AG544" s="5" t="s">
        <v>6</v>
      </c>
      <c r="AH544" s="5" t="s">
        <v>6</v>
      </c>
    </row>
    <row r="548" spans="1:5" x14ac:dyDescent="0.2">
      <c r="A548">
        <v>65</v>
      </c>
      <c r="C548">
        <v>1</v>
      </c>
      <c r="D548">
        <v>0</v>
      </c>
      <c r="E548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1145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8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16630606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12</v>
      </c>
      <c r="D16" s="6" t="s">
        <v>12</v>
      </c>
      <c r="E16" s="7">
        <f>(Source!F466)/1000</f>
        <v>1927.50045</v>
      </c>
      <c r="F16" s="7">
        <f>(Source!F467)/1000</f>
        <v>223.48878999999999</v>
      </c>
      <c r="G16" s="7">
        <f>(Source!F458)/1000</f>
        <v>0</v>
      </c>
      <c r="H16" s="7">
        <f>(Source!F468)/1000+(Source!F469)/1000</f>
        <v>11.733459999999999</v>
      </c>
      <c r="I16" s="7">
        <f>E16+F16+G16+H16</f>
        <v>2162.7226999999998</v>
      </c>
      <c r="J16" s="7">
        <f>(Source!F464)/1000</f>
        <v>191.23284000000001</v>
      </c>
      <c r="AI16" s="6">
        <v>0</v>
      </c>
      <c r="AJ16" s="6">
        <v>0</v>
      </c>
      <c r="AK16" s="6" t="s">
        <v>6</v>
      </c>
      <c r="AL16" s="6" t="s">
        <v>6</v>
      </c>
      <c r="AM16" s="6" t="s">
        <v>6</v>
      </c>
      <c r="AN16" s="6">
        <v>0</v>
      </c>
      <c r="AO16" s="6" t="s">
        <v>6</v>
      </c>
      <c r="AP16" s="6" t="s">
        <v>6</v>
      </c>
      <c r="AT16" s="7">
        <v>1850942.08</v>
      </c>
      <c r="AU16" s="7">
        <v>1632370.1</v>
      </c>
      <c r="AV16" s="7">
        <v>0</v>
      </c>
      <c r="AW16" s="7">
        <v>0</v>
      </c>
      <c r="AX16" s="7">
        <v>0</v>
      </c>
      <c r="AY16" s="7">
        <v>27339.14</v>
      </c>
      <c r="AZ16" s="7">
        <v>4707.92</v>
      </c>
      <c r="BA16" s="7">
        <v>191232.84</v>
      </c>
      <c r="BB16" s="7">
        <v>1927500.45</v>
      </c>
      <c r="BC16" s="7">
        <v>223488.79</v>
      </c>
      <c r="BD16" s="7">
        <v>11733.46</v>
      </c>
      <c r="BE16" s="7">
        <v>0</v>
      </c>
      <c r="BF16" s="7">
        <v>2938.3394818499983</v>
      </c>
      <c r="BG16" s="7">
        <v>54.859778375000012</v>
      </c>
      <c r="BH16" s="7">
        <v>0</v>
      </c>
      <c r="BI16" s="7">
        <v>192043.01</v>
      </c>
      <c r="BJ16" s="7">
        <v>113390.43</v>
      </c>
      <c r="BK16" s="7">
        <v>2552012.79</v>
      </c>
    </row>
    <row r="18" spans="1:19" x14ac:dyDescent="0.2">
      <c r="A18">
        <v>51</v>
      </c>
      <c r="E18" s="8">
        <f>SUMIF(A16:A17,3,E16:E17)</f>
        <v>1927.50045</v>
      </c>
      <c r="F18" s="8">
        <f>SUMIF(A16:A17,3,F16:F17)</f>
        <v>223.48878999999999</v>
      </c>
      <c r="G18" s="8">
        <f>SUMIF(A16:A17,3,G16:G17)</f>
        <v>0</v>
      </c>
      <c r="H18" s="8">
        <f>SUMIF(A16:A17,3,H16:H17)</f>
        <v>11.733459999999999</v>
      </c>
      <c r="I18" s="8">
        <f>SUMIF(A16:A17,3,I16:I17)</f>
        <v>2162.7226999999998</v>
      </c>
      <c r="J18" s="8">
        <f>SUMIF(A16:A17,3,J16:J17)</f>
        <v>191.23284000000001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1850942.08</v>
      </c>
      <c r="G20" s="4" t="s">
        <v>428</v>
      </c>
      <c r="H20" s="4" t="s">
        <v>429</v>
      </c>
      <c r="I20" s="4"/>
      <c r="J20" s="4"/>
      <c r="K20" s="4">
        <v>201</v>
      </c>
      <c r="L20" s="4">
        <v>1</v>
      </c>
      <c r="M20" s="4">
        <v>3</v>
      </c>
      <c r="N20" s="4" t="s">
        <v>6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1632370.1</v>
      </c>
      <c r="G21" s="4" t="s">
        <v>430</v>
      </c>
      <c r="H21" s="4" t="s">
        <v>431</v>
      </c>
      <c r="I21" s="4"/>
      <c r="J21" s="4"/>
      <c r="K21" s="4">
        <v>202</v>
      </c>
      <c r="L21" s="4">
        <v>2</v>
      </c>
      <c r="M21" s="4">
        <v>3</v>
      </c>
      <c r="N21" s="4" t="s">
        <v>6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432</v>
      </c>
      <c r="H22" s="4" t="s">
        <v>433</v>
      </c>
      <c r="I22" s="4"/>
      <c r="J22" s="4"/>
      <c r="K22" s="4">
        <v>222</v>
      </c>
      <c r="L22" s="4">
        <v>3</v>
      </c>
      <c r="M22" s="4">
        <v>3</v>
      </c>
      <c r="N22" s="4" t="s">
        <v>6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1632370.1</v>
      </c>
      <c r="G23" s="4" t="s">
        <v>434</v>
      </c>
      <c r="H23" s="4" t="s">
        <v>435</v>
      </c>
      <c r="I23" s="4"/>
      <c r="J23" s="4"/>
      <c r="K23" s="4">
        <v>225</v>
      </c>
      <c r="L23" s="4">
        <v>4</v>
      </c>
      <c r="M23" s="4">
        <v>3</v>
      </c>
      <c r="N23" s="4" t="s">
        <v>6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1632370.1</v>
      </c>
      <c r="G24" s="4" t="s">
        <v>436</v>
      </c>
      <c r="H24" s="4" t="s">
        <v>437</v>
      </c>
      <c r="I24" s="4"/>
      <c r="J24" s="4"/>
      <c r="K24" s="4">
        <v>226</v>
      </c>
      <c r="L24" s="4">
        <v>5</v>
      </c>
      <c r="M24" s="4">
        <v>3</v>
      </c>
      <c r="N24" s="4" t="s">
        <v>6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438</v>
      </c>
      <c r="H25" s="4" t="s">
        <v>439</v>
      </c>
      <c r="I25" s="4"/>
      <c r="J25" s="4"/>
      <c r="K25" s="4">
        <v>227</v>
      </c>
      <c r="L25" s="4">
        <v>6</v>
      </c>
      <c r="M25" s="4">
        <v>3</v>
      </c>
      <c r="N25" s="4" t="s">
        <v>6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1632370.1</v>
      </c>
      <c r="G26" s="4" t="s">
        <v>440</v>
      </c>
      <c r="H26" s="4" t="s">
        <v>441</v>
      </c>
      <c r="I26" s="4"/>
      <c r="J26" s="4"/>
      <c r="K26" s="4">
        <v>228</v>
      </c>
      <c r="L26" s="4">
        <v>7</v>
      </c>
      <c r="M26" s="4">
        <v>3</v>
      </c>
      <c r="N26" s="4" t="s">
        <v>6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442</v>
      </c>
      <c r="H27" s="4" t="s">
        <v>443</v>
      </c>
      <c r="I27" s="4"/>
      <c r="J27" s="4"/>
      <c r="K27" s="4">
        <v>216</v>
      </c>
      <c r="L27" s="4">
        <v>8</v>
      </c>
      <c r="M27" s="4">
        <v>3</v>
      </c>
      <c r="N27" s="4" t="s">
        <v>6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444</v>
      </c>
      <c r="H28" s="4" t="s">
        <v>445</v>
      </c>
      <c r="I28" s="4"/>
      <c r="J28" s="4"/>
      <c r="K28" s="4">
        <v>223</v>
      </c>
      <c r="L28" s="4">
        <v>9</v>
      </c>
      <c r="M28" s="4">
        <v>3</v>
      </c>
      <c r="N28" s="4" t="s">
        <v>6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446</v>
      </c>
      <c r="H29" s="4" t="s">
        <v>447</v>
      </c>
      <c r="I29" s="4"/>
      <c r="J29" s="4"/>
      <c r="K29" s="4">
        <v>229</v>
      </c>
      <c r="L29" s="4">
        <v>10</v>
      </c>
      <c r="M29" s="4">
        <v>3</v>
      </c>
      <c r="N29" s="4" t="s">
        <v>6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27339.14</v>
      </c>
      <c r="G30" s="4" t="s">
        <v>448</v>
      </c>
      <c r="H30" s="4" t="s">
        <v>449</v>
      </c>
      <c r="I30" s="4"/>
      <c r="J30" s="4"/>
      <c r="K30" s="4">
        <v>203</v>
      </c>
      <c r="L30" s="4">
        <v>11</v>
      </c>
      <c r="M30" s="4">
        <v>3</v>
      </c>
      <c r="N30" s="4" t="s">
        <v>6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450</v>
      </c>
      <c r="H31" s="4" t="s">
        <v>451</v>
      </c>
      <c r="I31" s="4"/>
      <c r="J31" s="4"/>
      <c r="K31" s="4">
        <v>231</v>
      </c>
      <c r="L31" s="4">
        <v>12</v>
      </c>
      <c r="M31" s="4">
        <v>3</v>
      </c>
      <c r="N31" s="4" t="s">
        <v>6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4707.92</v>
      </c>
      <c r="G32" s="4" t="s">
        <v>452</v>
      </c>
      <c r="H32" s="4" t="s">
        <v>453</v>
      </c>
      <c r="I32" s="4"/>
      <c r="J32" s="4"/>
      <c r="K32" s="4">
        <v>204</v>
      </c>
      <c r="L32" s="4">
        <v>13</v>
      </c>
      <c r="M32" s="4">
        <v>3</v>
      </c>
      <c r="N32" s="4" t="s">
        <v>6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191232.84</v>
      </c>
      <c r="G33" s="4" t="s">
        <v>454</v>
      </c>
      <c r="H33" s="4" t="s">
        <v>455</v>
      </c>
      <c r="I33" s="4"/>
      <c r="J33" s="4"/>
      <c r="K33" s="4">
        <v>205</v>
      </c>
      <c r="L33" s="4">
        <v>14</v>
      </c>
      <c r="M33" s="4">
        <v>3</v>
      </c>
      <c r="N33" s="4" t="s">
        <v>6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456</v>
      </c>
      <c r="H34" s="4" t="s">
        <v>457</v>
      </c>
      <c r="I34" s="4"/>
      <c r="J34" s="4"/>
      <c r="K34" s="4">
        <v>232</v>
      </c>
      <c r="L34" s="4">
        <v>15</v>
      </c>
      <c r="M34" s="4">
        <v>3</v>
      </c>
      <c r="N34" s="4" t="s">
        <v>6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1927500.45</v>
      </c>
      <c r="G35" s="4" t="s">
        <v>458</v>
      </c>
      <c r="H35" s="4" t="s">
        <v>459</v>
      </c>
      <c r="I35" s="4"/>
      <c r="J35" s="4"/>
      <c r="K35" s="4">
        <v>214</v>
      </c>
      <c r="L35" s="4">
        <v>16</v>
      </c>
      <c r="M35" s="4">
        <v>3</v>
      </c>
      <c r="N35" s="4" t="s">
        <v>6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223488.79</v>
      </c>
      <c r="G36" s="4" t="s">
        <v>460</v>
      </c>
      <c r="H36" s="4" t="s">
        <v>461</v>
      </c>
      <c r="I36" s="4"/>
      <c r="J36" s="4"/>
      <c r="K36" s="4">
        <v>215</v>
      </c>
      <c r="L36" s="4">
        <v>17</v>
      </c>
      <c r="M36" s="4">
        <v>3</v>
      </c>
      <c r="N36" s="4" t="s">
        <v>6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11733.46</v>
      </c>
      <c r="G37" s="4" t="s">
        <v>462</v>
      </c>
      <c r="H37" s="4" t="s">
        <v>463</v>
      </c>
      <c r="I37" s="4"/>
      <c r="J37" s="4"/>
      <c r="K37" s="4">
        <v>217</v>
      </c>
      <c r="L37" s="4">
        <v>18</v>
      </c>
      <c r="M37" s="4">
        <v>3</v>
      </c>
      <c r="N37" s="4" t="s">
        <v>6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464</v>
      </c>
      <c r="H38" s="4" t="s">
        <v>465</v>
      </c>
      <c r="I38" s="4"/>
      <c r="J38" s="4"/>
      <c r="K38" s="4">
        <v>230</v>
      </c>
      <c r="L38" s="4">
        <v>19</v>
      </c>
      <c r="M38" s="4">
        <v>3</v>
      </c>
      <c r="N38" s="4" t="s">
        <v>6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466</v>
      </c>
      <c r="H39" s="4" t="s">
        <v>467</v>
      </c>
      <c r="I39" s="4"/>
      <c r="J39" s="4"/>
      <c r="K39" s="4">
        <v>206</v>
      </c>
      <c r="L39" s="4">
        <v>20</v>
      </c>
      <c r="M39" s="4">
        <v>3</v>
      </c>
      <c r="N39" s="4" t="s">
        <v>6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2938.3394818499983</v>
      </c>
      <c r="G40" s="4" t="s">
        <v>468</v>
      </c>
      <c r="H40" s="4" t="s">
        <v>469</v>
      </c>
      <c r="I40" s="4"/>
      <c r="J40" s="4"/>
      <c r="K40" s="4">
        <v>207</v>
      </c>
      <c r="L40" s="4">
        <v>21</v>
      </c>
      <c r="M40" s="4">
        <v>3</v>
      </c>
      <c r="N40" s="4" t="s">
        <v>6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54.859778375000012</v>
      </c>
      <c r="G41" s="4" t="s">
        <v>470</v>
      </c>
      <c r="H41" s="4" t="s">
        <v>471</v>
      </c>
      <c r="I41" s="4"/>
      <c r="J41" s="4"/>
      <c r="K41" s="4">
        <v>208</v>
      </c>
      <c r="L41" s="4">
        <v>22</v>
      </c>
      <c r="M41" s="4">
        <v>3</v>
      </c>
      <c r="N41" s="4" t="s">
        <v>6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472</v>
      </c>
      <c r="H42" s="4" t="s">
        <v>473</v>
      </c>
      <c r="I42" s="4"/>
      <c r="J42" s="4"/>
      <c r="K42" s="4">
        <v>209</v>
      </c>
      <c r="L42" s="4">
        <v>23</v>
      </c>
      <c r="M42" s="4">
        <v>3</v>
      </c>
      <c r="N42" s="4" t="s">
        <v>6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192043.01</v>
      </c>
      <c r="G43" s="4" t="s">
        <v>474</v>
      </c>
      <c r="H43" s="4" t="s">
        <v>475</v>
      </c>
      <c r="I43" s="4"/>
      <c r="J43" s="4"/>
      <c r="K43" s="4">
        <v>210</v>
      </c>
      <c r="L43" s="4">
        <v>24</v>
      </c>
      <c r="M43" s="4">
        <v>3</v>
      </c>
      <c r="N43" s="4" t="s">
        <v>6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113390.43</v>
      </c>
      <c r="G44" s="4" t="s">
        <v>476</v>
      </c>
      <c r="H44" s="4" t="s">
        <v>477</v>
      </c>
      <c r="I44" s="4"/>
      <c r="J44" s="4"/>
      <c r="K44" s="4">
        <v>211</v>
      </c>
      <c r="L44" s="4">
        <v>25</v>
      </c>
      <c r="M44" s="4">
        <v>3</v>
      </c>
      <c r="N44" s="4" t="s">
        <v>6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0</v>
      </c>
      <c r="F45" s="4">
        <v>2162722.7000000002</v>
      </c>
      <c r="G45" s="4" t="s">
        <v>478</v>
      </c>
      <c r="H45" s="4" t="s">
        <v>479</v>
      </c>
      <c r="I45" s="4"/>
      <c r="J45" s="4"/>
      <c r="K45" s="4">
        <v>224</v>
      </c>
      <c r="L45" s="4">
        <v>26</v>
      </c>
      <c r="M45" s="4">
        <v>3</v>
      </c>
      <c r="N45" s="4" t="s">
        <v>6</v>
      </c>
      <c r="O45" s="4">
        <v>2</v>
      </c>
      <c r="P45" s="4"/>
    </row>
    <row r="46" spans="1:16" x14ac:dyDescent="0.2">
      <c r="A46" s="4">
        <v>50</v>
      </c>
      <c r="B46" s="4">
        <v>1</v>
      </c>
      <c r="C46" s="4">
        <v>0</v>
      </c>
      <c r="D46" s="4">
        <v>2</v>
      </c>
      <c r="E46" s="4">
        <v>0</v>
      </c>
      <c r="F46" s="4">
        <v>2162722.7000000002</v>
      </c>
      <c r="G46" s="4" t="s">
        <v>480</v>
      </c>
      <c r="H46" s="4" t="s">
        <v>478</v>
      </c>
      <c r="I46" s="4"/>
      <c r="J46" s="4"/>
      <c r="K46" s="4">
        <v>212</v>
      </c>
      <c r="L46" s="4">
        <v>27</v>
      </c>
      <c r="M46" s="4">
        <v>0</v>
      </c>
      <c r="N46" s="4" t="s">
        <v>6</v>
      </c>
      <c r="O46" s="4">
        <v>2</v>
      </c>
      <c r="P46" s="4"/>
    </row>
    <row r="47" spans="1:16" x14ac:dyDescent="0.2">
      <c r="A47" s="4">
        <v>50</v>
      </c>
      <c r="B47" s="4">
        <v>1</v>
      </c>
      <c r="C47" s="4">
        <v>0</v>
      </c>
      <c r="D47" s="4">
        <v>2</v>
      </c>
      <c r="E47" s="4">
        <v>0</v>
      </c>
      <c r="F47" s="4">
        <v>389290.09</v>
      </c>
      <c r="G47" s="4" t="s">
        <v>481</v>
      </c>
      <c r="H47" s="4" t="s">
        <v>482</v>
      </c>
      <c r="I47" s="4"/>
      <c r="J47" s="4"/>
      <c r="K47" s="4">
        <v>212</v>
      </c>
      <c r="L47" s="4">
        <v>28</v>
      </c>
      <c r="M47" s="4">
        <v>0</v>
      </c>
      <c r="N47" s="4" t="s">
        <v>6</v>
      </c>
      <c r="O47" s="4">
        <v>2</v>
      </c>
      <c r="P47" s="4"/>
    </row>
    <row r="48" spans="1:16" x14ac:dyDescent="0.2">
      <c r="A48" s="4">
        <v>50</v>
      </c>
      <c r="B48" s="4">
        <v>1</v>
      </c>
      <c r="C48" s="4">
        <v>0</v>
      </c>
      <c r="D48" s="4">
        <v>2</v>
      </c>
      <c r="E48" s="4">
        <v>224</v>
      </c>
      <c r="F48" s="4">
        <v>2552012.79</v>
      </c>
      <c r="G48" s="4" t="s">
        <v>483</v>
      </c>
      <c r="H48" s="4" t="s">
        <v>484</v>
      </c>
      <c r="I48" s="4"/>
      <c r="J48" s="4"/>
      <c r="K48" s="4">
        <v>212</v>
      </c>
      <c r="L48" s="4">
        <v>29</v>
      </c>
      <c r="M48" s="4">
        <v>0</v>
      </c>
      <c r="N48" s="4" t="s">
        <v>6</v>
      </c>
      <c r="O48" s="4">
        <v>2</v>
      </c>
      <c r="P48" s="4"/>
    </row>
    <row r="50" spans="1:34" x14ac:dyDescent="0.2">
      <c r="A50">
        <v>-1</v>
      </c>
    </row>
    <row r="53" spans="1:34" x14ac:dyDescent="0.2">
      <c r="A53" s="3">
        <v>75</v>
      </c>
      <c r="B53" s="3" t="s">
        <v>1143</v>
      </c>
      <c r="C53" s="3">
        <v>2017</v>
      </c>
      <c r="D53" s="3">
        <v>4</v>
      </c>
      <c r="E53" s="3">
        <v>0</v>
      </c>
      <c r="F53" s="3">
        <v>0</v>
      </c>
      <c r="G53" s="3">
        <v>0</v>
      </c>
      <c r="H53" s="3">
        <v>1</v>
      </c>
      <c r="I53" s="3">
        <v>0</v>
      </c>
      <c r="J53" s="3">
        <v>1</v>
      </c>
      <c r="K53" s="3">
        <v>0</v>
      </c>
      <c r="L53" s="3">
        <v>0</v>
      </c>
      <c r="M53" s="3">
        <v>0</v>
      </c>
      <c r="N53" s="3">
        <v>16630606</v>
      </c>
      <c r="O53" s="3">
        <v>1</v>
      </c>
    </row>
    <row r="54" spans="1:34" x14ac:dyDescent="0.2">
      <c r="A54" s="5">
        <v>3</v>
      </c>
      <c r="B54" s="5" t="s">
        <v>1144</v>
      </c>
      <c r="C54" s="5">
        <v>7.13</v>
      </c>
      <c r="D54" s="5">
        <v>1</v>
      </c>
      <c r="E54" s="5">
        <v>1</v>
      </c>
      <c r="F54" s="5">
        <v>1</v>
      </c>
      <c r="G54" s="5">
        <v>1</v>
      </c>
      <c r="H54" s="5">
        <v>1</v>
      </c>
      <c r="I54" s="5">
        <v>1</v>
      </c>
      <c r="J54" s="5">
        <v>1</v>
      </c>
      <c r="K54" s="5">
        <v>12.56</v>
      </c>
      <c r="L54" s="5">
        <v>1</v>
      </c>
      <c r="M54" s="5">
        <v>7.13</v>
      </c>
      <c r="N54" s="5">
        <v>1</v>
      </c>
      <c r="O54" s="5">
        <v>1</v>
      </c>
      <c r="P54" s="5">
        <v>1</v>
      </c>
      <c r="Q54" s="5">
        <v>12.56</v>
      </c>
      <c r="R54" s="5">
        <v>1</v>
      </c>
      <c r="S54" s="5" t="s">
        <v>6</v>
      </c>
      <c r="T54" s="5" t="s">
        <v>6</v>
      </c>
      <c r="U54" s="5" t="s">
        <v>6</v>
      </c>
      <c r="V54" s="5" t="s">
        <v>6</v>
      </c>
      <c r="W54" s="5" t="s">
        <v>6</v>
      </c>
      <c r="X54" s="5" t="s">
        <v>6</v>
      </c>
      <c r="Y54" s="5" t="s">
        <v>6</v>
      </c>
      <c r="Z54" s="5" t="s">
        <v>6</v>
      </c>
      <c r="AA54" s="5" t="s">
        <v>6</v>
      </c>
      <c r="AB54" s="5" t="s">
        <v>6</v>
      </c>
      <c r="AC54" s="5" t="s">
        <v>6</v>
      </c>
      <c r="AD54" s="5" t="s">
        <v>6</v>
      </c>
      <c r="AE54" s="5" t="s">
        <v>6</v>
      </c>
      <c r="AF54" s="5" t="s">
        <v>6</v>
      </c>
      <c r="AG54" s="5" t="s">
        <v>6</v>
      </c>
      <c r="AH54" s="5" t="s">
        <v>6</v>
      </c>
    </row>
    <row r="55" spans="1:34" x14ac:dyDescent="0.2">
      <c r="A55" s="5">
        <v>3</v>
      </c>
      <c r="B55" s="5" t="s">
        <v>1144</v>
      </c>
      <c r="C55" s="5">
        <v>1</v>
      </c>
      <c r="D55" s="5">
        <v>1</v>
      </c>
      <c r="E55" s="5">
        <v>1</v>
      </c>
      <c r="F55" s="5">
        <v>1</v>
      </c>
      <c r="G55" s="5">
        <v>1</v>
      </c>
      <c r="H55" s="5">
        <v>1</v>
      </c>
      <c r="I55" s="5">
        <v>1</v>
      </c>
      <c r="J55" s="5">
        <v>2</v>
      </c>
      <c r="K55" s="5">
        <v>1</v>
      </c>
      <c r="L55" s="5">
        <v>1</v>
      </c>
      <c r="M55" s="5">
        <v>1</v>
      </c>
      <c r="N55" s="5">
        <v>1</v>
      </c>
      <c r="O55" s="5">
        <v>1</v>
      </c>
      <c r="P55" s="5">
        <v>1</v>
      </c>
      <c r="Q55" s="5">
        <v>1</v>
      </c>
      <c r="R55" s="5">
        <v>1</v>
      </c>
      <c r="S55" s="5" t="s">
        <v>6</v>
      </c>
      <c r="T55" s="5" t="s">
        <v>6</v>
      </c>
      <c r="U55" s="5" t="s">
        <v>6</v>
      </c>
      <c r="V55" s="5" t="s">
        <v>6</v>
      </c>
      <c r="W55" s="5" t="s">
        <v>6</v>
      </c>
      <c r="X55" s="5" t="s">
        <v>6</v>
      </c>
      <c r="Y55" s="5" t="s">
        <v>6</v>
      </c>
      <c r="Z55" s="5" t="s">
        <v>6</v>
      </c>
      <c r="AA55" s="5" t="s">
        <v>6</v>
      </c>
      <c r="AB55" s="5" t="s">
        <v>6</v>
      </c>
      <c r="AC55" s="5" t="s">
        <v>6</v>
      </c>
      <c r="AD55" s="5" t="s">
        <v>6</v>
      </c>
      <c r="AE55" s="5" t="s">
        <v>6</v>
      </c>
      <c r="AF55" s="5" t="s">
        <v>6</v>
      </c>
      <c r="AG55" s="5" t="s">
        <v>6</v>
      </c>
      <c r="AH55" s="5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85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ROW(Source!A28)</f>
        <v>28</v>
      </c>
      <c r="B1">
        <v>16630606</v>
      </c>
      <c r="C1">
        <v>16630961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1146</v>
      </c>
      <c r="J1" t="s">
        <v>6</v>
      </c>
      <c r="K1" t="s">
        <v>1147</v>
      </c>
      <c r="L1">
        <v>1191</v>
      </c>
      <c r="N1">
        <v>1013</v>
      </c>
      <c r="O1" t="s">
        <v>1148</v>
      </c>
      <c r="P1" t="s">
        <v>1148</v>
      </c>
      <c r="Q1">
        <v>1</v>
      </c>
      <c r="W1">
        <v>0</v>
      </c>
      <c r="X1">
        <v>371339561</v>
      </c>
      <c r="Y1">
        <v>103.91</v>
      </c>
      <c r="AA1">
        <v>0</v>
      </c>
      <c r="AB1">
        <v>0</v>
      </c>
      <c r="AC1">
        <v>0</v>
      </c>
      <c r="AD1">
        <v>57.68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7.13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103.91</v>
      </c>
      <c r="AU1" t="s">
        <v>6</v>
      </c>
      <c r="AV1">
        <v>1</v>
      </c>
      <c r="AW1">
        <v>2</v>
      </c>
      <c r="AX1">
        <v>16630965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46.904974000000003</v>
      </c>
      <c r="CY1">
        <f>AD1</f>
        <v>57.68</v>
      </c>
      <c r="CZ1">
        <f>AH1</f>
        <v>8.09</v>
      </c>
      <c r="DA1">
        <f>AL1</f>
        <v>7.13</v>
      </c>
      <c r="DB1">
        <f>ROUND(ROUND(AT1*CZ1,2),2)</f>
        <v>840.63</v>
      </c>
      <c r="DC1">
        <f>ROUND(ROUND(AT1*AG1,2),2)</f>
        <v>0</v>
      </c>
    </row>
    <row r="2" spans="1:107" x14ac:dyDescent="0.2">
      <c r="A2">
        <f>ROW(Source!A28)</f>
        <v>28</v>
      </c>
      <c r="B2">
        <v>16630606</v>
      </c>
      <c r="C2">
        <v>16630961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1149</v>
      </c>
      <c r="J2" t="s">
        <v>6</v>
      </c>
      <c r="K2" t="s">
        <v>1150</v>
      </c>
      <c r="L2">
        <v>1191</v>
      </c>
      <c r="N2">
        <v>1013</v>
      </c>
      <c r="O2" t="s">
        <v>1148</v>
      </c>
      <c r="P2" t="s">
        <v>1148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7.13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16630966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3.4938360000000004</v>
      </c>
      <c r="CY2">
        <f>AD2</f>
        <v>0</v>
      </c>
      <c r="CZ2">
        <f>AH2</f>
        <v>0</v>
      </c>
      <c r="DA2">
        <f>AL2</f>
        <v>1</v>
      </c>
      <c r="DB2">
        <f>ROUND(ROUND(AT2*CZ2,2),2)</f>
        <v>0</v>
      </c>
      <c r="DC2">
        <f>ROUND(ROUND(AT2*AG2,2),2)</f>
        <v>0</v>
      </c>
    </row>
    <row r="3" spans="1:107" x14ac:dyDescent="0.2">
      <c r="A3">
        <f>ROW(Source!A28)</f>
        <v>28</v>
      </c>
      <c r="B3">
        <v>16630606</v>
      </c>
      <c r="C3">
        <v>16630961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1151</v>
      </c>
      <c r="J3" t="s">
        <v>1152</v>
      </c>
      <c r="K3" t="s">
        <v>1153</v>
      </c>
      <c r="L3">
        <v>1368</v>
      </c>
      <c r="N3">
        <v>1011</v>
      </c>
      <c r="O3" t="s">
        <v>1154</v>
      </c>
      <c r="P3" t="s">
        <v>1154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222.88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7.13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16630967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3.4938360000000004</v>
      </c>
      <c r="CY3">
        <f>AB3</f>
        <v>222.88</v>
      </c>
      <c r="CZ3">
        <f>AF3</f>
        <v>31.26</v>
      </c>
      <c r="DA3">
        <f>AJ3</f>
        <v>7.13</v>
      </c>
      <c r="DB3">
        <f>ROUND(ROUND(AT3*CZ3,2),2)</f>
        <v>241.95</v>
      </c>
      <c r="DC3">
        <f>ROUND(ROUND(AT3*AG3,2),2)</f>
        <v>104.49</v>
      </c>
    </row>
    <row r="4" spans="1:107" x14ac:dyDescent="0.2">
      <c r="A4">
        <f>ROW(Source!A29)</f>
        <v>29</v>
      </c>
      <c r="B4">
        <v>16630606</v>
      </c>
      <c r="C4">
        <v>16630968</v>
      </c>
      <c r="D4">
        <v>15432010</v>
      </c>
      <c r="E4">
        <v>1</v>
      </c>
      <c r="F4">
        <v>1</v>
      </c>
      <c r="G4">
        <v>1</v>
      </c>
      <c r="H4">
        <v>1</v>
      </c>
      <c r="I4" t="s">
        <v>1155</v>
      </c>
      <c r="J4" t="s">
        <v>6</v>
      </c>
      <c r="K4" t="s">
        <v>1156</v>
      </c>
      <c r="L4">
        <v>1191</v>
      </c>
      <c r="N4">
        <v>1013</v>
      </c>
      <c r="O4" t="s">
        <v>1148</v>
      </c>
      <c r="P4" t="s">
        <v>1148</v>
      </c>
      <c r="Q4">
        <v>1</v>
      </c>
      <c r="W4">
        <v>0</v>
      </c>
      <c r="X4">
        <v>-228054128</v>
      </c>
      <c r="Y4">
        <v>60.120000000000005</v>
      </c>
      <c r="AA4">
        <v>0</v>
      </c>
      <c r="AB4">
        <v>0</v>
      </c>
      <c r="AC4">
        <v>0</v>
      </c>
      <c r="AD4">
        <v>57.18</v>
      </c>
      <c r="AE4">
        <v>0</v>
      </c>
      <c r="AF4">
        <v>0</v>
      </c>
      <c r="AG4">
        <v>0</v>
      </c>
      <c r="AH4">
        <v>8.02</v>
      </c>
      <c r="AI4">
        <v>1</v>
      </c>
      <c r="AJ4">
        <v>1</v>
      </c>
      <c r="AK4">
        <v>1</v>
      </c>
      <c r="AL4">
        <v>7.13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6</v>
      </c>
      <c r="AT4">
        <v>75.150000000000006</v>
      </c>
      <c r="AU4" t="s">
        <v>31</v>
      </c>
      <c r="AV4">
        <v>1</v>
      </c>
      <c r="AW4">
        <v>2</v>
      </c>
      <c r="AX4">
        <v>16630976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1.2024000000000001</v>
      </c>
      <c r="CY4">
        <f>AD4</f>
        <v>57.18</v>
      </c>
      <c r="CZ4">
        <f>AH4</f>
        <v>8.02</v>
      </c>
      <c r="DA4">
        <f>AL4</f>
        <v>7.13</v>
      </c>
      <c r="DB4">
        <f>ROUND((ROUND(AT4*CZ4,2)*0.8),2)</f>
        <v>482.16</v>
      </c>
      <c r="DC4">
        <f>ROUND((ROUND(AT4*AG4,2)*0.8),2)</f>
        <v>0</v>
      </c>
    </row>
    <row r="5" spans="1:107" x14ac:dyDescent="0.2">
      <c r="A5">
        <f>ROW(Source!A29)</f>
        <v>29</v>
      </c>
      <c r="B5">
        <v>16630606</v>
      </c>
      <c r="C5">
        <v>16630968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1149</v>
      </c>
      <c r="J5" t="s">
        <v>6</v>
      </c>
      <c r="K5" t="s">
        <v>1150</v>
      </c>
      <c r="L5">
        <v>1191</v>
      </c>
      <c r="N5">
        <v>1013</v>
      </c>
      <c r="O5" t="s">
        <v>1148</v>
      </c>
      <c r="P5" t="s">
        <v>1148</v>
      </c>
      <c r="Q5">
        <v>1</v>
      </c>
      <c r="W5">
        <v>0</v>
      </c>
      <c r="X5">
        <v>-1417349443</v>
      </c>
      <c r="Y5">
        <v>4.2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7.13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4.2</v>
      </c>
      <c r="AU5" t="s">
        <v>6</v>
      </c>
      <c r="AV5">
        <v>2</v>
      </c>
      <c r="AW5">
        <v>2</v>
      </c>
      <c r="AX5">
        <v>16630977</v>
      </c>
      <c r="AY5">
        <v>1</v>
      </c>
      <c r="AZ5">
        <v>2048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8.4000000000000005E-2</v>
      </c>
      <c r="CY5">
        <f>AD5</f>
        <v>0</v>
      </c>
      <c r="CZ5">
        <f>AH5</f>
        <v>0</v>
      </c>
      <c r="DA5">
        <f>AL5</f>
        <v>1</v>
      </c>
      <c r="DB5">
        <f>ROUND(ROUND(AT5*CZ5,2),2)</f>
        <v>0</v>
      </c>
      <c r="DC5">
        <f>ROUND(ROUND(AT5*AG5,2),2)</f>
        <v>0</v>
      </c>
    </row>
    <row r="6" spans="1:107" x14ac:dyDescent="0.2">
      <c r="A6">
        <f>ROW(Source!A29)</f>
        <v>29</v>
      </c>
      <c r="B6">
        <v>16630606</v>
      </c>
      <c r="C6">
        <v>16630968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1151</v>
      </c>
      <c r="J6" t="s">
        <v>1152</v>
      </c>
      <c r="K6" t="s">
        <v>1153</v>
      </c>
      <c r="L6">
        <v>1368</v>
      </c>
      <c r="N6">
        <v>1011</v>
      </c>
      <c r="O6" t="s">
        <v>1154</v>
      </c>
      <c r="P6" t="s">
        <v>1154</v>
      </c>
      <c r="Q6">
        <v>1</v>
      </c>
      <c r="W6">
        <v>0</v>
      </c>
      <c r="X6">
        <v>1188625873</v>
      </c>
      <c r="Y6">
        <v>1.3840000000000001</v>
      </c>
      <c r="AA6">
        <v>0</v>
      </c>
      <c r="AB6">
        <v>222.88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7.13</v>
      </c>
      <c r="AK6">
        <v>1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6</v>
      </c>
      <c r="AT6">
        <v>1.73</v>
      </c>
      <c r="AU6" t="s">
        <v>31</v>
      </c>
      <c r="AV6">
        <v>0</v>
      </c>
      <c r="AW6">
        <v>2</v>
      </c>
      <c r="AX6">
        <v>16630978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2.7680000000000003E-2</v>
      </c>
      <c r="CY6">
        <f>AB6</f>
        <v>222.88</v>
      </c>
      <c r="CZ6">
        <f>AF6</f>
        <v>31.26</v>
      </c>
      <c r="DA6">
        <f>AJ6</f>
        <v>7.13</v>
      </c>
      <c r="DB6">
        <f>ROUND((ROUND(AT6*CZ6,2)*0.8),2)</f>
        <v>43.26</v>
      </c>
      <c r="DC6">
        <f>ROUND((ROUND(AT6*AG6,2)*0.8),2)</f>
        <v>18.690000000000001</v>
      </c>
    </row>
    <row r="7" spans="1:107" x14ac:dyDescent="0.2">
      <c r="A7">
        <f>ROW(Source!A29)</f>
        <v>29</v>
      </c>
      <c r="B7">
        <v>16630606</v>
      </c>
      <c r="C7">
        <v>16630968</v>
      </c>
      <c r="D7">
        <v>15249073</v>
      </c>
      <c r="E7">
        <v>1</v>
      </c>
      <c r="F7">
        <v>1</v>
      </c>
      <c r="G7">
        <v>1</v>
      </c>
      <c r="H7">
        <v>2</v>
      </c>
      <c r="I7" t="s">
        <v>1157</v>
      </c>
      <c r="J7" t="s">
        <v>1158</v>
      </c>
      <c r="K7" t="s">
        <v>1159</v>
      </c>
      <c r="L7">
        <v>1368</v>
      </c>
      <c r="N7">
        <v>1011</v>
      </c>
      <c r="O7" t="s">
        <v>1154</v>
      </c>
      <c r="P7" t="s">
        <v>1154</v>
      </c>
      <c r="Q7">
        <v>1</v>
      </c>
      <c r="W7">
        <v>0</v>
      </c>
      <c r="X7">
        <v>1372534845</v>
      </c>
      <c r="Y7">
        <v>1.9760000000000002</v>
      </c>
      <c r="AA7">
        <v>0</v>
      </c>
      <c r="AB7">
        <v>468.51</v>
      </c>
      <c r="AC7">
        <v>11.6</v>
      </c>
      <c r="AD7">
        <v>0</v>
      </c>
      <c r="AE7">
        <v>0</v>
      </c>
      <c r="AF7">
        <v>65.709999999999994</v>
      </c>
      <c r="AG7">
        <v>11.6</v>
      </c>
      <c r="AH7">
        <v>0</v>
      </c>
      <c r="AI7">
        <v>1</v>
      </c>
      <c r="AJ7">
        <v>7.13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</v>
      </c>
      <c r="AT7">
        <v>2.4700000000000002</v>
      </c>
      <c r="AU7" t="s">
        <v>31</v>
      </c>
      <c r="AV7">
        <v>0</v>
      </c>
      <c r="AW7">
        <v>2</v>
      </c>
      <c r="AX7">
        <v>16630979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Y7*Source!I29</f>
        <v>3.9520000000000007E-2</v>
      </c>
      <c r="CY7">
        <f>AB7</f>
        <v>468.51</v>
      </c>
      <c r="CZ7">
        <f>AF7</f>
        <v>65.709999999999994</v>
      </c>
      <c r="DA7">
        <f>AJ7</f>
        <v>7.13</v>
      </c>
      <c r="DB7">
        <f>ROUND((ROUND(AT7*CZ7,2)*0.8),2)</f>
        <v>129.84</v>
      </c>
      <c r="DC7">
        <f>ROUND((ROUND(AT7*AG7,2)*0.8),2)</f>
        <v>22.92</v>
      </c>
    </row>
    <row r="8" spans="1:107" x14ac:dyDescent="0.2">
      <c r="A8">
        <f>ROW(Source!A29)</f>
        <v>29</v>
      </c>
      <c r="B8">
        <v>16630606</v>
      </c>
      <c r="C8">
        <v>16630968</v>
      </c>
      <c r="D8">
        <v>15170039</v>
      </c>
      <c r="E8">
        <v>1</v>
      </c>
      <c r="F8">
        <v>1</v>
      </c>
      <c r="G8">
        <v>1</v>
      </c>
      <c r="H8">
        <v>3</v>
      </c>
      <c r="I8" t="s">
        <v>1160</v>
      </c>
      <c r="J8" t="s">
        <v>1161</v>
      </c>
      <c r="K8" t="s">
        <v>1162</v>
      </c>
      <c r="L8">
        <v>1348</v>
      </c>
      <c r="N8">
        <v>1009</v>
      </c>
      <c r="O8" t="s">
        <v>98</v>
      </c>
      <c r="P8" t="s">
        <v>98</v>
      </c>
      <c r="Q8">
        <v>1000</v>
      </c>
      <c r="W8">
        <v>0</v>
      </c>
      <c r="X8">
        <v>1174701286</v>
      </c>
      <c r="Y8">
        <v>0</v>
      </c>
      <c r="AA8">
        <v>85403.14</v>
      </c>
      <c r="AB8">
        <v>0</v>
      </c>
      <c r="AC8">
        <v>0</v>
      </c>
      <c r="AD8">
        <v>0</v>
      </c>
      <c r="AE8">
        <v>11978</v>
      </c>
      <c r="AF8">
        <v>0</v>
      </c>
      <c r="AG8">
        <v>0</v>
      </c>
      <c r="AH8">
        <v>0</v>
      </c>
      <c r="AI8">
        <v>7.13</v>
      </c>
      <c r="AJ8">
        <v>1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6</v>
      </c>
      <c r="AT8">
        <v>1.2E-2</v>
      </c>
      <c r="AU8" t="s">
        <v>30</v>
      </c>
      <c r="AV8">
        <v>0</v>
      </c>
      <c r="AW8">
        <v>2</v>
      </c>
      <c r="AX8">
        <v>16630980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Y8*Source!I29</f>
        <v>0</v>
      </c>
      <c r="CY8">
        <f>AA8</f>
        <v>85403.14</v>
      </c>
      <c r="CZ8">
        <f>AE8</f>
        <v>11978</v>
      </c>
      <c r="DA8">
        <f>AI8</f>
        <v>7.13</v>
      </c>
      <c r="DB8">
        <f>ROUND((ROUND(AT8*CZ8,2)*0),2)</f>
        <v>0</v>
      </c>
      <c r="DC8">
        <f>ROUND((ROUND(AT8*AG8,2)*0),2)</f>
        <v>0</v>
      </c>
    </row>
    <row r="9" spans="1:107" x14ac:dyDescent="0.2">
      <c r="A9">
        <f>ROW(Source!A29)</f>
        <v>29</v>
      </c>
      <c r="B9">
        <v>16630606</v>
      </c>
      <c r="C9">
        <v>16630968</v>
      </c>
      <c r="D9">
        <v>15189796</v>
      </c>
      <c r="E9">
        <v>1</v>
      </c>
      <c r="F9">
        <v>1</v>
      </c>
      <c r="G9">
        <v>1</v>
      </c>
      <c r="H9">
        <v>3</v>
      </c>
      <c r="I9" t="s">
        <v>1163</v>
      </c>
      <c r="J9" t="s">
        <v>1164</v>
      </c>
      <c r="K9" t="s">
        <v>1165</v>
      </c>
      <c r="L9">
        <v>1348</v>
      </c>
      <c r="N9">
        <v>1009</v>
      </c>
      <c r="O9" t="s">
        <v>98</v>
      </c>
      <c r="P9" t="s">
        <v>98</v>
      </c>
      <c r="Q9">
        <v>1000</v>
      </c>
      <c r="W9">
        <v>0</v>
      </c>
      <c r="X9">
        <v>-1756095795</v>
      </c>
      <c r="Y9">
        <v>0</v>
      </c>
      <c r="AA9">
        <v>42701.57</v>
      </c>
      <c r="AB9">
        <v>0</v>
      </c>
      <c r="AC9">
        <v>0</v>
      </c>
      <c r="AD9">
        <v>0</v>
      </c>
      <c r="AE9">
        <v>5989</v>
      </c>
      <c r="AF9">
        <v>0</v>
      </c>
      <c r="AG9">
        <v>0</v>
      </c>
      <c r="AH9">
        <v>0</v>
      </c>
      <c r="AI9">
        <v>7.13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3.5000000000000003E-2</v>
      </c>
      <c r="AU9" t="s">
        <v>30</v>
      </c>
      <c r="AV9">
        <v>0</v>
      </c>
      <c r="AW9">
        <v>2</v>
      </c>
      <c r="AX9">
        <v>16630981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Y9*Source!I29</f>
        <v>0</v>
      </c>
      <c r="CY9">
        <f>AA9</f>
        <v>42701.57</v>
      </c>
      <c r="CZ9">
        <f>AE9</f>
        <v>5989</v>
      </c>
      <c r="DA9">
        <f>AI9</f>
        <v>7.13</v>
      </c>
      <c r="DB9">
        <f>ROUND((ROUND(AT9*CZ9,2)*0),2)</f>
        <v>0</v>
      </c>
      <c r="DC9">
        <f>ROUND((ROUND(AT9*AG9,2)*0),2)</f>
        <v>0</v>
      </c>
    </row>
    <row r="10" spans="1:107" x14ac:dyDescent="0.2">
      <c r="A10">
        <f>ROW(Source!A29)</f>
        <v>29</v>
      </c>
      <c r="B10">
        <v>16630606</v>
      </c>
      <c r="C10">
        <v>16630968</v>
      </c>
      <c r="D10">
        <v>15196771</v>
      </c>
      <c r="E10">
        <v>1</v>
      </c>
      <c r="F10">
        <v>1</v>
      </c>
      <c r="G10">
        <v>1</v>
      </c>
      <c r="H10">
        <v>3</v>
      </c>
      <c r="I10" t="s">
        <v>1166</v>
      </c>
      <c r="J10" t="s">
        <v>1167</v>
      </c>
      <c r="K10" t="s">
        <v>1168</v>
      </c>
      <c r="L10">
        <v>1301</v>
      </c>
      <c r="N10">
        <v>1003</v>
      </c>
      <c r="O10" t="s">
        <v>150</v>
      </c>
      <c r="P10" t="s">
        <v>150</v>
      </c>
      <c r="Q10">
        <v>1</v>
      </c>
      <c r="W10">
        <v>0</v>
      </c>
      <c r="X10">
        <v>117883946</v>
      </c>
      <c r="Y10">
        <v>0</v>
      </c>
      <c r="AA10">
        <v>22.82</v>
      </c>
      <c r="AB10">
        <v>0</v>
      </c>
      <c r="AC10">
        <v>0</v>
      </c>
      <c r="AD10">
        <v>0</v>
      </c>
      <c r="AE10">
        <v>3.2</v>
      </c>
      <c r="AF10">
        <v>0</v>
      </c>
      <c r="AG10">
        <v>0</v>
      </c>
      <c r="AH10">
        <v>0</v>
      </c>
      <c r="AI10">
        <v>7.13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6</v>
      </c>
      <c r="AT10">
        <v>400</v>
      </c>
      <c r="AU10" t="s">
        <v>30</v>
      </c>
      <c r="AV10">
        <v>0</v>
      </c>
      <c r="AW10">
        <v>2</v>
      </c>
      <c r="AX10">
        <v>16630983</v>
      </c>
      <c r="AY10">
        <v>1</v>
      </c>
      <c r="AZ10">
        <v>0</v>
      </c>
      <c r="BA10">
        <v>11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Y10*Source!I29</f>
        <v>0</v>
      </c>
      <c r="CY10">
        <f>AA10</f>
        <v>22.82</v>
      </c>
      <c r="CZ10">
        <f>AE10</f>
        <v>3.2</v>
      </c>
      <c r="DA10">
        <f>AI10</f>
        <v>7.13</v>
      </c>
      <c r="DB10">
        <f>ROUND((ROUND(AT10*CZ10,2)*0),2)</f>
        <v>0</v>
      </c>
      <c r="DC10">
        <f>ROUND((ROUND(AT10*AG10,2)*0),2)</f>
        <v>0</v>
      </c>
    </row>
    <row r="11" spans="1:107" x14ac:dyDescent="0.2">
      <c r="A11">
        <f>ROW(Source!A30)</f>
        <v>30</v>
      </c>
      <c r="B11">
        <v>16630606</v>
      </c>
      <c r="C11">
        <v>16630984</v>
      </c>
      <c r="D11">
        <v>15430517</v>
      </c>
      <c r="E11">
        <v>1</v>
      </c>
      <c r="F11">
        <v>1</v>
      </c>
      <c r="G11">
        <v>1</v>
      </c>
      <c r="H11">
        <v>1</v>
      </c>
      <c r="I11" t="s">
        <v>1169</v>
      </c>
      <c r="J11" t="s">
        <v>6</v>
      </c>
      <c r="K11" t="s">
        <v>1170</v>
      </c>
      <c r="L11">
        <v>1191</v>
      </c>
      <c r="N11">
        <v>1013</v>
      </c>
      <c r="O11" t="s">
        <v>1148</v>
      </c>
      <c r="P11" t="s">
        <v>1148</v>
      </c>
      <c r="Q11">
        <v>1</v>
      </c>
      <c r="W11">
        <v>0</v>
      </c>
      <c r="X11">
        <v>735429535</v>
      </c>
      <c r="Y11">
        <v>7.67</v>
      </c>
      <c r="AA11">
        <v>0</v>
      </c>
      <c r="AB11">
        <v>0</v>
      </c>
      <c r="AC11">
        <v>0</v>
      </c>
      <c r="AD11">
        <v>55.61</v>
      </c>
      <c r="AE11">
        <v>0</v>
      </c>
      <c r="AF11">
        <v>0</v>
      </c>
      <c r="AG11">
        <v>0</v>
      </c>
      <c r="AH11">
        <v>7.8</v>
      </c>
      <c r="AI11">
        <v>1</v>
      </c>
      <c r="AJ11">
        <v>1</v>
      </c>
      <c r="AK11">
        <v>1</v>
      </c>
      <c r="AL11">
        <v>7.13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7.67</v>
      </c>
      <c r="AU11" t="s">
        <v>6</v>
      </c>
      <c r="AV11">
        <v>1</v>
      </c>
      <c r="AW11">
        <v>2</v>
      </c>
      <c r="AX11">
        <v>16630986</v>
      </c>
      <c r="AY11">
        <v>1</v>
      </c>
      <c r="AZ11">
        <v>0</v>
      </c>
      <c r="BA11">
        <v>12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Y11*Source!I30</f>
        <v>0.45252999999999999</v>
      </c>
      <c r="CY11">
        <f>AD11</f>
        <v>55.61</v>
      </c>
      <c r="CZ11">
        <f>AH11</f>
        <v>7.8</v>
      </c>
      <c r="DA11">
        <f>AL11</f>
        <v>7.13</v>
      </c>
      <c r="DB11">
        <f t="shared" ref="DB11:DB31" si="0">ROUND(ROUND(AT11*CZ11,2),2)</f>
        <v>59.83</v>
      </c>
      <c r="DC11">
        <f t="shared" ref="DC11:DC31" si="1">ROUND(ROUND(AT11*AG11,2),2)</f>
        <v>0</v>
      </c>
    </row>
    <row r="12" spans="1:107" x14ac:dyDescent="0.2">
      <c r="A12">
        <f>ROW(Source!A31)</f>
        <v>31</v>
      </c>
      <c r="B12">
        <v>16630606</v>
      </c>
      <c r="C12">
        <v>16630988</v>
      </c>
      <c r="D12">
        <v>15430517</v>
      </c>
      <c r="E12">
        <v>1</v>
      </c>
      <c r="F12">
        <v>1</v>
      </c>
      <c r="G12">
        <v>1</v>
      </c>
      <c r="H12">
        <v>1</v>
      </c>
      <c r="I12" t="s">
        <v>1169</v>
      </c>
      <c r="J12" t="s">
        <v>6</v>
      </c>
      <c r="K12" t="s">
        <v>1170</v>
      </c>
      <c r="L12">
        <v>1191</v>
      </c>
      <c r="N12">
        <v>1013</v>
      </c>
      <c r="O12" t="s">
        <v>1148</v>
      </c>
      <c r="P12" t="s">
        <v>1148</v>
      </c>
      <c r="Q12">
        <v>1</v>
      </c>
      <c r="W12">
        <v>0</v>
      </c>
      <c r="X12">
        <v>735429535</v>
      </c>
      <c r="Y12">
        <v>11.39</v>
      </c>
      <c r="AA12">
        <v>0</v>
      </c>
      <c r="AB12">
        <v>0</v>
      </c>
      <c r="AC12">
        <v>0</v>
      </c>
      <c r="AD12">
        <v>55.61</v>
      </c>
      <c r="AE12">
        <v>0</v>
      </c>
      <c r="AF12">
        <v>0</v>
      </c>
      <c r="AG12">
        <v>0</v>
      </c>
      <c r="AH12">
        <v>7.8</v>
      </c>
      <c r="AI12">
        <v>1</v>
      </c>
      <c r="AJ12">
        <v>1</v>
      </c>
      <c r="AK12">
        <v>1</v>
      </c>
      <c r="AL12">
        <v>7.13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11.39</v>
      </c>
      <c r="AU12" t="s">
        <v>6</v>
      </c>
      <c r="AV12">
        <v>1</v>
      </c>
      <c r="AW12">
        <v>2</v>
      </c>
      <c r="AX12">
        <v>16630992</v>
      </c>
      <c r="AY12">
        <v>1</v>
      </c>
      <c r="AZ12">
        <v>0</v>
      </c>
      <c r="BA12">
        <v>14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Y12*Source!I31</f>
        <v>25.502210000000002</v>
      </c>
      <c r="CY12">
        <f>AD12</f>
        <v>55.61</v>
      </c>
      <c r="CZ12">
        <f>AH12</f>
        <v>7.8</v>
      </c>
      <c r="DA12">
        <f>AL12</f>
        <v>7.13</v>
      </c>
      <c r="DB12">
        <f t="shared" si="0"/>
        <v>88.84</v>
      </c>
      <c r="DC12">
        <f t="shared" si="1"/>
        <v>0</v>
      </c>
    </row>
    <row r="13" spans="1:107" x14ac:dyDescent="0.2">
      <c r="A13">
        <f>ROW(Source!A31)</f>
        <v>31</v>
      </c>
      <c r="B13">
        <v>16630606</v>
      </c>
      <c r="C13">
        <v>16630988</v>
      </c>
      <c r="D13">
        <v>15430395</v>
      </c>
      <c r="E13">
        <v>1</v>
      </c>
      <c r="F13">
        <v>1</v>
      </c>
      <c r="G13">
        <v>1</v>
      </c>
      <c r="H13">
        <v>1</v>
      </c>
      <c r="I13" t="s">
        <v>1149</v>
      </c>
      <c r="J13" t="s">
        <v>6</v>
      </c>
      <c r="K13" t="s">
        <v>1150</v>
      </c>
      <c r="L13">
        <v>1191</v>
      </c>
      <c r="N13">
        <v>1013</v>
      </c>
      <c r="O13" t="s">
        <v>1148</v>
      </c>
      <c r="P13" t="s">
        <v>1148</v>
      </c>
      <c r="Q13">
        <v>1</v>
      </c>
      <c r="W13">
        <v>0</v>
      </c>
      <c r="X13">
        <v>-1417349443</v>
      </c>
      <c r="Y13">
        <v>0.13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7.13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0.13</v>
      </c>
      <c r="AU13" t="s">
        <v>6</v>
      </c>
      <c r="AV13">
        <v>2</v>
      </c>
      <c r="AW13">
        <v>2</v>
      </c>
      <c r="AX13">
        <v>16630993</v>
      </c>
      <c r="AY13">
        <v>1</v>
      </c>
      <c r="AZ13">
        <v>0</v>
      </c>
      <c r="BA13">
        <v>15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Y13*Source!I31</f>
        <v>0.29107</v>
      </c>
      <c r="CY13">
        <f>AD13</f>
        <v>0</v>
      </c>
      <c r="CZ13">
        <f>AH13</f>
        <v>0</v>
      </c>
      <c r="DA13">
        <f>AL13</f>
        <v>1</v>
      </c>
      <c r="DB13">
        <f t="shared" si="0"/>
        <v>0</v>
      </c>
      <c r="DC13">
        <f t="shared" si="1"/>
        <v>0</v>
      </c>
    </row>
    <row r="14" spans="1:107" x14ac:dyDescent="0.2">
      <c r="A14">
        <f>ROW(Source!A31)</f>
        <v>31</v>
      </c>
      <c r="B14">
        <v>16630606</v>
      </c>
      <c r="C14">
        <v>16630988</v>
      </c>
      <c r="D14">
        <v>15247974</v>
      </c>
      <c r="E14">
        <v>1</v>
      </c>
      <c r="F14">
        <v>1</v>
      </c>
      <c r="G14">
        <v>1</v>
      </c>
      <c r="H14">
        <v>2</v>
      </c>
      <c r="I14" t="s">
        <v>1151</v>
      </c>
      <c r="J14" t="s">
        <v>1152</v>
      </c>
      <c r="K14" t="s">
        <v>1153</v>
      </c>
      <c r="L14">
        <v>1368</v>
      </c>
      <c r="N14">
        <v>1011</v>
      </c>
      <c r="O14" t="s">
        <v>1154</v>
      </c>
      <c r="P14" t="s">
        <v>1154</v>
      </c>
      <c r="Q14">
        <v>1</v>
      </c>
      <c r="W14">
        <v>0</v>
      </c>
      <c r="X14">
        <v>1188625873</v>
      </c>
      <c r="Y14">
        <v>0.13</v>
      </c>
      <c r="AA14">
        <v>0</v>
      </c>
      <c r="AB14">
        <v>222.88</v>
      </c>
      <c r="AC14">
        <v>13.5</v>
      </c>
      <c r="AD14">
        <v>0</v>
      </c>
      <c r="AE14">
        <v>0</v>
      </c>
      <c r="AF14">
        <v>31.26</v>
      </c>
      <c r="AG14">
        <v>13.5</v>
      </c>
      <c r="AH14">
        <v>0</v>
      </c>
      <c r="AI14">
        <v>1</v>
      </c>
      <c r="AJ14">
        <v>7.13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0.13</v>
      </c>
      <c r="AU14" t="s">
        <v>6</v>
      </c>
      <c r="AV14">
        <v>0</v>
      </c>
      <c r="AW14">
        <v>2</v>
      </c>
      <c r="AX14">
        <v>16630994</v>
      </c>
      <c r="AY14">
        <v>1</v>
      </c>
      <c r="AZ14">
        <v>0</v>
      </c>
      <c r="BA14">
        <v>16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Y14*Source!I31</f>
        <v>0.29107</v>
      </c>
      <c r="CY14">
        <f>AB14</f>
        <v>222.88</v>
      </c>
      <c r="CZ14">
        <f>AF14</f>
        <v>31.26</v>
      </c>
      <c r="DA14">
        <f>AJ14</f>
        <v>7.13</v>
      </c>
      <c r="DB14">
        <f t="shared" si="0"/>
        <v>4.0599999999999996</v>
      </c>
      <c r="DC14">
        <f t="shared" si="1"/>
        <v>1.76</v>
      </c>
    </row>
    <row r="15" spans="1:107" x14ac:dyDescent="0.2">
      <c r="A15">
        <f>ROW(Source!A32)</f>
        <v>32</v>
      </c>
      <c r="B15">
        <v>16630606</v>
      </c>
      <c r="C15">
        <v>16630996</v>
      </c>
      <c r="D15">
        <v>15430767</v>
      </c>
      <c r="E15">
        <v>1</v>
      </c>
      <c r="F15">
        <v>1</v>
      </c>
      <c r="G15">
        <v>1</v>
      </c>
      <c r="H15">
        <v>1</v>
      </c>
      <c r="I15" t="s">
        <v>1171</v>
      </c>
      <c r="J15" t="s">
        <v>6</v>
      </c>
      <c r="K15" t="s">
        <v>1172</v>
      </c>
      <c r="L15">
        <v>1191</v>
      </c>
      <c r="N15">
        <v>1013</v>
      </c>
      <c r="O15" t="s">
        <v>1148</v>
      </c>
      <c r="P15" t="s">
        <v>1148</v>
      </c>
      <c r="Q15">
        <v>1</v>
      </c>
      <c r="W15">
        <v>0</v>
      </c>
      <c r="X15">
        <v>-400197608</v>
      </c>
      <c r="Y15">
        <v>69.87</v>
      </c>
      <c r="AA15">
        <v>0</v>
      </c>
      <c r="AB15">
        <v>0</v>
      </c>
      <c r="AC15">
        <v>0</v>
      </c>
      <c r="AD15">
        <v>60.82</v>
      </c>
      <c r="AE15">
        <v>0</v>
      </c>
      <c r="AF15">
        <v>0</v>
      </c>
      <c r="AG15">
        <v>0</v>
      </c>
      <c r="AH15">
        <v>8.5299999999999994</v>
      </c>
      <c r="AI15">
        <v>1</v>
      </c>
      <c r="AJ15">
        <v>1</v>
      </c>
      <c r="AK15">
        <v>1</v>
      </c>
      <c r="AL15">
        <v>7.13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6</v>
      </c>
      <c r="AT15">
        <v>69.87</v>
      </c>
      <c r="AU15" t="s">
        <v>6</v>
      </c>
      <c r="AV15">
        <v>1</v>
      </c>
      <c r="AW15">
        <v>2</v>
      </c>
      <c r="AX15">
        <v>16631000</v>
      </c>
      <c r="AY15">
        <v>1</v>
      </c>
      <c r="AZ15">
        <v>0</v>
      </c>
      <c r="BA15">
        <v>18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Y15*Source!I32</f>
        <v>23.616060000000004</v>
      </c>
      <c r="CY15">
        <f>AD15</f>
        <v>60.82</v>
      </c>
      <c r="CZ15">
        <f>AH15</f>
        <v>8.5299999999999994</v>
      </c>
      <c r="DA15">
        <f>AL15</f>
        <v>7.13</v>
      </c>
      <c r="DB15">
        <f t="shared" si="0"/>
        <v>595.99</v>
      </c>
      <c r="DC15">
        <f t="shared" si="1"/>
        <v>0</v>
      </c>
    </row>
    <row r="16" spans="1:107" x14ac:dyDescent="0.2">
      <c r="A16">
        <f>ROW(Source!A32)</f>
        <v>32</v>
      </c>
      <c r="B16">
        <v>16630606</v>
      </c>
      <c r="C16">
        <v>16630996</v>
      </c>
      <c r="D16">
        <v>15430395</v>
      </c>
      <c r="E16">
        <v>1</v>
      </c>
      <c r="F16">
        <v>1</v>
      </c>
      <c r="G16">
        <v>1</v>
      </c>
      <c r="H16">
        <v>1</v>
      </c>
      <c r="I16" t="s">
        <v>1149</v>
      </c>
      <c r="J16" t="s">
        <v>6</v>
      </c>
      <c r="K16" t="s">
        <v>1150</v>
      </c>
      <c r="L16">
        <v>1191</v>
      </c>
      <c r="N16">
        <v>1013</v>
      </c>
      <c r="O16" t="s">
        <v>1148</v>
      </c>
      <c r="P16" t="s">
        <v>1148</v>
      </c>
      <c r="Q16">
        <v>1</v>
      </c>
      <c r="W16">
        <v>0</v>
      </c>
      <c r="X16">
        <v>-1417349443</v>
      </c>
      <c r="Y16">
        <v>1.44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7.13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1.44</v>
      </c>
      <c r="AU16" t="s">
        <v>6</v>
      </c>
      <c r="AV16">
        <v>2</v>
      </c>
      <c r="AW16">
        <v>2</v>
      </c>
      <c r="AX16">
        <v>16631001</v>
      </c>
      <c r="AY16">
        <v>1</v>
      </c>
      <c r="AZ16">
        <v>0</v>
      </c>
      <c r="BA16">
        <v>19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Y16*Source!I32</f>
        <v>0.48672000000000004</v>
      </c>
      <c r="CY16">
        <f>AD16</f>
        <v>0</v>
      </c>
      <c r="CZ16">
        <f>AH16</f>
        <v>0</v>
      </c>
      <c r="DA16">
        <f>AL16</f>
        <v>1</v>
      </c>
      <c r="DB16">
        <f t="shared" si="0"/>
        <v>0</v>
      </c>
      <c r="DC16">
        <f t="shared" si="1"/>
        <v>0</v>
      </c>
    </row>
    <row r="17" spans="1:107" x14ac:dyDescent="0.2">
      <c r="A17">
        <f>ROW(Source!A32)</f>
        <v>32</v>
      </c>
      <c r="B17">
        <v>16630606</v>
      </c>
      <c r="C17">
        <v>16630996</v>
      </c>
      <c r="D17">
        <v>15247974</v>
      </c>
      <c r="E17">
        <v>1</v>
      </c>
      <c r="F17">
        <v>1</v>
      </c>
      <c r="G17">
        <v>1</v>
      </c>
      <c r="H17">
        <v>2</v>
      </c>
      <c r="I17" t="s">
        <v>1151</v>
      </c>
      <c r="J17" t="s">
        <v>1152</v>
      </c>
      <c r="K17" t="s">
        <v>1153</v>
      </c>
      <c r="L17">
        <v>1368</v>
      </c>
      <c r="N17">
        <v>1011</v>
      </c>
      <c r="O17" t="s">
        <v>1154</v>
      </c>
      <c r="P17" t="s">
        <v>1154</v>
      </c>
      <c r="Q17">
        <v>1</v>
      </c>
      <c r="W17">
        <v>0</v>
      </c>
      <c r="X17">
        <v>1188625873</v>
      </c>
      <c r="Y17">
        <v>1.44</v>
      </c>
      <c r="AA17">
        <v>0</v>
      </c>
      <c r="AB17">
        <v>222.88</v>
      </c>
      <c r="AC17">
        <v>13.5</v>
      </c>
      <c r="AD17">
        <v>0</v>
      </c>
      <c r="AE17">
        <v>0</v>
      </c>
      <c r="AF17">
        <v>31.26</v>
      </c>
      <c r="AG17">
        <v>13.5</v>
      </c>
      <c r="AH17">
        <v>0</v>
      </c>
      <c r="AI17">
        <v>1</v>
      </c>
      <c r="AJ17">
        <v>7.13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6</v>
      </c>
      <c r="AT17">
        <v>1.44</v>
      </c>
      <c r="AU17" t="s">
        <v>6</v>
      </c>
      <c r="AV17">
        <v>0</v>
      </c>
      <c r="AW17">
        <v>2</v>
      </c>
      <c r="AX17">
        <v>16631002</v>
      </c>
      <c r="AY17">
        <v>1</v>
      </c>
      <c r="AZ17">
        <v>0</v>
      </c>
      <c r="BA17">
        <v>20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Y17*Source!I32</f>
        <v>0.48672000000000004</v>
      </c>
      <c r="CY17">
        <f>AB17</f>
        <v>222.88</v>
      </c>
      <c r="CZ17">
        <f>AF17</f>
        <v>31.26</v>
      </c>
      <c r="DA17">
        <f>AJ17</f>
        <v>7.13</v>
      </c>
      <c r="DB17">
        <f t="shared" si="0"/>
        <v>45.01</v>
      </c>
      <c r="DC17">
        <f t="shared" si="1"/>
        <v>19.440000000000001</v>
      </c>
    </row>
    <row r="18" spans="1:107" x14ac:dyDescent="0.2">
      <c r="A18">
        <f>ROW(Source!A33)</f>
        <v>33</v>
      </c>
      <c r="B18">
        <v>16630606</v>
      </c>
      <c r="C18">
        <v>16631004</v>
      </c>
      <c r="D18">
        <v>15430767</v>
      </c>
      <c r="E18">
        <v>1</v>
      </c>
      <c r="F18">
        <v>1</v>
      </c>
      <c r="G18">
        <v>1</v>
      </c>
      <c r="H18">
        <v>1</v>
      </c>
      <c r="I18" t="s">
        <v>1171</v>
      </c>
      <c r="J18" t="s">
        <v>6</v>
      </c>
      <c r="K18" t="s">
        <v>1172</v>
      </c>
      <c r="L18">
        <v>1191</v>
      </c>
      <c r="N18">
        <v>1013</v>
      </c>
      <c r="O18" t="s">
        <v>1148</v>
      </c>
      <c r="P18" t="s">
        <v>1148</v>
      </c>
      <c r="Q18">
        <v>1</v>
      </c>
      <c r="W18">
        <v>0</v>
      </c>
      <c r="X18">
        <v>-400197608</v>
      </c>
      <c r="Y18">
        <v>111.2</v>
      </c>
      <c r="AA18">
        <v>0</v>
      </c>
      <c r="AB18">
        <v>0</v>
      </c>
      <c r="AC18">
        <v>0</v>
      </c>
      <c r="AD18">
        <v>60.82</v>
      </c>
      <c r="AE18">
        <v>0</v>
      </c>
      <c r="AF18">
        <v>0</v>
      </c>
      <c r="AG18">
        <v>0</v>
      </c>
      <c r="AH18">
        <v>8.5299999999999994</v>
      </c>
      <c r="AI18">
        <v>1</v>
      </c>
      <c r="AJ18">
        <v>1</v>
      </c>
      <c r="AK18">
        <v>1</v>
      </c>
      <c r="AL18">
        <v>7.13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6</v>
      </c>
      <c r="AT18">
        <v>111.2</v>
      </c>
      <c r="AU18" t="s">
        <v>6</v>
      </c>
      <c r="AV18">
        <v>1</v>
      </c>
      <c r="AW18">
        <v>2</v>
      </c>
      <c r="AX18">
        <v>16631010</v>
      </c>
      <c r="AY18">
        <v>1</v>
      </c>
      <c r="AZ18">
        <v>0</v>
      </c>
      <c r="BA18">
        <v>22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Y18*Source!I33</f>
        <v>37.585600000000007</v>
      </c>
      <c r="CY18">
        <f>AD18</f>
        <v>60.82</v>
      </c>
      <c r="CZ18">
        <f>AH18</f>
        <v>8.5299999999999994</v>
      </c>
      <c r="DA18">
        <f>AL18</f>
        <v>7.13</v>
      </c>
      <c r="DB18">
        <f t="shared" si="0"/>
        <v>948.54</v>
      </c>
      <c r="DC18">
        <f t="shared" si="1"/>
        <v>0</v>
      </c>
    </row>
    <row r="19" spans="1:107" x14ac:dyDescent="0.2">
      <c r="A19">
        <f>ROW(Source!A33)</f>
        <v>33</v>
      </c>
      <c r="B19">
        <v>16630606</v>
      </c>
      <c r="C19">
        <v>16631004</v>
      </c>
      <c r="D19">
        <v>15430395</v>
      </c>
      <c r="E19">
        <v>1</v>
      </c>
      <c r="F19">
        <v>1</v>
      </c>
      <c r="G19">
        <v>1</v>
      </c>
      <c r="H19">
        <v>1</v>
      </c>
      <c r="I19" t="s">
        <v>1149</v>
      </c>
      <c r="J19" t="s">
        <v>6</v>
      </c>
      <c r="K19" t="s">
        <v>1150</v>
      </c>
      <c r="L19">
        <v>1191</v>
      </c>
      <c r="N19">
        <v>1013</v>
      </c>
      <c r="O19" t="s">
        <v>1148</v>
      </c>
      <c r="P19" t="s">
        <v>1148</v>
      </c>
      <c r="Q19">
        <v>1</v>
      </c>
      <c r="W19">
        <v>0</v>
      </c>
      <c r="X19">
        <v>-1417349443</v>
      </c>
      <c r="Y19">
        <v>1.8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7.13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6</v>
      </c>
      <c r="AT19">
        <v>1.8</v>
      </c>
      <c r="AU19" t="s">
        <v>6</v>
      </c>
      <c r="AV19">
        <v>2</v>
      </c>
      <c r="AW19">
        <v>2</v>
      </c>
      <c r="AX19">
        <v>16631011</v>
      </c>
      <c r="AY19">
        <v>1</v>
      </c>
      <c r="AZ19">
        <v>0</v>
      </c>
      <c r="BA19">
        <v>23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Y19*Source!I33</f>
        <v>0.60840000000000005</v>
      </c>
      <c r="CY19">
        <f>AD19</f>
        <v>0</v>
      </c>
      <c r="CZ19">
        <f>AH19</f>
        <v>0</v>
      </c>
      <c r="DA19">
        <f>AL19</f>
        <v>1</v>
      </c>
      <c r="DB19">
        <f t="shared" si="0"/>
        <v>0</v>
      </c>
      <c r="DC19">
        <f t="shared" si="1"/>
        <v>0</v>
      </c>
    </row>
    <row r="20" spans="1:107" x14ac:dyDescent="0.2">
      <c r="A20">
        <f>ROW(Source!A33)</f>
        <v>33</v>
      </c>
      <c r="B20">
        <v>16630606</v>
      </c>
      <c r="C20">
        <v>16631004</v>
      </c>
      <c r="D20">
        <v>15247974</v>
      </c>
      <c r="E20">
        <v>1</v>
      </c>
      <c r="F20">
        <v>1</v>
      </c>
      <c r="G20">
        <v>1</v>
      </c>
      <c r="H20">
        <v>2</v>
      </c>
      <c r="I20" t="s">
        <v>1151</v>
      </c>
      <c r="J20" t="s">
        <v>1152</v>
      </c>
      <c r="K20" t="s">
        <v>1153</v>
      </c>
      <c r="L20">
        <v>1368</v>
      </c>
      <c r="N20">
        <v>1011</v>
      </c>
      <c r="O20" t="s">
        <v>1154</v>
      </c>
      <c r="P20" t="s">
        <v>1154</v>
      </c>
      <c r="Q20">
        <v>1</v>
      </c>
      <c r="W20">
        <v>0</v>
      </c>
      <c r="X20">
        <v>1188625873</v>
      </c>
      <c r="Y20">
        <v>1.8</v>
      </c>
      <c r="AA20">
        <v>0</v>
      </c>
      <c r="AB20">
        <v>222.88</v>
      </c>
      <c r="AC20">
        <v>13.5</v>
      </c>
      <c r="AD20">
        <v>0</v>
      </c>
      <c r="AE20">
        <v>0</v>
      </c>
      <c r="AF20">
        <v>31.26</v>
      </c>
      <c r="AG20">
        <v>13.5</v>
      </c>
      <c r="AH20">
        <v>0</v>
      </c>
      <c r="AI20">
        <v>1</v>
      </c>
      <c r="AJ20">
        <v>7.13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6</v>
      </c>
      <c r="AT20">
        <v>1.8</v>
      </c>
      <c r="AU20" t="s">
        <v>6</v>
      </c>
      <c r="AV20">
        <v>0</v>
      </c>
      <c r="AW20">
        <v>2</v>
      </c>
      <c r="AX20">
        <v>16631012</v>
      </c>
      <c r="AY20">
        <v>1</v>
      </c>
      <c r="AZ20">
        <v>0</v>
      </c>
      <c r="BA20">
        <v>24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Y20*Source!I33</f>
        <v>0.60840000000000005</v>
      </c>
      <c r="CY20">
        <f>AB20</f>
        <v>222.88</v>
      </c>
      <c r="CZ20">
        <f>AF20</f>
        <v>31.26</v>
      </c>
      <c r="DA20">
        <f>AJ20</f>
        <v>7.13</v>
      </c>
      <c r="DB20">
        <f t="shared" si="0"/>
        <v>56.27</v>
      </c>
      <c r="DC20">
        <f t="shared" si="1"/>
        <v>24.3</v>
      </c>
    </row>
    <row r="21" spans="1:107" x14ac:dyDescent="0.2">
      <c r="A21">
        <f>ROW(Source!A33)</f>
        <v>33</v>
      </c>
      <c r="B21">
        <v>16630606</v>
      </c>
      <c r="C21">
        <v>16631004</v>
      </c>
      <c r="D21">
        <v>15249402</v>
      </c>
      <c r="E21">
        <v>1</v>
      </c>
      <c r="F21">
        <v>1</v>
      </c>
      <c r="G21">
        <v>1</v>
      </c>
      <c r="H21">
        <v>2</v>
      </c>
      <c r="I21" t="s">
        <v>1173</v>
      </c>
      <c r="J21" t="s">
        <v>1174</v>
      </c>
      <c r="K21" t="s">
        <v>1175</v>
      </c>
      <c r="L21">
        <v>1368</v>
      </c>
      <c r="N21">
        <v>1011</v>
      </c>
      <c r="O21" t="s">
        <v>1154</v>
      </c>
      <c r="P21" t="s">
        <v>1154</v>
      </c>
      <c r="Q21">
        <v>1</v>
      </c>
      <c r="W21">
        <v>0</v>
      </c>
      <c r="X21">
        <v>-2111251057</v>
      </c>
      <c r="Y21">
        <v>19.2</v>
      </c>
      <c r="AA21">
        <v>0</v>
      </c>
      <c r="AB21">
        <v>231.73</v>
      </c>
      <c r="AC21">
        <v>0</v>
      </c>
      <c r="AD21">
        <v>0</v>
      </c>
      <c r="AE21">
        <v>0</v>
      </c>
      <c r="AF21">
        <v>32.5</v>
      </c>
      <c r="AG21">
        <v>0</v>
      </c>
      <c r="AH21">
        <v>0</v>
      </c>
      <c r="AI21">
        <v>1</v>
      </c>
      <c r="AJ21">
        <v>7.13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6</v>
      </c>
      <c r="AT21">
        <v>19.2</v>
      </c>
      <c r="AU21" t="s">
        <v>6</v>
      </c>
      <c r="AV21">
        <v>0</v>
      </c>
      <c r="AW21">
        <v>2</v>
      </c>
      <c r="AX21">
        <v>16631013</v>
      </c>
      <c r="AY21">
        <v>1</v>
      </c>
      <c r="AZ21">
        <v>0</v>
      </c>
      <c r="BA21">
        <v>25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Y21*Source!I33</f>
        <v>6.4896000000000003</v>
      </c>
      <c r="CY21">
        <f>AB21</f>
        <v>231.73</v>
      </c>
      <c r="CZ21">
        <f>AF21</f>
        <v>32.5</v>
      </c>
      <c r="DA21">
        <f>AJ21</f>
        <v>7.13</v>
      </c>
      <c r="DB21">
        <f t="shared" si="0"/>
        <v>624</v>
      </c>
      <c r="DC21">
        <f t="shared" si="1"/>
        <v>0</v>
      </c>
    </row>
    <row r="22" spans="1:107" x14ac:dyDescent="0.2">
      <c r="A22">
        <f>ROW(Source!A33)</f>
        <v>33</v>
      </c>
      <c r="B22">
        <v>16630606</v>
      </c>
      <c r="C22">
        <v>16631004</v>
      </c>
      <c r="D22">
        <v>15249998</v>
      </c>
      <c r="E22">
        <v>1</v>
      </c>
      <c r="F22">
        <v>1</v>
      </c>
      <c r="G22">
        <v>1</v>
      </c>
      <c r="H22">
        <v>2</v>
      </c>
      <c r="I22" t="s">
        <v>1176</v>
      </c>
      <c r="J22" t="s">
        <v>1177</v>
      </c>
      <c r="K22" t="s">
        <v>1178</v>
      </c>
      <c r="L22">
        <v>1368</v>
      </c>
      <c r="N22">
        <v>1011</v>
      </c>
      <c r="O22" t="s">
        <v>1154</v>
      </c>
      <c r="P22" t="s">
        <v>1154</v>
      </c>
      <c r="Q22">
        <v>1</v>
      </c>
      <c r="W22">
        <v>0</v>
      </c>
      <c r="X22">
        <v>1518765163</v>
      </c>
      <c r="Y22">
        <v>38.4</v>
      </c>
      <c r="AA22">
        <v>0</v>
      </c>
      <c r="AB22">
        <v>10.91</v>
      </c>
      <c r="AC22">
        <v>0</v>
      </c>
      <c r="AD22">
        <v>0</v>
      </c>
      <c r="AE22">
        <v>0</v>
      </c>
      <c r="AF22">
        <v>1.53</v>
      </c>
      <c r="AG22">
        <v>0</v>
      </c>
      <c r="AH22">
        <v>0</v>
      </c>
      <c r="AI22">
        <v>1</v>
      </c>
      <c r="AJ22">
        <v>7.13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38.4</v>
      </c>
      <c r="AU22" t="s">
        <v>6</v>
      </c>
      <c r="AV22">
        <v>0</v>
      </c>
      <c r="AW22">
        <v>2</v>
      </c>
      <c r="AX22">
        <v>16631014</v>
      </c>
      <c r="AY22">
        <v>1</v>
      </c>
      <c r="AZ22">
        <v>0</v>
      </c>
      <c r="BA22">
        <v>26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Y22*Source!I33</f>
        <v>12.979200000000001</v>
      </c>
      <c r="CY22">
        <f>AB22</f>
        <v>10.91</v>
      </c>
      <c r="CZ22">
        <f>AF22</f>
        <v>1.53</v>
      </c>
      <c r="DA22">
        <f>AJ22</f>
        <v>7.13</v>
      </c>
      <c r="DB22">
        <f t="shared" si="0"/>
        <v>58.75</v>
      </c>
      <c r="DC22">
        <f t="shared" si="1"/>
        <v>0</v>
      </c>
    </row>
    <row r="23" spans="1:107" x14ac:dyDescent="0.2">
      <c r="A23">
        <f>ROW(Source!A34)</f>
        <v>34</v>
      </c>
      <c r="B23">
        <v>16630606</v>
      </c>
      <c r="C23">
        <v>16631016</v>
      </c>
      <c r="D23">
        <v>15430517</v>
      </c>
      <c r="E23">
        <v>1</v>
      </c>
      <c r="F23">
        <v>1</v>
      </c>
      <c r="G23">
        <v>1</v>
      </c>
      <c r="H23">
        <v>1</v>
      </c>
      <c r="I23" t="s">
        <v>1169</v>
      </c>
      <c r="J23" t="s">
        <v>6</v>
      </c>
      <c r="K23" t="s">
        <v>1170</v>
      </c>
      <c r="L23">
        <v>1191</v>
      </c>
      <c r="N23">
        <v>1013</v>
      </c>
      <c r="O23" t="s">
        <v>1148</v>
      </c>
      <c r="P23" t="s">
        <v>1148</v>
      </c>
      <c r="Q23">
        <v>1</v>
      </c>
      <c r="W23">
        <v>0</v>
      </c>
      <c r="X23">
        <v>735429535</v>
      </c>
      <c r="Y23">
        <v>14.28</v>
      </c>
      <c r="AA23">
        <v>0</v>
      </c>
      <c r="AB23">
        <v>0</v>
      </c>
      <c r="AC23">
        <v>0</v>
      </c>
      <c r="AD23">
        <v>55.61</v>
      </c>
      <c r="AE23">
        <v>0</v>
      </c>
      <c r="AF23">
        <v>0</v>
      </c>
      <c r="AG23">
        <v>0</v>
      </c>
      <c r="AH23">
        <v>7.8</v>
      </c>
      <c r="AI23">
        <v>1</v>
      </c>
      <c r="AJ23">
        <v>1</v>
      </c>
      <c r="AK23">
        <v>1</v>
      </c>
      <c r="AL23">
        <v>7.13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14.28</v>
      </c>
      <c r="AU23" t="s">
        <v>6</v>
      </c>
      <c r="AV23">
        <v>1</v>
      </c>
      <c r="AW23">
        <v>2</v>
      </c>
      <c r="AX23">
        <v>16631018</v>
      </c>
      <c r="AY23">
        <v>1</v>
      </c>
      <c r="AZ23">
        <v>0</v>
      </c>
      <c r="BA23">
        <v>28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Y23*Source!I34</f>
        <v>7.4084640000000004</v>
      </c>
      <c r="CY23">
        <f>AD23</f>
        <v>55.61</v>
      </c>
      <c r="CZ23">
        <f>AH23</f>
        <v>7.8</v>
      </c>
      <c r="DA23">
        <f>AL23</f>
        <v>7.13</v>
      </c>
      <c r="DB23">
        <f t="shared" si="0"/>
        <v>111.38</v>
      </c>
      <c r="DC23">
        <f t="shared" si="1"/>
        <v>0</v>
      </c>
    </row>
    <row r="24" spans="1:107" x14ac:dyDescent="0.2">
      <c r="A24">
        <f>ROW(Source!A35)</f>
        <v>35</v>
      </c>
      <c r="B24">
        <v>16630606</v>
      </c>
      <c r="C24">
        <v>16631020</v>
      </c>
      <c r="D24">
        <v>15430517</v>
      </c>
      <c r="E24">
        <v>1</v>
      </c>
      <c r="F24">
        <v>1</v>
      </c>
      <c r="G24">
        <v>1</v>
      </c>
      <c r="H24">
        <v>1</v>
      </c>
      <c r="I24" t="s">
        <v>1169</v>
      </c>
      <c r="J24" t="s">
        <v>6</v>
      </c>
      <c r="K24" t="s">
        <v>1170</v>
      </c>
      <c r="L24">
        <v>1191</v>
      </c>
      <c r="N24">
        <v>1013</v>
      </c>
      <c r="O24" t="s">
        <v>1148</v>
      </c>
      <c r="P24" t="s">
        <v>1148</v>
      </c>
      <c r="Q24">
        <v>1</v>
      </c>
      <c r="W24">
        <v>0</v>
      </c>
      <c r="X24">
        <v>735429535</v>
      </c>
      <c r="Y24">
        <v>3.77</v>
      </c>
      <c r="AA24">
        <v>0</v>
      </c>
      <c r="AB24">
        <v>0</v>
      </c>
      <c r="AC24">
        <v>0</v>
      </c>
      <c r="AD24">
        <v>55.61</v>
      </c>
      <c r="AE24">
        <v>0</v>
      </c>
      <c r="AF24">
        <v>0</v>
      </c>
      <c r="AG24">
        <v>0</v>
      </c>
      <c r="AH24">
        <v>7.8</v>
      </c>
      <c r="AI24">
        <v>1</v>
      </c>
      <c r="AJ24">
        <v>1</v>
      </c>
      <c r="AK24">
        <v>1</v>
      </c>
      <c r="AL24">
        <v>7.13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3.77</v>
      </c>
      <c r="AU24" t="s">
        <v>6</v>
      </c>
      <c r="AV24">
        <v>1</v>
      </c>
      <c r="AW24">
        <v>2</v>
      </c>
      <c r="AX24">
        <v>16631022</v>
      </c>
      <c r="AY24">
        <v>1</v>
      </c>
      <c r="AZ24">
        <v>0</v>
      </c>
      <c r="BA24">
        <v>30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Y24*Source!I35</f>
        <v>7.2225659999999996</v>
      </c>
      <c r="CY24">
        <f>AD24</f>
        <v>55.61</v>
      </c>
      <c r="CZ24">
        <f>AH24</f>
        <v>7.8</v>
      </c>
      <c r="DA24">
        <f>AL24</f>
        <v>7.13</v>
      </c>
      <c r="DB24">
        <f t="shared" si="0"/>
        <v>29.41</v>
      </c>
      <c r="DC24">
        <f t="shared" si="1"/>
        <v>0</v>
      </c>
    </row>
    <row r="25" spans="1:107" x14ac:dyDescent="0.2">
      <c r="A25">
        <f>ROW(Source!A36)</f>
        <v>36</v>
      </c>
      <c r="B25">
        <v>16630606</v>
      </c>
      <c r="C25">
        <v>16631024</v>
      </c>
      <c r="D25">
        <v>15431465</v>
      </c>
      <c r="E25">
        <v>1</v>
      </c>
      <c r="F25">
        <v>1</v>
      </c>
      <c r="G25">
        <v>1</v>
      </c>
      <c r="H25">
        <v>1</v>
      </c>
      <c r="I25" t="s">
        <v>1179</v>
      </c>
      <c r="J25" t="s">
        <v>6</v>
      </c>
      <c r="K25" t="s">
        <v>1180</v>
      </c>
      <c r="L25">
        <v>1191</v>
      </c>
      <c r="N25">
        <v>1013</v>
      </c>
      <c r="O25" t="s">
        <v>1148</v>
      </c>
      <c r="P25" t="s">
        <v>1148</v>
      </c>
      <c r="Q25">
        <v>1</v>
      </c>
      <c r="W25">
        <v>0</v>
      </c>
      <c r="X25">
        <v>152375061</v>
      </c>
      <c r="Y25">
        <v>74.3</v>
      </c>
      <c r="AA25">
        <v>0</v>
      </c>
      <c r="AB25">
        <v>0</v>
      </c>
      <c r="AC25">
        <v>0</v>
      </c>
      <c r="AD25">
        <v>56.11</v>
      </c>
      <c r="AE25">
        <v>0</v>
      </c>
      <c r="AF25">
        <v>0</v>
      </c>
      <c r="AG25">
        <v>0</v>
      </c>
      <c r="AH25">
        <v>7.87</v>
      </c>
      <c r="AI25">
        <v>1</v>
      </c>
      <c r="AJ25">
        <v>1</v>
      </c>
      <c r="AK25">
        <v>1</v>
      </c>
      <c r="AL25">
        <v>7.13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6</v>
      </c>
      <c r="AT25">
        <v>74.3</v>
      </c>
      <c r="AU25" t="s">
        <v>6</v>
      </c>
      <c r="AV25">
        <v>1</v>
      </c>
      <c r="AW25">
        <v>2</v>
      </c>
      <c r="AX25">
        <v>16631030</v>
      </c>
      <c r="AY25">
        <v>1</v>
      </c>
      <c r="AZ25">
        <v>0</v>
      </c>
      <c r="BA25">
        <v>32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Y25*Source!I36</f>
        <v>58.496389999999998</v>
      </c>
      <c r="CY25">
        <f>AD25</f>
        <v>56.11</v>
      </c>
      <c r="CZ25">
        <f>AH25</f>
        <v>7.87</v>
      </c>
      <c r="DA25">
        <f>AL25</f>
        <v>7.13</v>
      </c>
      <c r="DB25">
        <f t="shared" si="0"/>
        <v>584.74</v>
      </c>
      <c r="DC25">
        <f t="shared" si="1"/>
        <v>0</v>
      </c>
    </row>
    <row r="26" spans="1:107" x14ac:dyDescent="0.2">
      <c r="A26">
        <f>ROW(Source!A36)</f>
        <v>36</v>
      </c>
      <c r="B26">
        <v>16630606</v>
      </c>
      <c r="C26">
        <v>16631024</v>
      </c>
      <c r="D26">
        <v>15430395</v>
      </c>
      <c r="E26">
        <v>1</v>
      </c>
      <c r="F26">
        <v>1</v>
      </c>
      <c r="G26">
        <v>1</v>
      </c>
      <c r="H26">
        <v>1</v>
      </c>
      <c r="I26" t="s">
        <v>1149</v>
      </c>
      <c r="J26" t="s">
        <v>6</v>
      </c>
      <c r="K26" t="s">
        <v>1150</v>
      </c>
      <c r="L26">
        <v>1191</v>
      </c>
      <c r="N26">
        <v>1013</v>
      </c>
      <c r="O26" t="s">
        <v>1148</v>
      </c>
      <c r="P26" t="s">
        <v>1148</v>
      </c>
      <c r="Q26">
        <v>1</v>
      </c>
      <c r="W26">
        <v>0</v>
      </c>
      <c r="X26">
        <v>-1417349443</v>
      </c>
      <c r="Y26">
        <v>0.35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7.13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0.35</v>
      </c>
      <c r="AU26" t="s">
        <v>6</v>
      </c>
      <c r="AV26">
        <v>2</v>
      </c>
      <c r="AW26">
        <v>2</v>
      </c>
      <c r="AX26">
        <v>16631031</v>
      </c>
      <c r="AY26">
        <v>1</v>
      </c>
      <c r="AZ26">
        <v>0</v>
      </c>
      <c r="BA26">
        <v>33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Y26*Source!I36</f>
        <v>0.27555499999999999</v>
      </c>
      <c r="CY26">
        <f>AD26</f>
        <v>0</v>
      </c>
      <c r="CZ26">
        <f>AH26</f>
        <v>0</v>
      </c>
      <c r="DA26">
        <f>AL26</f>
        <v>1</v>
      </c>
      <c r="DB26">
        <f t="shared" si="0"/>
        <v>0</v>
      </c>
      <c r="DC26">
        <f t="shared" si="1"/>
        <v>0</v>
      </c>
    </row>
    <row r="27" spans="1:107" x14ac:dyDescent="0.2">
      <c r="A27">
        <f>ROW(Source!A36)</f>
        <v>36</v>
      </c>
      <c r="B27">
        <v>16630606</v>
      </c>
      <c r="C27">
        <v>16631024</v>
      </c>
      <c r="D27">
        <v>15247974</v>
      </c>
      <c r="E27">
        <v>1</v>
      </c>
      <c r="F27">
        <v>1</v>
      </c>
      <c r="G27">
        <v>1</v>
      </c>
      <c r="H27">
        <v>2</v>
      </c>
      <c r="I27" t="s">
        <v>1151</v>
      </c>
      <c r="J27" t="s">
        <v>1152</v>
      </c>
      <c r="K27" t="s">
        <v>1153</v>
      </c>
      <c r="L27">
        <v>1368</v>
      </c>
      <c r="N27">
        <v>1011</v>
      </c>
      <c r="O27" t="s">
        <v>1154</v>
      </c>
      <c r="P27" t="s">
        <v>1154</v>
      </c>
      <c r="Q27">
        <v>1</v>
      </c>
      <c r="W27">
        <v>0</v>
      </c>
      <c r="X27">
        <v>1188625873</v>
      </c>
      <c r="Y27">
        <v>0.35</v>
      </c>
      <c r="AA27">
        <v>0</v>
      </c>
      <c r="AB27">
        <v>222.88</v>
      </c>
      <c r="AC27">
        <v>13.5</v>
      </c>
      <c r="AD27">
        <v>0</v>
      </c>
      <c r="AE27">
        <v>0</v>
      </c>
      <c r="AF27">
        <v>31.26</v>
      </c>
      <c r="AG27">
        <v>13.5</v>
      </c>
      <c r="AH27">
        <v>0</v>
      </c>
      <c r="AI27">
        <v>1</v>
      </c>
      <c r="AJ27">
        <v>7.13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6</v>
      </c>
      <c r="AT27">
        <v>0.35</v>
      </c>
      <c r="AU27" t="s">
        <v>6</v>
      </c>
      <c r="AV27">
        <v>0</v>
      </c>
      <c r="AW27">
        <v>2</v>
      </c>
      <c r="AX27">
        <v>16631032</v>
      </c>
      <c r="AY27">
        <v>1</v>
      </c>
      <c r="AZ27">
        <v>0</v>
      </c>
      <c r="BA27">
        <v>34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Y27*Source!I36</f>
        <v>0.27555499999999999</v>
      </c>
      <c r="CY27">
        <f>AB27</f>
        <v>222.88</v>
      </c>
      <c r="CZ27">
        <f>AF27</f>
        <v>31.26</v>
      </c>
      <c r="DA27">
        <f>AJ27</f>
        <v>7.13</v>
      </c>
      <c r="DB27">
        <f t="shared" si="0"/>
        <v>10.94</v>
      </c>
      <c r="DC27">
        <f t="shared" si="1"/>
        <v>4.7300000000000004</v>
      </c>
    </row>
    <row r="28" spans="1:107" x14ac:dyDescent="0.2">
      <c r="A28">
        <f>ROW(Source!A36)</f>
        <v>36</v>
      </c>
      <c r="B28">
        <v>16630606</v>
      </c>
      <c r="C28">
        <v>16631024</v>
      </c>
      <c r="D28">
        <v>15249402</v>
      </c>
      <c r="E28">
        <v>1</v>
      </c>
      <c r="F28">
        <v>1</v>
      </c>
      <c r="G28">
        <v>1</v>
      </c>
      <c r="H28">
        <v>2</v>
      </c>
      <c r="I28" t="s">
        <v>1173</v>
      </c>
      <c r="J28" t="s">
        <v>1174</v>
      </c>
      <c r="K28" t="s">
        <v>1175</v>
      </c>
      <c r="L28">
        <v>1368</v>
      </c>
      <c r="N28">
        <v>1011</v>
      </c>
      <c r="O28" t="s">
        <v>1154</v>
      </c>
      <c r="P28" t="s">
        <v>1154</v>
      </c>
      <c r="Q28">
        <v>1</v>
      </c>
      <c r="W28">
        <v>0</v>
      </c>
      <c r="X28">
        <v>-2111251057</v>
      </c>
      <c r="Y28">
        <v>1.64</v>
      </c>
      <c r="AA28">
        <v>0</v>
      </c>
      <c r="AB28">
        <v>231.73</v>
      </c>
      <c r="AC28">
        <v>0</v>
      </c>
      <c r="AD28">
        <v>0</v>
      </c>
      <c r="AE28">
        <v>0</v>
      </c>
      <c r="AF28">
        <v>32.5</v>
      </c>
      <c r="AG28">
        <v>0</v>
      </c>
      <c r="AH28">
        <v>0</v>
      </c>
      <c r="AI28">
        <v>1</v>
      </c>
      <c r="AJ28">
        <v>7.13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6</v>
      </c>
      <c r="AT28">
        <v>1.64</v>
      </c>
      <c r="AU28" t="s">
        <v>6</v>
      </c>
      <c r="AV28">
        <v>0</v>
      </c>
      <c r="AW28">
        <v>2</v>
      </c>
      <c r="AX28">
        <v>16631033</v>
      </c>
      <c r="AY28">
        <v>1</v>
      </c>
      <c r="AZ28">
        <v>0</v>
      </c>
      <c r="BA28">
        <v>35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Y28*Source!I36</f>
        <v>1.291172</v>
      </c>
      <c r="CY28">
        <f>AB28</f>
        <v>231.73</v>
      </c>
      <c r="CZ28">
        <f>AF28</f>
        <v>32.5</v>
      </c>
      <c r="DA28">
        <f>AJ28</f>
        <v>7.13</v>
      </c>
      <c r="DB28">
        <f t="shared" si="0"/>
        <v>53.3</v>
      </c>
      <c r="DC28">
        <f t="shared" si="1"/>
        <v>0</v>
      </c>
    </row>
    <row r="29" spans="1:107" x14ac:dyDescent="0.2">
      <c r="A29">
        <f>ROW(Source!A36)</f>
        <v>36</v>
      </c>
      <c r="B29">
        <v>16630606</v>
      </c>
      <c r="C29">
        <v>16631024</v>
      </c>
      <c r="D29">
        <v>15249998</v>
      </c>
      <c r="E29">
        <v>1</v>
      </c>
      <c r="F29">
        <v>1</v>
      </c>
      <c r="G29">
        <v>1</v>
      </c>
      <c r="H29">
        <v>2</v>
      </c>
      <c r="I29" t="s">
        <v>1176</v>
      </c>
      <c r="J29" t="s">
        <v>1177</v>
      </c>
      <c r="K29" t="s">
        <v>1178</v>
      </c>
      <c r="L29">
        <v>1368</v>
      </c>
      <c r="N29">
        <v>1011</v>
      </c>
      <c r="O29" t="s">
        <v>1154</v>
      </c>
      <c r="P29" t="s">
        <v>1154</v>
      </c>
      <c r="Q29">
        <v>1</v>
      </c>
      <c r="W29">
        <v>0</v>
      </c>
      <c r="X29">
        <v>1518765163</v>
      </c>
      <c r="Y29">
        <v>3.28</v>
      </c>
      <c r="AA29">
        <v>0</v>
      </c>
      <c r="AB29">
        <v>10.91</v>
      </c>
      <c r="AC29">
        <v>0</v>
      </c>
      <c r="AD29">
        <v>0</v>
      </c>
      <c r="AE29">
        <v>0</v>
      </c>
      <c r="AF29">
        <v>1.53</v>
      </c>
      <c r="AG29">
        <v>0</v>
      </c>
      <c r="AH29">
        <v>0</v>
      </c>
      <c r="AI29">
        <v>1</v>
      </c>
      <c r="AJ29">
        <v>7.13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6</v>
      </c>
      <c r="AT29">
        <v>3.28</v>
      </c>
      <c r="AU29" t="s">
        <v>6</v>
      </c>
      <c r="AV29">
        <v>0</v>
      </c>
      <c r="AW29">
        <v>2</v>
      </c>
      <c r="AX29">
        <v>16631034</v>
      </c>
      <c r="AY29">
        <v>1</v>
      </c>
      <c r="AZ29">
        <v>0</v>
      </c>
      <c r="BA29">
        <v>36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Y29*Source!I36</f>
        <v>2.582344</v>
      </c>
      <c r="CY29">
        <f>AB29</f>
        <v>10.91</v>
      </c>
      <c r="CZ29">
        <f>AF29</f>
        <v>1.53</v>
      </c>
      <c r="DA29">
        <f>AJ29</f>
        <v>7.13</v>
      </c>
      <c r="DB29">
        <f t="shared" si="0"/>
        <v>5.0199999999999996</v>
      </c>
      <c r="DC29">
        <f t="shared" si="1"/>
        <v>0</v>
      </c>
    </row>
    <row r="30" spans="1:107" x14ac:dyDescent="0.2">
      <c r="A30">
        <f>ROW(Source!A37)</f>
        <v>37</v>
      </c>
      <c r="B30">
        <v>16630606</v>
      </c>
      <c r="C30">
        <v>16631035</v>
      </c>
      <c r="D30">
        <v>15430517</v>
      </c>
      <c r="E30">
        <v>1</v>
      </c>
      <c r="F30">
        <v>1</v>
      </c>
      <c r="G30">
        <v>1</v>
      </c>
      <c r="H30">
        <v>1</v>
      </c>
      <c r="I30" t="s">
        <v>1169</v>
      </c>
      <c r="J30" t="s">
        <v>6</v>
      </c>
      <c r="K30" t="s">
        <v>1170</v>
      </c>
      <c r="L30">
        <v>1191</v>
      </c>
      <c r="N30">
        <v>1013</v>
      </c>
      <c r="O30" t="s">
        <v>1148</v>
      </c>
      <c r="P30" t="s">
        <v>1148</v>
      </c>
      <c r="Q30">
        <v>1</v>
      </c>
      <c r="W30">
        <v>0</v>
      </c>
      <c r="X30">
        <v>735429535</v>
      </c>
      <c r="Y30">
        <v>10.4</v>
      </c>
      <c r="AA30">
        <v>0</v>
      </c>
      <c r="AB30">
        <v>0</v>
      </c>
      <c r="AC30">
        <v>0</v>
      </c>
      <c r="AD30">
        <v>55.61</v>
      </c>
      <c r="AE30">
        <v>0</v>
      </c>
      <c r="AF30">
        <v>0</v>
      </c>
      <c r="AG30">
        <v>0</v>
      </c>
      <c r="AH30">
        <v>7.8</v>
      </c>
      <c r="AI30">
        <v>1</v>
      </c>
      <c r="AJ30">
        <v>1</v>
      </c>
      <c r="AK30">
        <v>1</v>
      </c>
      <c r="AL30">
        <v>7.13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10.4</v>
      </c>
      <c r="AU30" t="s">
        <v>6</v>
      </c>
      <c r="AV30">
        <v>1</v>
      </c>
      <c r="AW30">
        <v>2</v>
      </c>
      <c r="AX30">
        <v>16631037</v>
      </c>
      <c r="AY30">
        <v>1</v>
      </c>
      <c r="AZ30">
        <v>0</v>
      </c>
      <c r="BA30">
        <v>37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Y30*Source!I37</f>
        <v>38.937600000000003</v>
      </c>
      <c r="CY30">
        <f>AD30</f>
        <v>55.61</v>
      </c>
      <c r="CZ30">
        <f>AH30</f>
        <v>7.8</v>
      </c>
      <c r="DA30">
        <f>AL30</f>
        <v>7.13</v>
      </c>
      <c r="DB30">
        <f t="shared" si="0"/>
        <v>81.12</v>
      </c>
      <c r="DC30">
        <f t="shared" si="1"/>
        <v>0</v>
      </c>
    </row>
    <row r="31" spans="1:107" x14ac:dyDescent="0.2">
      <c r="A31">
        <f>ROW(Source!A38)</f>
        <v>38</v>
      </c>
      <c r="B31">
        <v>16630606</v>
      </c>
      <c r="C31">
        <v>16631039</v>
      </c>
      <c r="D31">
        <v>15430517</v>
      </c>
      <c r="E31">
        <v>1</v>
      </c>
      <c r="F31">
        <v>1</v>
      </c>
      <c r="G31">
        <v>1</v>
      </c>
      <c r="H31">
        <v>1</v>
      </c>
      <c r="I31" t="s">
        <v>1169</v>
      </c>
      <c r="J31" t="s">
        <v>6</v>
      </c>
      <c r="K31" t="s">
        <v>1170</v>
      </c>
      <c r="L31">
        <v>1191</v>
      </c>
      <c r="N31">
        <v>1013</v>
      </c>
      <c r="O31" t="s">
        <v>1148</v>
      </c>
      <c r="P31" t="s">
        <v>1148</v>
      </c>
      <c r="Q31">
        <v>1</v>
      </c>
      <c r="W31">
        <v>0</v>
      </c>
      <c r="X31">
        <v>735429535</v>
      </c>
      <c r="Y31">
        <v>22.82</v>
      </c>
      <c r="AA31">
        <v>0</v>
      </c>
      <c r="AB31">
        <v>0</v>
      </c>
      <c r="AC31">
        <v>0</v>
      </c>
      <c r="AD31">
        <v>55.61</v>
      </c>
      <c r="AE31">
        <v>0</v>
      </c>
      <c r="AF31">
        <v>0</v>
      </c>
      <c r="AG31">
        <v>0</v>
      </c>
      <c r="AH31">
        <v>7.8</v>
      </c>
      <c r="AI31">
        <v>1</v>
      </c>
      <c r="AJ31">
        <v>1</v>
      </c>
      <c r="AK31">
        <v>1</v>
      </c>
      <c r="AL31">
        <v>7.13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6</v>
      </c>
      <c r="AT31">
        <v>22.82</v>
      </c>
      <c r="AU31" t="s">
        <v>6</v>
      </c>
      <c r="AV31">
        <v>1</v>
      </c>
      <c r="AW31">
        <v>2</v>
      </c>
      <c r="AX31">
        <v>16631041</v>
      </c>
      <c r="AY31">
        <v>1</v>
      </c>
      <c r="AZ31">
        <v>0</v>
      </c>
      <c r="BA31">
        <v>39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Y31*Source!I38</f>
        <v>31.580597999999998</v>
      </c>
      <c r="CY31">
        <f>AD31</f>
        <v>55.61</v>
      </c>
      <c r="CZ31">
        <f>AH31</f>
        <v>7.8</v>
      </c>
      <c r="DA31">
        <f>AL31</f>
        <v>7.13</v>
      </c>
      <c r="DB31">
        <f t="shared" si="0"/>
        <v>178</v>
      </c>
      <c r="DC31">
        <f t="shared" si="1"/>
        <v>0</v>
      </c>
    </row>
    <row r="32" spans="1:107" x14ac:dyDescent="0.2">
      <c r="A32">
        <f>ROW(Source!A39)</f>
        <v>39</v>
      </c>
      <c r="B32">
        <v>16630606</v>
      </c>
      <c r="C32">
        <v>16631042</v>
      </c>
      <c r="D32">
        <v>15436014</v>
      </c>
      <c r="E32">
        <v>1</v>
      </c>
      <c r="F32">
        <v>1</v>
      </c>
      <c r="G32">
        <v>1</v>
      </c>
      <c r="H32">
        <v>1</v>
      </c>
      <c r="I32" t="s">
        <v>1181</v>
      </c>
      <c r="J32" t="s">
        <v>6</v>
      </c>
      <c r="K32" t="s">
        <v>1182</v>
      </c>
      <c r="L32">
        <v>1191</v>
      </c>
      <c r="N32">
        <v>1013</v>
      </c>
      <c r="O32" t="s">
        <v>1148</v>
      </c>
      <c r="P32" t="s">
        <v>1148</v>
      </c>
      <c r="Q32">
        <v>1</v>
      </c>
      <c r="W32">
        <v>0</v>
      </c>
      <c r="X32">
        <v>-784637506</v>
      </c>
      <c r="Y32">
        <v>143.64649999999997</v>
      </c>
      <c r="AA32">
        <v>0</v>
      </c>
      <c r="AB32">
        <v>0</v>
      </c>
      <c r="AC32">
        <v>0</v>
      </c>
      <c r="AD32">
        <v>62.32</v>
      </c>
      <c r="AE32">
        <v>0</v>
      </c>
      <c r="AF32">
        <v>0</v>
      </c>
      <c r="AG32">
        <v>0</v>
      </c>
      <c r="AH32">
        <v>8.74</v>
      </c>
      <c r="AI32">
        <v>1</v>
      </c>
      <c r="AJ32">
        <v>1</v>
      </c>
      <c r="AK32">
        <v>1</v>
      </c>
      <c r="AL32">
        <v>7.13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124.91</v>
      </c>
      <c r="AU32" t="s">
        <v>82</v>
      </c>
      <c r="AV32">
        <v>1</v>
      </c>
      <c r="AW32">
        <v>2</v>
      </c>
      <c r="AX32">
        <v>16631054</v>
      </c>
      <c r="AY32">
        <v>1</v>
      </c>
      <c r="AZ32">
        <v>0</v>
      </c>
      <c r="BA32">
        <v>40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Y32*Source!I39</f>
        <v>9.337022499999998</v>
      </c>
      <c r="CY32">
        <f>AD32</f>
        <v>62.32</v>
      </c>
      <c r="CZ32">
        <f>AH32</f>
        <v>8.74</v>
      </c>
      <c r="DA32">
        <f>AL32</f>
        <v>7.13</v>
      </c>
      <c r="DB32">
        <f>ROUND((ROUND(AT32*CZ32,2)*1.15),2)</f>
        <v>1255.47</v>
      </c>
      <c r="DC32">
        <f>ROUND((ROUND(AT32*AG32,2)*1.15),2)</f>
        <v>0</v>
      </c>
    </row>
    <row r="33" spans="1:107" x14ac:dyDescent="0.2">
      <c r="A33">
        <f>ROW(Source!A39)</f>
        <v>39</v>
      </c>
      <c r="B33">
        <v>16630606</v>
      </c>
      <c r="C33">
        <v>16631042</v>
      </c>
      <c r="D33">
        <v>15430395</v>
      </c>
      <c r="E33">
        <v>1</v>
      </c>
      <c r="F33">
        <v>1</v>
      </c>
      <c r="G33">
        <v>1</v>
      </c>
      <c r="H33">
        <v>1</v>
      </c>
      <c r="I33" t="s">
        <v>1149</v>
      </c>
      <c r="J33" t="s">
        <v>6</v>
      </c>
      <c r="K33" t="s">
        <v>1150</v>
      </c>
      <c r="L33">
        <v>1191</v>
      </c>
      <c r="N33">
        <v>1013</v>
      </c>
      <c r="O33" t="s">
        <v>1148</v>
      </c>
      <c r="P33" t="s">
        <v>1148</v>
      </c>
      <c r="Q33">
        <v>1</v>
      </c>
      <c r="W33">
        <v>0</v>
      </c>
      <c r="X33">
        <v>-1417349443</v>
      </c>
      <c r="Y33">
        <v>4.09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1</v>
      </c>
      <c r="AJ33">
        <v>1</v>
      </c>
      <c r="AK33">
        <v>7.13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6</v>
      </c>
      <c r="AT33">
        <v>4.09</v>
      </c>
      <c r="AU33" t="s">
        <v>6</v>
      </c>
      <c r="AV33">
        <v>2</v>
      </c>
      <c r="AW33">
        <v>2</v>
      </c>
      <c r="AX33">
        <v>16631055</v>
      </c>
      <c r="AY33">
        <v>1</v>
      </c>
      <c r="AZ33">
        <v>2048</v>
      </c>
      <c r="BA33">
        <v>41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Y33*Source!I39</f>
        <v>0.26584999999999998</v>
      </c>
      <c r="CY33">
        <f>AD33</f>
        <v>0</v>
      </c>
      <c r="CZ33">
        <f>AH33</f>
        <v>0</v>
      </c>
      <c r="DA33">
        <f>AL33</f>
        <v>1</v>
      </c>
      <c r="DB33">
        <f>ROUND(ROUND(AT33*CZ33,2),2)</f>
        <v>0</v>
      </c>
      <c r="DC33">
        <f>ROUND(ROUND(AT33*AG33,2),2)</f>
        <v>0</v>
      </c>
    </row>
    <row r="34" spans="1:107" x14ac:dyDescent="0.2">
      <c r="A34">
        <f>ROW(Source!A39)</f>
        <v>39</v>
      </c>
      <c r="B34">
        <v>16630606</v>
      </c>
      <c r="C34">
        <v>16631042</v>
      </c>
      <c r="D34">
        <v>15247974</v>
      </c>
      <c r="E34">
        <v>1</v>
      </c>
      <c r="F34">
        <v>1</v>
      </c>
      <c r="G34">
        <v>1</v>
      </c>
      <c r="H34">
        <v>2</v>
      </c>
      <c r="I34" t="s">
        <v>1151</v>
      </c>
      <c r="J34" t="s">
        <v>1152</v>
      </c>
      <c r="K34" t="s">
        <v>1153</v>
      </c>
      <c r="L34">
        <v>1368</v>
      </c>
      <c r="N34">
        <v>1011</v>
      </c>
      <c r="O34" t="s">
        <v>1154</v>
      </c>
      <c r="P34" t="s">
        <v>1154</v>
      </c>
      <c r="Q34">
        <v>1</v>
      </c>
      <c r="W34">
        <v>0</v>
      </c>
      <c r="X34">
        <v>1188625873</v>
      </c>
      <c r="Y34">
        <v>0.65</v>
      </c>
      <c r="AA34">
        <v>0</v>
      </c>
      <c r="AB34">
        <v>222.88</v>
      </c>
      <c r="AC34">
        <v>13.5</v>
      </c>
      <c r="AD34">
        <v>0</v>
      </c>
      <c r="AE34">
        <v>0</v>
      </c>
      <c r="AF34">
        <v>31.26</v>
      </c>
      <c r="AG34">
        <v>13.5</v>
      </c>
      <c r="AH34">
        <v>0</v>
      </c>
      <c r="AI34">
        <v>1</v>
      </c>
      <c r="AJ34">
        <v>7.13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6</v>
      </c>
      <c r="AT34">
        <v>0.52</v>
      </c>
      <c r="AU34" t="s">
        <v>81</v>
      </c>
      <c r="AV34">
        <v>0</v>
      </c>
      <c r="AW34">
        <v>2</v>
      </c>
      <c r="AX34">
        <v>16631056</v>
      </c>
      <c r="AY34">
        <v>1</v>
      </c>
      <c r="AZ34">
        <v>0</v>
      </c>
      <c r="BA34">
        <v>42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Y34*Source!I39</f>
        <v>4.2250000000000003E-2</v>
      </c>
      <c r="CY34">
        <f>AB34</f>
        <v>222.88</v>
      </c>
      <c r="CZ34">
        <f>AF34</f>
        <v>31.26</v>
      </c>
      <c r="DA34">
        <f>AJ34</f>
        <v>7.13</v>
      </c>
      <c r="DB34">
        <f>ROUND((ROUND(AT34*CZ34,2)*1.25),2)</f>
        <v>20.329999999999998</v>
      </c>
      <c r="DC34">
        <f>ROUND((ROUND(AT34*AG34,2)*1.25),2)</f>
        <v>8.7799999999999994</v>
      </c>
    </row>
    <row r="35" spans="1:107" x14ac:dyDescent="0.2">
      <c r="A35">
        <f>ROW(Source!A39)</f>
        <v>39</v>
      </c>
      <c r="B35">
        <v>16630606</v>
      </c>
      <c r="C35">
        <v>16631042</v>
      </c>
      <c r="D35">
        <v>15249073</v>
      </c>
      <c r="E35">
        <v>1</v>
      </c>
      <c r="F35">
        <v>1</v>
      </c>
      <c r="G35">
        <v>1</v>
      </c>
      <c r="H35">
        <v>2</v>
      </c>
      <c r="I35" t="s">
        <v>1157</v>
      </c>
      <c r="J35" t="s">
        <v>1158</v>
      </c>
      <c r="K35" t="s">
        <v>1159</v>
      </c>
      <c r="L35">
        <v>1368</v>
      </c>
      <c r="N35">
        <v>1011</v>
      </c>
      <c r="O35" t="s">
        <v>1154</v>
      </c>
      <c r="P35" t="s">
        <v>1154</v>
      </c>
      <c r="Q35">
        <v>1</v>
      </c>
      <c r="W35">
        <v>0</v>
      </c>
      <c r="X35">
        <v>1372534845</v>
      </c>
      <c r="Y35">
        <v>4.4624999999999995</v>
      </c>
      <c r="AA35">
        <v>0</v>
      </c>
      <c r="AB35">
        <v>468.51</v>
      </c>
      <c r="AC35">
        <v>11.6</v>
      </c>
      <c r="AD35">
        <v>0</v>
      </c>
      <c r="AE35">
        <v>0</v>
      </c>
      <c r="AF35">
        <v>65.709999999999994</v>
      </c>
      <c r="AG35">
        <v>11.6</v>
      </c>
      <c r="AH35">
        <v>0</v>
      </c>
      <c r="AI35">
        <v>1</v>
      </c>
      <c r="AJ35">
        <v>7.13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6</v>
      </c>
      <c r="AT35">
        <v>3.57</v>
      </c>
      <c r="AU35" t="s">
        <v>81</v>
      </c>
      <c r="AV35">
        <v>0</v>
      </c>
      <c r="AW35">
        <v>2</v>
      </c>
      <c r="AX35">
        <v>16631057</v>
      </c>
      <c r="AY35">
        <v>1</v>
      </c>
      <c r="AZ35">
        <v>0</v>
      </c>
      <c r="BA35">
        <v>43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Y35*Source!I39</f>
        <v>0.2900625</v>
      </c>
      <c r="CY35">
        <f>AB35</f>
        <v>468.51</v>
      </c>
      <c r="CZ35">
        <f>AF35</f>
        <v>65.709999999999994</v>
      </c>
      <c r="DA35">
        <f>AJ35</f>
        <v>7.13</v>
      </c>
      <c r="DB35">
        <f>ROUND((ROUND(AT35*CZ35,2)*1.25),2)</f>
        <v>293.23</v>
      </c>
      <c r="DC35">
        <f>ROUND((ROUND(AT35*AG35,2)*1.25),2)</f>
        <v>51.76</v>
      </c>
    </row>
    <row r="36" spans="1:107" x14ac:dyDescent="0.2">
      <c r="A36">
        <f>ROW(Source!A39)</f>
        <v>39</v>
      </c>
      <c r="B36">
        <v>16630606</v>
      </c>
      <c r="C36">
        <v>16631042</v>
      </c>
      <c r="D36">
        <v>15167551</v>
      </c>
      <c r="E36">
        <v>1</v>
      </c>
      <c r="F36">
        <v>1</v>
      </c>
      <c r="G36">
        <v>1</v>
      </c>
      <c r="H36">
        <v>3</v>
      </c>
      <c r="I36" t="s">
        <v>1183</v>
      </c>
      <c r="J36" t="s">
        <v>1184</v>
      </c>
      <c r="K36" t="s">
        <v>1185</v>
      </c>
      <c r="L36">
        <v>1301</v>
      </c>
      <c r="N36">
        <v>1003</v>
      </c>
      <c r="O36" t="s">
        <v>150</v>
      </c>
      <c r="P36" t="s">
        <v>150</v>
      </c>
      <c r="Q36">
        <v>1</v>
      </c>
      <c r="W36">
        <v>0</v>
      </c>
      <c r="X36">
        <v>751777312</v>
      </c>
      <c r="Y36">
        <v>218</v>
      </c>
      <c r="AA36">
        <v>45.49</v>
      </c>
      <c r="AB36">
        <v>0</v>
      </c>
      <c r="AC36">
        <v>0</v>
      </c>
      <c r="AD36">
        <v>0</v>
      </c>
      <c r="AE36">
        <v>6.38</v>
      </c>
      <c r="AF36">
        <v>0</v>
      </c>
      <c r="AG36">
        <v>0</v>
      </c>
      <c r="AH36">
        <v>0</v>
      </c>
      <c r="AI36">
        <v>7.13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218</v>
      </c>
      <c r="AU36" t="s">
        <v>6</v>
      </c>
      <c r="AV36">
        <v>0</v>
      </c>
      <c r="AW36">
        <v>2</v>
      </c>
      <c r="AX36">
        <v>16631058</v>
      </c>
      <c r="AY36">
        <v>1</v>
      </c>
      <c r="AZ36">
        <v>0</v>
      </c>
      <c r="BA36">
        <v>44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Y36*Source!I39</f>
        <v>14.17</v>
      </c>
      <c r="CY36">
        <f t="shared" ref="CY36:CY42" si="2">AA36</f>
        <v>45.49</v>
      </c>
      <c r="CZ36">
        <f t="shared" ref="CZ36:CZ42" si="3">AE36</f>
        <v>6.38</v>
      </c>
      <c r="DA36">
        <f t="shared" ref="DA36:DA42" si="4">AI36</f>
        <v>7.13</v>
      </c>
      <c r="DB36">
        <f t="shared" ref="DB36:DB51" si="5">ROUND(ROUND(AT36*CZ36,2),2)</f>
        <v>1390.84</v>
      </c>
      <c r="DC36">
        <f t="shared" ref="DC36:DC51" si="6">ROUND(ROUND(AT36*AG36,2),2)</f>
        <v>0</v>
      </c>
    </row>
    <row r="37" spans="1:107" x14ac:dyDescent="0.2">
      <c r="A37">
        <f>ROW(Source!A39)</f>
        <v>39</v>
      </c>
      <c r="B37">
        <v>16630606</v>
      </c>
      <c r="C37">
        <v>16631042</v>
      </c>
      <c r="D37">
        <v>15167552</v>
      </c>
      <c r="E37">
        <v>1</v>
      </c>
      <c r="F37">
        <v>1</v>
      </c>
      <c r="G37">
        <v>1</v>
      </c>
      <c r="H37">
        <v>3</v>
      </c>
      <c r="I37" t="s">
        <v>1186</v>
      </c>
      <c r="J37" t="s">
        <v>1187</v>
      </c>
      <c r="K37" t="s">
        <v>1188</v>
      </c>
      <c r="L37">
        <v>1301</v>
      </c>
      <c r="N37">
        <v>1003</v>
      </c>
      <c r="O37" t="s">
        <v>150</v>
      </c>
      <c r="P37" t="s">
        <v>150</v>
      </c>
      <c r="Q37">
        <v>1</v>
      </c>
      <c r="W37">
        <v>0</v>
      </c>
      <c r="X37">
        <v>1744203244</v>
      </c>
      <c r="Y37">
        <v>40</v>
      </c>
      <c r="AA37">
        <v>56.68</v>
      </c>
      <c r="AB37">
        <v>0</v>
      </c>
      <c r="AC37">
        <v>0</v>
      </c>
      <c r="AD37">
        <v>0</v>
      </c>
      <c r="AE37">
        <v>7.95</v>
      </c>
      <c r="AF37">
        <v>0</v>
      </c>
      <c r="AG37">
        <v>0</v>
      </c>
      <c r="AH37">
        <v>0</v>
      </c>
      <c r="AI37">
        <v>7.13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40</v>
      </c>
      <c r="AU37" t="s">
        <v>6</v>
      </c>
      <c r="AV37">
        <v>0</v>
      </c>
      <c r="AW37">
        <v>2</v>
      </c>
      <c r="AX37">
        <v>16631059</v>
      </c>
      <c r="AY37">
        <v>1</v>
      </c>
      <c r="AZ37">
        <v>0</v>
      </c>
      <c r="BA37">
        <v>45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Y37*Source!I39</f>
        <v>2.6</v>
      </c>
      <c r="CY37">
        <f t="shared" si="2"/>
        <v>56.68</v>
      </c>
      <c r="CZ37">
        <f t="shared" si="3"/>
        <v>7.95</v>
      </c>
      <c r="DA37">
        <f t="shared" si="4"/>
        <v>7.13</v>
      </c>
      <c r="DB37">
        <f t="shared" si="5"/>
        <v>318</v>
      </c>
      <c r="DC37">
        <f t="shared" si="6"/>
        <v>0</v>
      </c>
    </row>
    <row r="38" spans="1:107" x14ac:dyDescent="0.2">
      <c r="A38">
        <f>ROW(Source!A39)</f>
        <v>39</v>
      </c>
      <c r="B38">
        <v>16630606</v>
      </c>
      <c r="C38">
        <v>16631042</v>
      </c>
      <c r="D38">
        <v>15167640</v>
      </c>
      <c r="E38">
        <v>1</v>
      </c>
      <c r="F38">
        <v>1</v>
      </c>
      <c r="G38">
        <v>1</v>
      </c>
      <c r="H38">
        <v>3</v>
      </c>
      <c r="I38" t="s">
        <v>1189</v>
      </c>
      <c r="J38" t="s">
        <v>1190</v>
      </c>
      <c r="K38" t="s">
        <v>1191</v>
      </c>
      <c r="L38">
        <v>1302</v>
      </c>
      <c r="N38">
        <v>1003</v>
      </c>
      <c r="O38" t="s">
        <v>392</v>
      </c>
      <c r="P38" t="s">
        <v>392</v>
      </c>
      <c r="Q38">
        <v>10</v>
      </c>
      <c r="W38">
        <v>0</v>
      </c>
      <c r="X38">
        <v>-405326455</v>
      </c>
      <c r="Y38">
        <v>15.1</v>
      </c>
      <c r="AA38">
        <v>457.03</v>
      </c>
      <c r="AB38">
        <v>0</v>
      </c>
      <c r="AC38">
        <v>0</v>
      </c>
      <c r="AD38">
        <v>0</v>
      </c>
      <c r="AE38">
        <v>64.099999999999994</v>
      </c>
      <c r="AF38">
        <v>0</v>
      </c>
      <c r="AG38">
        <v>0</v>
      </c>
      <c r="AH38">
        <v>0</v>
      </c>
      <c r="AI38">
        <v>7.13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6</v>
      </c>
      <c r="AT38">
        <v>15.1</v>
      </c>
      <c r="AU38" t="s">
        <v>6</v>
      </c>
      <c r="AV38">
        <v>0</v>
      </c>
      <c r="AW38">
        <v>2</v>
      </c>
      <c r="AX38">
        <v>16631060</v>
      </c>
      <c r="AY38">
        <v>1</v>
      </c>
      <c r="AZ38">
        <v>0</v>
      </c>
      <c r="BA38">
        <v>46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Y38*Source!I39</f>
        <v>0.98150000000000004</v>
      </c>
      <c r="CY38">
        <f t="shared" si="2"/>
        <v>457.03</v>
      </c>
      <c r="CZ38">
        <f t="shared" si="3"/>
        <v>64.099999999999994</v>
      </c>
      <c r="DA38">
        <f t="shared" si="4"/>
        <v>7.13</v>
      </c>
      <c r="DB38">
        <f t="shared" si="5"/>
        <v>967.91</v>
      </c>
      <c r="DC38">
        <f t="shared" si="6"/>
        <v>0</v>
      </c>
    </row>
    <row r="39" spans="1:107" x14ac:dyDescent="0.2">
      <c r="A39">
        <f>ROW(Source!A39)</f>
        <v>39</v>
      </c>
      <c r="B39">
        <v>16630606</v>
      </c>
      <c r="C39">
        <v>16631042</v>
      </c>
      <c r="D39">
        <v>15170065</v>
      </c>
      <c r="E39">
        <v>1</v>
      </c>
      <c r="F39">
        <v>1</v>
      </c>
      <c r="G39">
        <v>1</v>
      </c>
      <c r="H39">
        <v>3</v>
      </c>
      <c r="I39" t="s">
        <v>1192</v>
      </c>
      <c r="J39" t="s">
        <v>1193</v>
      </c>
      <c r="K39" t="s">
        <v>1194</v>
      </c>
      <c r="L39">
        <v>1358</v>
      </c>
      <c r="N39">
        <v>1010</v>
      </c>
      <c r="O39" t="s">
        <v>616</v>
      </c>
      <c r="P39" t="s">
        <v>616</v>
      </c>
      <c r="Q39">
        <v>10</v>
      </c>
      <c r="W39">
        <v>0</v>
      </c>
      <c r="X39">
        <v>-858120743</v>
      </c>
      <c r="Y39">
        <v>31.1</v>
      </c>
      <c r="AA39">
        <v>50.12</v>
      </c>
      <c r="AB39">
        <v>0</v>
      </c>
      <c r="AC39">
        <v>0</v>
      </c>
      <c r="AD39">
        <v>0</v>
      </c>
      <c r="AE39">
        <v>7.03</v>
      </c>
      <c r="AF39">
        <v>0</v>
      </c>
      <c r="AG39">
        <v>0</v>
      </c>
      <c r="AH39">
        <v>0</v>
      </c>
      <c r="AI39">
        <v>7.13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6</v>
      </c>
      <c r="AT39">
        <v>31.1</v>
      </c>
      <c r="AU39" t="s">
        <v>6</v>
      </c>
      <c r="AV39">
        <v>0</v>
      </c>
      <c r="AW39">
        <v>2</v>
      </c>
      <c r="AX39">
        <v>16631061</v>
      </c>
      <c r="AY39">
        <v>1</v>
      </c>
      <c r="AZ39">
        <v>0</v>
      </c>
      <c r="BA39">
        <v>47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Y39*Source!I39</f>
        <v>2.0215000000000001</v>
      </c>
      <c r="CY39">
        <f t="shared" si="2"/>
        <v>50.12</v>
      </c>
      <c r="CZ39">
        <f t="shared" si="3"/>
        <v>7.03</v>
      </c>
      <c r="DA39">
        <f t="shared" si="4"/>
        <v>7.13</v>
      </c>
      <c r="DB39">
        <f t="shared" si="5"/>
        <v>218.63</v>
      </c>
      <c r="DC39">
        <f t="shared" si="6"/>
        <v>0</v>
      </c>
    </row>
    <row r="40" spans="1:107" x14ac:dyDescent="0.2">
      <c r="A40">
        <f>ROW(Source!A39)</f>
        <v>39</v>
      </c>
      <c r="B40">
        <v>16630606</v>
      </c>
      <c r="C40">
        <v>16631042</v>
      </c>
      <c r="D40">
        <v>15197438</v>
      </c>
      <c r="E40">
        <v>1</v>
      </c>
      <c r="F40">
        <v>1</v>
      </c>
      <c r="G40">
        <v>1</v>
      </c>
      <c r="H40">
        <v>3</v>
      </c>
      <c r="I40" t="s">
        <v>85</v>
      </c>
      <c r="J40" t="s">
        <v>88</v>
      </c>
      <c r="K40" t="s">
        <v>86</v>
      </c>
      <c r="L40">
        <v>1327</v>
      </c>
      <c r="N40">
        <v>1005</v>
      </c>
      <c r="O40" t="s">
        <v>87</v>
      </c>
      <c r="P40" t="s">
        <v>87</v>
      </c>
      <c r="Q40">
        <v>1</v>
      </c>
      <c r="W40">
        <v>0</v>
      </c>
      <c r="X40">
        <v>-887076693</v>
      </c>
      <c r="Y40">
        <v>100</v>
      </c>
      <c r="AA40">
        <v>10184.14</v>
      </c>
      <c r="AB40">
        <v>0</v>
      </c>
      <c r="AC40">
        <v>0</v>
      </c>
      <c r="AD40">
        <v>0</v>
      </c>
      <c r="AE40">
        <v>1428.35</v>
      </c>
      <c r="AF40">
        <v>0</v>
      </c>
      <c r="AG40">
        <v>0</v>
      </c>
      <c r="AH40">
        <v>0</v>
      </c>
      <c r="AI40">
        <v>7.13</v>
      </c>
      <c r="AJ40">
        <v>1</v>
      </c>
      <c r="AK40">
        <v>1</v>
      </c>
      <c r="AL40">
        <v>1</v>
      </c>
      <c r="AN40">
        <v>0</v>
      </c>
      <c r="AO40">
        <v>0</v>
      </c>
      <c r="AP40">
        <v>0</v>
      </c>
      <c r="AQ40">
        <v>0</v>
      </c>
      <c r="AR40">
        <v>0</v>
      </c>
      <c r="AS40" t="s">
        <v>6</v>
      </c>
      <c r="AT40">
        <v>100</v>
      </c>
      <c r="AU40" t="s">
        <v>6</v>
      </c>
      <c r="AV40">
        <v>0</v>
      </c>
      <c r="AW40">
        <v>1</v>
      </c>
      <c r="AX40">
        <v>-1</v>
      </c>
      <c r="AY40">
        <v>0</v>
      </c>
      <c r="AZ40">
        <v>0</v>
      </c>
      <c r="BA40" t="s">
        <v>6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Y40*Source!I39</f>
        <v>6.5</v>
      </c>
      <c r="CY40">
        <f t="shared" si="2"/>
        <v>10184.14</v>
      </c>
      <c r="CZ40">
        <f t="shared" si="3"/>
        <v>1428.35</v>
      </c>
      <c r="DA40">
        <f t="shared" si="4"/>
        <v>7.13</v>
      </c>
      <c r="DB40">
        <f t="shared" si="5"/>
        <v>142835</v>
      </c>
      <c r="DC40">
        <f t="shared" si="6"/>
        <v>0</v>
      </c>
    </row>
    <row r="41" spans="1:107" x14ac:dyDescent="0.2">
      <c r="A41">
        <f>ROW(Source!A39)</f>
        <v>39</v>
      </c>
      <c r="B41">
        <v>16630606</v>
      </c>
      <c r="C41">
        <v>16631042</v>
      </c>
      <c r="D41">
        <v>15197780</v>
      </c>
      <c r="E41">
        <v>1</v>
      </c>
      <c r="F41">
        <v>1</v>
      </c>
      <c r="G41">
        <v>1</v>
      </c>
      <c r="H41">
        <v>3</v>
      </c>
      <c r="I41" t="s">
        <v>1195</v>
      </c>
      <c r="J41" t="s">
        <v>1196</v>
      </c>
      <c r="K41" t="s">
        <v>1197</v>
      </c>
      <c r="L41">
        <v>1355</v>
      </c>
      <c r="N41">
        <v>1010</v>
      </c>
      <c r="O41" t="s">
        <v>243</v>
      </c>
      <c r="P41" t="s">
        <v>243</v>
      </c>
      <c r="Q41">
        <v>100</v>
      </c>
      <c r="W41">
        <v>0</v>
      </c>
      <c r="X41">
        <v>1709713925</v>
      </c>
      <c r="Y41">
        <v>8</v>
      </c>
      <c r="AA41">
        <v>356.5</v>
      </c>
      <c r="AB41">
        <v>0</v>
      </c>
      <c r="AC41">
        <v>0</v>
      </c>
      <c r="AD41">
        <v>0</v>
      </c>
      <c r="AE41">
        <v>50</v>
      </c>
      <c r="AF41">
        <v>0</v>
      </c>
      <c r="AG41">
        <v>0</v>
      </c>
      <c r="AH41">
        <v>0</v>
      </c>
      <c r="AI41">
        <v>7.13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8</v>
      </c>
      <c r="AU41" t="s">
        <v>6</v>
      </c>
      <c r="AV41">
        <v>0</v>
      </c>
      <c r="AW41">
        <v>2</v>
      </c>
      <c r="AX41">
        <v>16631063</v>
      </c>
      <c r="AY41">
        <v>1</v>
      </c>
      <c r="AZ41">
        <v>0</v>
      </c>
      <c r="BA41">
        <v>49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Y41*Source!I39</f>
        <v>0.52</v>
      </c>
      <c r="CY41">
        <f t="shared" si="2"/>
        <v>356.5</v>
      </c>
      <c r="CZ41">
        <f t="shared" si="3"/>
        <v>50</v>
      </c>
      <c r="DA41">
        <f t="shared" si="4"/>
        <v>7.13</v>
      </c>
      <c r="DB41">
        <f t="shared" si="5"/>
        <v>400</v>
      </c>
      <c r="DC41">
        <f t="shared" si="6"/>
        <v>0</v>
      </c>
    </row>
    <row r="42" spans="1:107" x14ac:dyDescent="0.2">
      <c r="A42">
        <f>ROW(Source!A39)</f>
        <v>39</v>
      </c>
      <c r="B42">
        <v>16630606</v>
      </c>
      <c r="C42">
        <v>16631042</v>
      </c>
      <c r="D42">
        <v>15204239</v>
      </c>
      <c r="E42">
        <v>1</v>
      </c>
      <c r="F42">
        <v>1</v>
      </c>
      <c r="G42">
        <v>1</v>
      </c>
      <c r="H42">
        <v>3</v>
      </c>
      <c r="I42" t="s">
        <v>1198</v>
      </c>
      <c r="J42" t="s">
        <v>1199</v>
      </c>
      <c r="K42" t="s">
        <v>1200</v>
      </c>
      <c r="L42">
        <v>1354</v>
      </c>
      <c r="N42">
        <v>1010</v>
      </c>
      <c r="O42" t="s">
        <v>132</v>
      </c>
      <c r="P42" t="s">
        <v>132</v>
      </c>
      <c r="Q42">
        <v>1</v>
      </c>
      <c r="W42">
        <v>0</v>
      </c>
      <c r="X42">
        <v>-1018551266</v>
      </c>
      <c r="Y42">
        <v>70.3</v>
      </c>
      <c r="AA42">
        <v>477.71</v>
      </c>
      <c r="AB42">
        <v>0</v>
      </c>
      <c r="AC42">
        <v>0</v>
      </c>
      <c r="AD42">
        <v>0</v>
      </c>
      <c r="AE42">
        <v>67</v>
      </c>
      <c r="AF42">
        <v>0</v>
      </c>
      <c r="AG42">
        <v>0</v>
      </c>
      <c r="AH42">
        <v>0</v>
      </c>
      <c r="AI42">
        <v>7.13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70.3</v>
      </c>
      <c r="AU42" t="s">
        <v>6</v>
      </c>
      <c r="AV42">
        <v>0</v>
      </c>
      <c r="AW42">
        <v>2</v>
      </c>
      <c r="AX42">
        <v>16631064</v>
      </c>
      <c r="AY42">
        <v>1</v>
      </c>
      <c r="AZ42">
        <v>0</v>
      </c>
      <c r="BA42">
        <v>50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Y42*Source!I39</f>
        <v>4.5694999999999997</v>
      </c>
      <c r="CY42">
        <f t="shared" si="2"/>
        <v>477.71</v>
      </c>
      <c r="CZ42">
        <f t="shared" si="3"/>
        <v>67</v>
      </c>
      <c r="DA42">
        <f t="shared" si="4"/>
        <v>7.13</v>
      </c>
      <c r="DB42">
        <f t="shared" si="5"/>
        <v>4710.1000000000004</v>
      </c>
      <c r="DC42">
        <f t="shared" si="6"/>
        <v>0</v>
      </c>
    </row>
    <row r="43" spans="1:107" x14ac:dyDescent="0.2">
      <c r="A43">
        <f>ROW(Source!A41)</f>
        <v>41</v>
      </c>
      <c r="B43">
        <v>16630606</v>
      </c>
      <c r="C43">
        <v>16631209</v>
      </c>
      <c r="D43">
        <v>15436014</v>
      </c>
      <c r="E43">
        <v>1</v>
      </c>
      <c r="F43">
        <v>1</v>
      </c>
      <c r="G43">
        <v>1</v>
      </c>
      <c r="H43">
        <v>1</v>
      </c>
      <c r="I43" t="s">
        <v>1181</v>
      </c>
      <c r="J43" t="s">
        <v>6</v>
      </c>
      <c r="K43" t="s">
        <v>1182</v>
      </c>
      <c r="L43">
        <v>1191</v>
      </c>
      <c r="N43">
        <v>1013</v>
      </c>
      <c r="O43" t="s">
        <v>1148</v>
      </c>
      <c r="P43" t="s">
        <v>1148</v>
      </c>
      <c r="Q43">
        <v>1</v>
      </c>
      <c r="W43">
        <v>0</v>
      </c>
      <c r="X43">
        <v>-784637506</v>
      </c>
      <c r="Y43">
        <v>17.16</v>
      </c>
      <c r="AA43">
        <v>0</v>
      </c>
      <c r="AB43">
        <v>0</v>
      </c>
      <c r="AC43">
        <v>0</v>
      </c>
      <c r="AD43">
        <v>62.32</v>
      </c>
      <c r="AE43">
        <v>0</v>
      </c>
      <c r="AF43">
        <v>0</v>
      </c>
      <c r="AG43">
        <v>0</v>
      </c>
      <c r="AH43">
        <v>8.74</v>
      </c>
      <c r="AI43">
        <v>1</v>
      </c>
      <c r="AJ43">
        <v>1</v>
      </c>
      <c r="AK43">
        <v>1</v>
      </c>
      <c r="AL43">
        <v>7.13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6</v>
      </c>
      <c r="AT43">
        <v>17.16</v>
      </c>
      <c r="AU43" t="s">
        <v>6</v>
      </c>
      <c r="AV43">
        <v>1</v>
      </c>
      <c r="AW43">
        <v>2</v>
      </c>
      <c r="AX43">
        <v>16631219</v>
      </c>
      <c r="AY43">
        <v>1</v>
      </c>
      <c r="AZ43">
        <v>0</v>
      </c>
      <c r="BA43">
        <v>51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Y43*Source!I41</f>
        <v>2.8005120000000003</v>
      </c>
      <c r="CY43">
        <f>AD43</f>
        <v>62.32</v>
      </c>
      <c r="CZ43">
        <f>AH43</f>
        <v>8.74</v>
      </c>
      <c r="DA43">
        <f>AL43</f>
        <v>7.13</v>
      </c>
      <c r="DB43">
        <f t="shared" si="5"/>
        <v>149.97999999999999</v>
      </c>
      <c r="DC43">
        <f t="shared" si="6"/>
        <v>0</v>
      </c>
    </row>
    <row r="44" spans="1:107" x14ac:dyDescent="0.2">
      <c r="A44">
        <f>ROW(Source!A41)</f>
        <v>41</v>
      </c>
      <c r="B44">
        <v>16630606</v>
      </c>
      <c r="C44">
        <v>16631209</v>
      </c>
      <c r="D44">
        <v>15430395</v>
      </c>
      <c r="E44">
        <v>1</v>
      </c>
      <c r="F44">
        <v>1</v>
      </c>
      <c r="G44">
        <v>1</v>
      </c>
      <c r="H44">
        <v>1</v>
      </c>
      <c r="I44" t="s">
        <v>1149</v>
      </c>
      <c r="J44" t="s">
        <v>6</v>
      </c>
      <c r="K44" t="s">
        <v>1150</v>
      </c>
      <c r="L44">
        <v>1191</v>
      </c>
      <c r="N44">
        <v>1013</v>
      </c>
      <c r="O44" t="s">
        <v>1148</v>
      </c>
      <c r="P44" t="s">
        <v>1148</v>
      </c>
      <c r="Q44">
        <v>1</v>
      </c>
      <c r="W44">
        <v>0</v>
      </c>
      <c r="X44">
        <v>-1417349443</v>
      </c>
      <c r="Y44">
        <v>0.04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7.13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0.04</v>
      </c>
      <c r="AU44" t="s">
        <v>6</v>
      </c>
      <c r="AV44">
        <v>2</v>
      </c>
      <c r="AW44">
        <v>2</v>
      </c>
      <c r="AX44">
        <v>16631220</v>
      </c>
      <c r="AY44">
        <v>1</v>
      </c>
      <c r="AZ44">
        <v>0</v>
      </c>
      <c r="BA44">
        <v>52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Y44*Source!I41</f>
        <v>6.5280000000000008E-3</v>
      </c>
      <c r="CY44">
        <f>AD44</f>
        <v>0</v>
      </c>
      <c r="CZ44">
        <f>AH44</f>
        <v>0</v>
      </c>
      <c r="DA44">
        <f>AL44</f>
        <v>1</v>
      </c>
      <c r="DB44">
        <f t="shared" si="5"/>
        <v>0</v>
      </c>
      <c r="DC44">
        <f t="shared" si="6"/>
        <v>0</v>
      </c>
    </row>
    <row r="45" spans="1:107" x14ac:dyDescent="0.2">
      <c r="A45">
        <f>ROW(Source!A41)</f>
        <v>41</v>
      </c>
      <c r="B45">
        <v>16630606</v>
      </c>
      <c r="C45">
        <v>16631209</v>
      </c>
      <c r="D45">
        <v>15247878</v>
      </c>
      <c r="E45">
        <v>1</v>
      </c>
      <c r="F45">
        <v>1</v>
      </c>
      <c r="G45">
        <v>1</v>
      </c>
      <c r="H45">
        <v>2</v>
      </c>
      <c r="I45" t="s">
        <v>1201</v>
      </c>
      <c r="J45" t="s">
        <v>1202</v>
      </c>
      <c r="K45" t="s">
        <v>1203</v>
      </c>
      <c r="L45">
        <v>1368</v>
      </c>
      <c r="N45">
        <v>1011</v>
      </c>
      <c r="O45" t="s">
        <v>1154</v>
      </c>
      <c r="P45" t="s">
        <v>1154</v>
      </c>
      <c r="Q45">
        <v>1</v>
      </c>
      <c r="W45">
        <v>0</v>
      </c>
      <c r="X45">
        <v>1047452784</v>
      </c>
      <c r="Y45">
        <v>0.1</v>
      </c>
      <c r="AA45">
        <v>0</v>
      </c>
      <c r="AB45">
        <v>12.12</v>
      </c>
      <c r="AC45">
        <v>0</v>
      </c>
      <c r="AD45">
        <v>0</v>
      </c>
      <c r="AE45">
        <v>0</v>
      </c>
      <c r="AF45">
        <v>1.7</v>
      </c>
      <c r="AG45">
        <v>0</v>
      </c>
      <c r="AH45">
        <v>0</v>
      </c>
      <c r="AI45">
        <v>1</v>
      </c>
      <c r="AJ45">
        <v>7.13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6</v>
      </c>
      <c r="AT45">
        <v>0.1</v>
      </c>
      <c r="AU45" t="s">
        <v>6</v>
      </c>
      <c r="AV45">
        <v>0</v>
      </c>
      <c r="AW45">
        <v>2</v>
      </c>
      <c r="AX45">
        <v>16631221</v>
      </c>
      <c r="AY45">
        <v>1</v>
      </c>
      <c r="AZ45">
        <v>0</v>
      </c>
      <c r="BA45">
        <v>53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Y45*Source!I41</f>
        <v>1.6320000000000001E-2</v>
      </c>
      <c r="CY45">
        <f>AB45</f>
        <v>12.12</v>
      </c>
      <c r="CZ45">
        <f>AF45</f>
        <v>1.7</v>
      </c>
      <c r="DA45">
        <f>AJ45</f>
        <v>7.13</v>
      </c>
      <c r="DB45">
        <f t="shared" si="5"/>
        <v>0.17</v>
      </c>
      <c r="DC45">
        <f t="shared" si="6"/>
        <v>0</v>
      </c>
    </row>
    <row r="46" spans="1:107" x14ac:dyDescent="0.2">
      <c r="A46">
        <f>ROW(Source!A41)</f>
        <v>41</v>
      </c>
      <c r="B46">
        <v>16630606</v>
      </c>
      <c r="C46">
        <v>16631209</v>
      </c>
      <c r="D46">
        <v>15249073</v>
      </c>
      <c r="E46">
        <v>1</v>
      </c>
      <c r="F46">
        <v>1</v>
      </c>
      <c r="G46">
        <v>1</v>
      </c>
      <c r="H46">
        <v>2</v>
      </c>
      <c r="I46" t="s">
        <v>1157</v>
      </c>
      <c r="J46" t="s">
        <v>1158</v>
      </c>
      <c r="K46" t="s">
        <v>1159</v>
      </c>
      <c r="L46">
        <v>1368</v>
      </c>
      <c r="N46">
        <v>1011</v>
      </c>
      <c r="O46" t="s">
        <v>1154</v>
      </c>
      <c r="P46" t="s">
        <v>1154</v>
      </c>
      <c r="Q46">
        <v>1</v>
      </c>
      <c r="W46">
        <v>0</v>
      </c>
      <c r="X46">
        <v>1372534845</v>
      </c>
      <c r="Y46">
        <v>0.04</v>
      </c>
      <c r="AA46">
        <v>0</v>
      </c>
      <c r="AB46">
        <v>468.51</v>
      </c>
      <c r="AC46">
        <v>11.6</v>
      </c>
      <c r="AD46">
        <v>0</v>
      </c>
      <c r="AE46">
        <v>0</v>
      </c>
      <c r="AF46">
        <v>65.709999999999994</v>
      </c>
      <c r="AG46">
        <v>11.6</v>
      </c>
      <c r="AH46">
        <v>0</v>
      </c>
      <c r="AI46">
        <v>1</v>
      </c>
      <c r="AJ46">
        <v>7.13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0.04</v>
      </c>
      <c r="AU46" t="s">
        <v>6</v>
      </c>
      <c r="AV46">
        <v>0</v>
      </c>
      <c r="AW46">
        <v>2</v>
      </c>
      <c r="AX46">
        <v>16631222</v>
      </c>
      <c r="AY46">
        <v>1</v>
      </c>
      <c r="AZ46">
        <v>0</v>
      </c>
      <c r="BA46">
        <v>54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Y46*Source!I41</f>
        <v>6.5280000000000008E-3</v>
      </c>
      <c r="CY46">
        <f>AB46</f>
        <v>468.51</v>
      </c>
      <c r="CZ46">
        <f>AF46</f>
        <v>65.709999999999994</v>
      </c>
      <c r="DA46">
        <f>AJ46</f>
        <v>7.13</v>
      </c>
      <c r="DB46">
        <f t="shared" si="5"/>
        <v>2.63</v>
      </c>
      <c r="DC46">
        <f t="shared" si="6"/>
        <v>0.46</v>
      </c>
    </row>
    <row r="47" spans="1:107" x14ac:dyDescent="0.2">
      <c r="A47">
        <f>ROW(Source!A41)</f>
        <v>41</v>
      </c>
      <c r="B47">
        <v>16630606</v>
      </c>
      <c r="C47">
        <v>16631209</v>
      </c>
      <c r="D47">
        <v>15171018</v>
      </c>
      <c r="E47">
        <v>1</v>
      </c>
      <c r="F47">
        <v>1</v>
      </c>
      <c r="G47">
        <v>1</v>
      </c>
      <c r="H47">
        <v>3</v>
      </c>
      <c r="I47" t="s">
        <v>1204</v>
      </c>
      <c r="J47" t="s">
        <v>1205</v>
      </c>
      <c r="K47" t="s">
        <v>1206</v>
      </c>
      <c r="L47">
        <v>1346</v>
      </c>
      <c r="N47">
        <v>1009</v>
      </c>
      <c r="O47" t="s">
        <v>102</v>
      </c>
      <c r="P47" t="s">
        <v>102</v>
      </c>
      <c r="Q47">
        <v>1</v>
      </c>
      <c r="W47">
        <v>0</v>
      </c>
      <c r="X47">
        <v>813963326</v>
      </c>
      <c r="Y47">
        <v>0.01</v>
      </c>
      <c r="AA47">
        <v>12.98</v>
      </c>
      <c r="AB47">
        <v>0</v>
      </c>
      <c r="AC47">
        <v>0</v>
      </c>
      <c r="AD47">
        <v>0</v>
      </c>
      <c r="AE47">
        <v>1.82</v>
      </c>
      <c r="AF47">
        <v>0</v>
      </c>
      <c r="AG47">
        <v>0</v>
      </c>
      <c r="AH47">
        <v>0</v>
      </c>
      <c r="AI47">
        <v>7.13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6</v>
      </c>
      <c r="AT47">
        <v>0.01</v>
      </c>
      <c r="AU47" t="s">
        <v>6</v>
      </c>
      <c r="AV47">
        <v>0</v>
      </c>
      <c r="AW47">
        <v>2</v>
      </c>
      <c r="AX47">
        <v>16631223</v>
      </c>
      <c r="AY47">
        <v>1</v>
      </c>
      <c r="AZ47">
        <v>0</v>
      </c>
      <c r="BA47">
        <v>55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Y47*Source!I41</f>
        <v>1.6320000000000002E-3</v>
      </c>
      <c r="CY47">
        <f>AA47</f>
        <v>12.98</v>
      </c>
      <c r="CZ47">
        <f>AE47</f>
        <v>1.82</v>
      </c>
      <c r="DA47">
        <f>AI47</f>
        <v>7.13</v>
      </c>
      <c r="DB47">
        <f t="shared" si="5"/>
        <v>0.02</v>
      </c>
      <c r="DC47">
        <f t="shared" si="6"/>
        <v>0</v>
      </c>
    </row>
    <row r="48" spans="1:107" x14ac:dyDescent="0.2">
      <c r="A48">
        <f>ROW(Source!A41)</f>
        <v>41</v>
      </c>
      <c r="B48">
        <v>16630606</v>
      </c>
      <c r="C48">
        <v>16631209</v>
      </c>
      <c r="D48">
        <v>15171150</v>
      </c>
      <c r="E48">
        <v>1</v>
      </c>
      <c r="F48">
        <v>1</v>
      </c>
      <c r="G48">
        <v>1</v>
      </c>
      <c r="H48">
        <v>3</v>
      </c>
      <c r="I48" t="s">
        <v>1207</v>
      </c>
      <c r="J48" t="s">
        <v>1208</v>
      </c>
      <c r="K48" t="s">
        <v>1209</v>
      </c>
      <c r="L48">
        <v>1348</v>
      </c>
      <c r="N48">
        <v>1009</v>
      </c>
      <c r="O48" t="s">
        <v>98</v>
      </c>
      <c r="P48" t="s">
        <v>98</v>
      </c>
      <c r="Q48">
        <v>1000</v>
      </c>
      <c r="W48">
        <v>0</v>
      </c>
      <c r="X48">
        <v>-806119104</v>
      </c>
      <c r="Y48">
        <v>1.4500000000000001E-2</v>
      </c>
      <c r="AA48">
        <v>19497.7</v>
      </c>
      <c r="AB48">
        <v>0</v>
      </c>
      <c r="AC48">
        <v>0</v>
      </c>
      <c r="AD48">
        <v>0</v>
      </c>
      <c r="AE48">
        <v>2734.6</v>
      </c>
      <c r="AF48">
        <v>0</v>
      </c>
      <c r="AG48">
        <v>0</v>
      </c>
      <c r="AH48">
        <v>0</v>
      </c>
      <c r="AI48">
        <v>7.13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6</v>
      </c>
      <c r="AT48">
        <v>1.4500000000000001E-2</v>
      </c>
      <c r="AU48" t="s">
        <v>6</v>
      </c>
      <c r="AV48">
        <v>0</v>
      </c>
      <c r="AW48">
        <v>2</v>
      </c>
      <c r="AX48">
        <v>16631224</v>
      </c>
      <c r="AY48">
        <v>1</v>
      </c>
      <c r="AZ48">
        <v>0</v>
      </c>
      <c r="BA48">
        <v>56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Y48*Source!I41</f>
        <v>2.3664000000000003E-3</v>
      </c>
      <c r="CY48">
        <f>AA48</f>
        <v>19497.7</v>
      </c>
      <c r="CZ48">
        <f>AE48</f>
        <v>2734.6</v>
      </c>
      <c r="DA48">
        <f>AI48</f>
        <v>7.13</v>
      </c>
      <c r="DB48">
        <f t="shared" si="5"/>
        <v>39.65</v>
      </c>
      <c r="DC48">
        <f t="shared" si="6"/>
        <v>0</v>
      </c>
    </row>
    <row r="49" spans="1:107" x14ac:dyDescent="0.2">
      <c r="A49">
        <f>ROW(Source!A41)</f>
        <v>41</v>
      </c>
      <c r="B49">
        <v>16630606</v>
      </c>
      <c r="C49">
        <v>16631209</v>
      </c>
      <c r="D49">
        <v>15171907</v>
      </c>
      <c r="E49">
        <v>1</v>
      </c>
      <c r="F49">
        <v>1</v>
      </c>
      <c r="G49">
        <v>1</v>
      </c>
      <c r="H49">
        <v>3</v>
      </c>
      <c r="I49" t="s">
        <v>1210</v>
      </c>
      <c r="J49" t="s">
        <v>1211</v>
      </c>
      <c r="K49" t="s">
        <v>1212</v>
      </c>
      <c r="L49">
        <v>1339</v>
      </c>
      <c r="N49">
        <v>1007</v>
      </c>
      <c r="O49" t="s">
        <v>203</v>
      </c>
      <c r="P49" t="s">
        <v>203</v>
      </c>
      <c r="Q49">
        <v>1</v>
      </c>
      <c r="W49">
        <v>0</v>
      </c>
      <c r="X49">
        <v>1795918813</v>
      </c>
      <c r="Y49">
        <v>3.0000000000000001E-3</v>
      </c>
      <c r="AA49">
        <v>531.76</v>
      </c>
      <c r="AB49">
        <v>0</v>
      </c>
      <c r="AC49">
        <v>0</v>
      </c>
      <c r="AD49">
        <v>0</v>
      </c>
      <c r="AE49">
        <v>74.58</v>
      </c>
      <c r="AF49">
        <v>0</v>
      </c>
      <c r="AG49">
        <v>0</v>
      </c>
      <c r="AH49">
        <v>0</v>
      </c>
      <c r="AI49">
        <v>7.13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6</v>
      </c>
      <c r="AT49">
        <v>3.0000000000000001E-3</v>
      </c>
      <c r="AU49" t="s">
        <v>6</v>
      </c>
      <c r="AV49">
        <v>0</v>
      </c>
      <c r="AW49">
        <v>2</v>
      </c>
      <c r="AX49">
        <v>16631225</v>
      </c>
      <c r="AY49">
        <v>1</v>
      </c>
      <c r="AZ49">
        <v>0</v>
      </c>
      <c r="BA49">
        <v>57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Y49*Source!I41</f>
        <v>4.8960000000000008E-4</v>
      </c>
      <c r="CY49">
        <f>AA49</f>
        <v>531.76</v>
      </c>
      <c r="CZ49">
        <f>AE49</f>
        <v>74.58</v>
      </c>
      <c r="DA49">
        <f>AI49</f>
        <v>7.13</v>
      </c>
      <c r="DB49">
        <f t="shared" si="5"/>
        <v>0.22</v>
      </c>
      <c r="DC49">
        <f t="shared" si="6"/>
        <v>0</v>
      </c>
    </row>
    <row r="50" spans="1:107" x14ac:dyDescent="0.2">
      <c r="A50">
        <f>ROW(Source!A41)</f>
        <v>41</v>
      </c>
      <c r="B50">
        <v>16630606</v>
      </c>
      <c r="C50">
        <v>16631209</v>
      </c>
      <c r="D50">
        <v>15163051</v>
      </c>
      <c r="E50">
        <v>17</v>
      </c>
      <c r="F50">
        <v>1</v>
      </c>
      <c r="G50">
        <v>1</v>
      </c>
      <c r="H50">
        <v>3</v>
      </c>
      <c r="I50" t="s">
        <v>96</v>
      </c>
      <c r="J50" t="s">
        <v>6</v>
      </c>
      <c r="K50" t="s">
        <v>97</v>
      </c>
      <c r="L50">
        <v>1348</v>
      </c>
      <c r="N50">
        <v>1009</v>
      </c>
      <c r="O50" t="s">
        <v>98</v>
      </c>
      <c r="P50" t="s">
        <v>98</v>
      </c>
      <c r="Q50">
        <v>1000</v>
      </c>
      <c r="W50">
        <v>0</v>
      </c>
      <c r="X50">
        <v>-2007682757</v>
      </c>
      <c r="Y50">
        <v>1.4E-2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7.13</v>
      </c>
      <c r="AJ50">
        <v>1</v>
      </c>
      <c r="AK50">
        <v>1</v>
      </c>
      <c r="AL50">
        <v>1</v>
      </c>
      <c r="AN50">
        <v>0</v>
      </c>
      <c r="AO50">
        <v>0</v>
      </c>
      <c r="AP50">
        <v>0</v>
      </c>
      <c r="AQ50">
        <v>0</v>
      </c>
      <c r="AR50">
        <v>0</v>
      </c>
      <c r="AS50" t="s">
        <v>6</v>
      </c>
      <c r="AT50">
        <v>1.4E-2</v>
      </c>
      <c r="AU50" t="s">
        <v>6</v>
      </c>
      <c r="AV50">
        <v>0</v>
      </c>
      <c r="AW50">
        <v>2</v>
      </c>
      <c r="AX50">
        <v>16631226</v>
      </c>
      <c r="AY50">
        <v>1</v>
      </c>
      <c r="AZ50">
        <v>0</v>
      </c>
      <c r="BA50">
        <v>58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Y50*Source!I41</f>
        <v>2.2848E-3</v>
      </c>
      <c r="CY50">
        <f>AA50</f>
        <v>0</v>
      </c>
      <c r="CZ50">
        <f>AE50</f>
        <v>0</v>
      </c>
      <c r="DA50">
        <f>AI50</f>
        <v>7.13</v>
      </c>
      <c r="DB50">
        <f t="shared" si="5"/>
        <v>0</v>
      </c>
      <c r="DC50">
        <f t="shared" si="6"/>
        <v>0</v>
      </c>
    </row>
    <row r="51" spans="1:107" x14ac:dyDescent="0.2">
      <c r="A51">
        <f>ROW(Source!A41)</f>
        <v>41</v>
      </c>
      <c r="B51">
        <v>16630606</v>
      </c>
      <c r="C51">
        <v>16631209</v>
      </c>
      <c r="D51">
        <v>15203427</v>
      </c>
      <c r="E51">
        <v>1</v>
      </c>
      <c r="F51">
        <v>1</v>
      </c>
      <c r="G51">
        <v>1</v>
      </c>
      <c r="H51">
        <v>3</v>
      </c>
      <c r="I51" t="s">
        <v>100</v>
      </c>
      <c r="J51" t="s">
        <v>103</v>
      </c>
      <c r="K51" t="s">
        <v>101</v>
      </c>
      <c r="L51">
        <v>1346</v>
      </c>
      <c r="N51">
        <v>1009</v>
      </c>
      <c r="O51" t="s">
        <v>102</v>
      </c>
      <c r="P51" t="s">
        <v>102</v>
      </c>
      <c r="Q51">
        <v>1</v>
      </c>
      <c r="W51">
        <v>0</v>
      </c>
      <c r="X51">
        <v>-826844531</v>
      </c>
      <c r="Y51">
        <v>14</v>
      </c>
      <c r="AA51">
        <v>557.85</v>
      </c>
      <c r="AB51">
        <v>0</v>
      </c>
      <c r="AC51">
        <v>0</v>
      </c>
      <c r="AD51">
        <v>0</v>
      </c>
      <c r="AE51">
        <v>78.239999999999995</v>
      </c>
      <c r="AF51">
        <v>0</v>
      </c>
      <c r="AG51">
        <v>0</v>
      </c>
      <c r="AH51">
        <v>0</v>
      </c>
      <c r="AI51">
        <v>7.13</v>
      </c>
      <c r="AJ51">
        <v>1</v>
      </c>
      <c r="AK51">
        <v>1</v>
      </c>
      <c r="AL51">
        <v>1</v>
      </c>
      <c r="AN51">
        <v>0</v>
      </c>
      <c r="AO51">
        <v>0</v>
      </c>
      <c r="AP51">
        <v>0</v>
      </c>
      <c r="AQ51">
        <v>0</v>
      </c>
      <c r="AR51">
        <v>0</v>
      </c>
      <c r="AS51" t="s">
        <v>6</v>
      </c>
      <c r="AT51">
        <v>14</v>
      </c>
      <c r="AU51" t="s">
        <v>6</v>
      </c>
      <c r="AV51">
        <v>0</v>
      </c>
      <c r="AW51">
        <v>1</v>
      </c>
      <c r="AX51">
        <v>-1</v>
      </c>
      <c r="AY51">
        <v>0</v>
      </c>
      <c r="AZ51">
        <v>0</v>
      </c>
      <c r="BA51" t="s">
        <v>6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Y51*Source!I41</f>
        <v>2.2848000000000002</v>
      </c>
      <c r="CY51">
        <f>AA51</f>
        <v>557.85</v>
      </c>
      <c r="CZ51">
        <f>AE51</f>
        <v>78.239999999999995</v>
      </c>
      <c r="DA51">
        <f>AI51</f>
        <v>7.13</v>
      </c>
      <c r="DB51">
        <f t="shared" si="5"/>
        <v>1095.3599999999999</v>
      </c>
      <c r="DC51">
        <f t="shared" si="6"/>
        <v>0</v>
      </c>
    </row>
    <row r="52" spans="1:107" x14ac:dyDescent="0.2">
      <c r="A52">
        <f>ROW(Source!A44)</f>
        <v>44</v>
      </c>
      <c r="B52">
        <v>16630606</v>
      </c>
      <c r="C52">
        <v>16631229</v>
      </c>
      <c r="D52">
        <v>15435683</v>
      </c>
      <c r="E52">
        <v>1</v>
      </c>
      <c r="F52">
        <v>1</v>
      </c>
      <c r="G52">
        <v>1</v>
      </c>
      <c r="H52">
        <v>1</v>
      </c>
      <c r="I52" t="s">
        <v>1213</v>
      </c>
      <c r="J52" t="s">
        <v>6</v>
      </c>
      <c r="K52" t="s">
        <v>1214</v>
      </c>
      <c r="L52">
        <v>1191</v>
      </c>
      <c r="N52">
        <v>1013</v>
      </c>
      <c r="O52" t="s">
        <v>1148</v>
      </c>
      <c r="P52" t="s">
        <v>1148</v>
      </c>
      <c r="Q52">
        <v>1</v>
      </c>
      <c r="W52">
        <v>0</v>
      </c>
      <c r="X52">
        <v>-598469600</v>
      </c>
      <c r="Y52">
        <v>14.719999999999999</v>
      </c>
      <c r="AA52">
        <v>0</v>
      </c>
      <c r="AB52">
        <v>0</v>
      </c>
      <c r="AC52">
        <v>0</v>
      </c>
      <c r="AD52">
        <v>66.239999999999995</v>
      </c>
      <c r="AE52">
        <v>0</v>
      </c>
      <c r="AF52">
        <v>0</v>
      </c>
      <c r="AG52">
        <v>0</v>
      </c>
      <c r="AH52">
        <v>9.2899999999999991</v>
      </c>
      <c r="AI52">
        <v>1</v>
      </c>
      <c r="AJ52">
        <v>1</v>
      </c>
      <c r="AK52">
        <v>1</v>
      </c>
      <c r="AL52">
        <v>7.13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6</v>
      </c>
      <c r="AT52">
        <v>12.8</v>
      </c>
      <c r="AU52" t="s">
        <v>82</v>
      </c>
      <c r="AV52">
        <v>1</v>
      </c>
      <c r="AW52">
        <v>2</v>
      </c>
      <c r="AX52">
        <v>16631234</v>
      </c>
      <c r="AY52">
        <v>1</v>
      </c>
      <c r="AZ52">
        <v>0</v>
      </c>
      <c r="BA52">
        <v>59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Y52*Source!I44</f>
        <v>1.1776</v>
      </c>
      <c r="CY52">
        <f>AD52</f>
        <v>66.239999999999995</v>
      </c>
      <c r="CZ52">
        <f>AH52</f>
        <v>9.2899999999999991</v>
      </c>
      <c r="DA52">
        <f>AL52</f>
        <v>7.13</v>
      </c>
      <c r="DB52">
        <f>ROUND((ROUND(AT52*CZ52,2)*1.15),2)</f>
        <v>136.75</v>
      </c>
      <c r="DC52">
        <f>ROUND((ROUND(AT52*AG52,2)*1.15),2)</f>
        <v>0</v>
      </c>
    </row>
    <row r="53" spans="1:107" x14ac:dyDescent="0.2">
      <c r="A53">
        <f>ROW(Source!A44)</f>
        <v>44</v>
      </c>
      <c r="B53">
        <v>16630606</v>
      </c>
      <c r="C53">
        <v>16631229</v>
      </c>
      <c r="D53">
        <v>15430395</v>
      </c>
      <c r="E53">
        <v>1</v>
      </c>
      <c r="F53">
        <v>1</v>
      </c>
      <c r="G53">
        <v>1</v>
      </c>
      <c r="H53">
        <v>1</v>
      </c>
      <c r="I53" t="s">
        <v>1149</v>
      </c>
      <c r="J53" t="s">
        <v>6</v>
      </c>
      <c r="K53" t="s">
        <v>1150</v>
      </c>
      <c r="L53">
        <v>1191</v>
      </c>
      <c r="N53">
        <v>1013</v>
      </c>
      <c r="O53" t="s">
        <v>1148</v>
      </c>
      <c r="P53" t="s">
        <v>1148</v>
      </c>
      <c r="Q53">
        <v>1</v>
      </c>
      <c r="W53">
        <v>0</v>
      </c>
      <c r="X53">
        <v>-1417349443</v>
      </c>
      <c r="Y53">
        <v>0.05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7.13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6</v>
      </c>
      <c r="AT53">
        <v>0.05</v>
      </c>
      <c r="AU53" t="s">
        <v>6</v>
      </c>
      <c r="AV53">
        <v>2</v>
      </c>
      <c r="AW53">
        <v>2</v>
      </c>
      <c r="AX53">
        <v>16631235</v>
      </c>
      <c r="AY53">
        <v>1</v>
      </c>
      <c r="AZ53">
        <v>2048</v>
      </c>
      <c r="BA53">
        <v>60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Y53*Source!I44</f>
        <v>4.0000000000000001E-3</v>
      </c>
      <c r="CY53">
        <f>AD53</f>
        <v>0</v>
      </c>
      <c r="CZ53">
        <f>AH53</f>
        <v>0</v>
      </c>
      <c r="DA53">
        <f>AL53</f>
        <v>1</v>
      </c>
      <c r="DB53">
        <f>ROUND(ROUND(AT53*CZ53,2),2)</f>
        <v>0</v>
      </c>
      <c r="DC53">
        <f>ROUND(ROUND(AT53*AG53,2),2)</f>
        <v>0</v>
      </c>
    </row>
    <row r="54" spans="1:107" x14ac:dyDescent="0.2">
      <c r="A54">
        <f>ROW(Source!A44)</f>
        <v>44</v>
      </c>
      <c r="B54">
        <v>16630606</v>
      </c>
      <c r="C54">
        <v>16631229</v>
      </c>
      <c r="D54">
        <v>15249073</v>
      </c>
      <c r="E54">
        <v>1</v>
      </c>
      <c r="F54">
        <v>1</v>
      </c>
      <c r="G54">
        <v>1</v>
      </c>
      <c r="H54">
        <v>2</v>
      </c>
      <c r="I54" t="s">
        <v>1157</v>
      </c>
      <c r="J54" t="s">
        <v>1158</v>
      </c>
      <c r="K54" t="s">
        <v>1159</v>
      </c>
      <c r="L54">
        <v>1368</v>
      </c>
      <c r="N54">
        <v>1011</v>
      </c>
      <c r="O54" t="s">
        <v>1154</v>
      </c>
      <c r="P54" t="s">
        <v>1154</v>
      </c>
      <c r="Q54">
        <v>1</v>
      </c>
      <c r="W54">
        <v>0</v>
      </c>
      <c r="X54">
        <v>1372534845</v>
      </c>
      <c r="Y54">
        <v>6.25E-2</v>
      </c>
      <c r="AA54">
        <v>0</v>
      </c>
      <c r="AB54">
        <v>468.51</v>
      </c>
      <c r="AC54">
        <v>11.6</v>
      </c>
      <c r="AD54">
        <v>0</v>
      </c>
      <c r="AE54">
        <v>0</v>
      </c>
      <c r="AF54">
        <v>65.709999999999994</v>
      </c>
      <c r="AG54">
        <v>11.6</v>
      </c>
      <c r="AH54">
        <v>0</v>
      </c>
      <c r="AI54">
        <v>1</v>
      </c>
      <c r="AJ54">
        <v>7.13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</v>
      </c>
      <c r="AT54">
        <v>0.05</v>
      </c>
      <c r="AU54" t="s">
        <v>81</v>
      </c>
      <c r="AV54">
        <v>0</v>
      </c>
      <c r="AW54">
        <v>2</v>
      </c>
      <c r="AX54">
        <v>16631236</v>
      </c>
      <c r="AY54">
        <v>1</v>
      </c>
      <c r="AZ54">
        <v>0</v>
      </c>
      <c r="BA54">
        <v>61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Y54*Source!I44</f>
        <v>5.0000000000000001E-3</v>
      </c>
      <c r="CY54">
        <f>AB54</f>
        <v>468.51</v>
      </c>
      <c r="CZ54">
        <f>AF54</f>
        <v>65.709999999999994</v>
      </c>
      <c r="DA54">
        <f>AJ54</f>
        <v>7.13</v>
      </c>
      <c r="DB54">
        <f>ROUND((ROUND(AT54*CZ54,2)*1.25),2)</f>
        <v>4.1100000000000003</v>
      </c>
      <c r="DC54">
        <f>ROUND((ROUND(AT54*AG54,2)*1.25),2)</f>
        <v>0.73</v>
      </c>
    </row>
    <row r="55" spans="1:107" x14ac:dyDescent="0.2">
      <c r="A55">
        <f>ROW(Source!A44)</f>
        <v>44</v>
      </c>
      <c r="B55">
        <v>16630606</v>
      </c>
      <c r="C55">
        <v>16631229</v>
      </c>
      <c r="D55">
        <v>15166585</v>
      </c>
      <c r="E55">
        <v>1</v>
      </c>
      <c r="F55">
        <v>1</v>
      </c>
      <c r="G55">
        <v>1</v>
      </c>
      <c r="H55">
        <v>3</v>
      </c>
      <c r="I55" t="s">
        <v>111</v>
      </c>
      <c r="J55" t="s">
        <v>113</v>
      </c>
      <c r="K55" t="s">
        <v>112</v>
      </c>
      <c r="L55">
        <v>1348</v>
      </c>
      <c r="N55">
        <v>1009</v>
      </c>
      <c r="O55" t="s">
        <v>98</v>
      </c>
      <c r="P55" t="s">
        <v>98</v>
      </c>
      <c r="Q55">
        <v>1000</v>
      </c>
      <c r="W55">
        <v>0</v>
      </c>
      <c r="X55">
        <v>291228826</v>
      </c>
      <c r="Y55">
        <v>4.0000000000000001E-3</v>
      </c>
      <c r="AA55">
        <v>36407.279999999999</v>
      </c>
      <c r="AB55">
        <v>0</v>
      </c>
      <c r="AC55">
        <v>0</v>
      </c>
      <c r="AD55">
        <v>0</v>
      </c>
      <c r="AE55">
        <v>5106.21</v>
      </c>
      <c r="AF55">
        <v>0</v>
      </c>
      <c r="AG55">
        <v>0</v>
      </c>
      <c r="AH55">
        <v>0</v>
      </c>
      <c r="AI55">
        <v>7.13</v>
      </c>
      <c r="AJ55">
        <v>1</v>
      </c>
      <c r="AK55">
        <v>1</v>
      </c>
      <c r="AL55">
        <v>1</v>
      </c>
      <c r="AN55">
        <v>0</v>
      </c>
      <c r="AO55">
        <v>0</v>
      </c>
      <c r="AP55">
        <v>0</v>
      </c>
      <c r="AQ55">
        <v>0</v>
      </c>
      <c r="AR55">
        <v>0</v>
      </c>
      <c r="AS55" t="s">
        <v>6</v>
      </c>
      <c r="AT55">
        <v>4.0000000000000001E-3</v>
      </c>
      <c r="AU55" t="s">
        <v>6</v>
      </c>
      <c r="AV55">
        <v>0</v>
      </c>
      <c r="AW55">
        <v>1</v>
      </c>
      <c r="AX55">
        <v>-1</v>
      </c>
      <c r="AY55">
        <v>0</v>
      </c>
      <c r="AZ55">
        <v>0</v>
      </c>
      <c r="BA55" t="s">
        <v>6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Y55*Source!I44</f>
        <v>3.2000000000000003E-4</v>
      </c>
      <c r="CY55">
        <f>AA55</f>
        <v>36407.279999999999</v>
      </c>
      <c r="CZ55">
        <f>AE55</f>
        <v>5106.21</v>
      </c>
      <c r="DA55">
        <f>AI55</f>
        <v>7.13</v>
      </c>
      <c r="DB55">
        <f>ROUND(ROUND(AT55*CZ55,2),2)</f>
        <v>20.420000000000002</v>
      </c>
      <c r="DC55">
        <f>ROUND(ROUND(AT55*AG55,2),2)</f>
        <v>0</v>
      </c>
    </row>
    <row r="56" spans="1:107" x14ac:dyDescent="0.2">
      <c r="A56">
        <f>ROW(Source!A46)</f>
        <v>46</v>
      </c>
      <c r="B56">
        <v>16630606</v>
      </c>
      <c r="C56">
        <v>16631241</v>
      </c>
      <c r="D56">
        <v>15430497</v>
      </c>
      <c r="E56">
        <v>1</v>
      </c>
      <c r="F56">
        <v>1</v>
      </c>
      <c r="G56">
        <v>1</v>
      </c>
      <c r="H56">
        <v>1</v>
      </c>
      <c r="I56" t="s">
        <v>1215</v>
      </c>
      <c r="J56" t="s">
        <v>6</v>
      </c>
      <c r="K56" t="s">
        <v>1216</v>
      </c>
      <c r="L56">
        <v>1191</v>
      </c>
      <c r="N56">
        <v>1013</v>
      </c>
      <c r="O56" t="s">
        <v>1148</v>
      </c>
      <c r="P56" t="s">
        <v>1148</v>
      </c>
      <c r="Q56">
        <v>1</v>
      </c>
      <c r="W56">
        <v>0</v>
      </c>
      <c r="X56">
        <v>-719309759</v>
      </c>
      <c r="Y56">
        <v>81.718999999999994</v>
      </c>
      <c r="AA56">
        <v>0</v>
      </c>
      <c r="AB56">
        <v>0</v>
      </c>
      <c r="AC56">
        <v>0</v>
      </c>
      <c r="AD56">
        <v>63.17</v>
      </c>
      <c r="AE56">
        <v>0</v>
      </c>
      <c r="AF56">
        <v>0</v>
      </c>
      <c r="AG56">
        <v>0</v>
      </c>
      <c r="AH56">
        <v>8.86</v>
      </c>
      <c r="AI56">
        <v>1</v>
      </c>
      <c r="AJ56">
        <v>1</v>
      </c>
      <c r="AK56">
        <v>1</v>
      </c>
      <c r="AL56">
        <v>7.13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6</v>
      </c>
      <c r="AT56">
        <v>71.06</v>
      </c>
      <c r="AU56" t="s">
        <v>82</v>
      </c>
      <c r="AV56">
        <v>1</v>
      </c>
      <c r="AW56">
        <v>2</v>
      </c>
      <c r="AX56">
        <v>16631249</v>
      </c>
      <c r="AY56">
        <v>1</v>
      </c>
      <c r="AZ56">
        <v>0</v>
      </c>
      <c r="BA56">
        <v>65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Y56*Source!I46</f>
        <v>6.5375199999999998</v>
      </c>
      <c r="CY56">
        <f>AD56</f>
        <v>63.17</v>
      </c>
      <c r="CZ56">
        <f>AH56</f>
        <v>8.86</v>
      </c>
      <c r="DA56">
        <f>AL56</f>
        <v>7.13</v>
      </c>
      <c r="DB56">
        <f>ROUND((ROUND(AT56*CZ56,2)*1.15),2)</f>
        <v>724.03</v>
      </c>
      <c r="DC56">
        <f>ROUND((ROUND(AT56*AG56,2)*1.15),2)</f>
        <v>0</v>
      </c>
    </row>
    <row r="57" spans="1:107" x14ac:dyDescent="0.2">
      <c r="A57">
        <f>ROW(Source!A46)</f>
        <v>46</v>
      </c>
      <c r="B57">
        <v>16630606</v>
      </c>
      <c r="C57">
        <v>16631241</v>
      </c>
      <c r="D57">
        <v>15430395</v>
      </c>
      <c r="E57">
        <v>1</v>
      </c>
      <c r="F57">
        <v>1</v>
      </c>
      <c r="G57">
        <v>1</v>
      </c>
      <c r="H57">
        <v>1</v>
      </c>
      <c r="I57" t="s">
        <v>1149</v>
      </c>
      <c r="J57" t="s">
        <v>6</v>
      </c>
      <c r="K57" t="s">
        <v>1150</v>
      </c>
      <c r="L57">
        <v>1191</v>
      </c>
      <c r="N57">
        <v>1013</v>
      </c>
      <c r="O57" t="s">
        <v>1148</v>
      </c>
      <c r="P57" t="s">
        <v>1148</v>
      </c>
      <c r="Q57">
        <v>1</v>
      </c>
      <c r="W57">
        <v>0</v>
      </c>
      <c r="X57">
        <v>-1417349443</v>
      </c>
      <c r="Y57">
        <v>0.04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7.13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6</v>
      </c>
      <c r="AT57">
        <v>0.04</v>
      </c>
      <c r="AU57" t="s">
        <v>6</v>
      </c>
      <c r="AV57">
        <v>2</v>
      </c>
      <c r="AW57">
        <v>2</v>
      </c>
      <c r="AX57">
        <v>16631250</v>
      </c>
      <c r="AY57">
        <v>1</v>
      </c>
      <c r="AZ57">
        <v>2048</v>
      </c>
      <c r="BA57">
        <v>66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Y57*Source!I46</f>
        <v>3.2000000000000002E-3</v>
      </c>
      <c r="CY57">
        <f>AD57</f>
        <v>0</v>
      </c>
      <c r="CZ57">
        <f>AH57</f>
        <v>0</v>
      </c>
      <c r="DA57">
        <f>AL57</f>
        <v>1</v>
      </c>
      <c r="DB57">
        <f>ROUND(ROUND(AT57*CZ57,2),2)</f>
        <v>0</v>
      </c>
      <c r="DC57">
        <f>ROUND(ROUND(AT57*AG57,2),2)</f>
        <v>0</v>
      </c>
    </row>
    <row r="58" spans="1:107" x14ac:dyDescent="0.2">
      <c r="A58">
        <f>ROW(Source!A46)</f>
        <v>46</v>
      </c>
      <c r="B58">
        <v>16630606</v>
      </c>
      <c r="C58">
        <v>16631241</v>
      </c>
      <c r="D58">
        <v>15247974</v>
      </c>
      <c r="E58">
        <v>1</v>
      </c>
      <c r="F58">
        <v>1</v>
      </c>
      <c r="G58">
        <v>1</v>
      </c>
      <c r="H58">
        <v>2</v>
      </c>
      <c r="I58" t="s">
        <v>1151</v>
      </c>
      <c r="J58" t="s">
        <v>1152</v>
      </c>
      <c r="K58" t="s">
        <v>1153</v>
      </c>
      <c r="L58">
        <v>1368</v>
      </c>
      <c r="N58">
        <v>1011</v>
      </c>
      <c r="O58" t="s">
        <v>1154</v>
      </c>
      <c r="P58" t="s">
        <v>1154</v>
      </c>
      <c r="Q58">
        <v>1</v>
      </c>
      <c r="W58">
        <v>0</v>
      </c>
      <c r="X58">
        <v>1188625873</v>
      </c>
      <c r="Y58">
        <v>1.2500000000000001E-2</v>
      </c>
      <c r="AA58">
        <v>0</v>
      </c>
      <c r="AB58">
        <v>222.88</v>
      </c>
      <c r="AC58">
        <v>13.5</v>
      </c>
      <c r="AD58">
        <v>0</v>
      </c>
      <c r="AE58">
        <v>0</v>
      </c>
      <c r="AF58">
        <v>31.26</v>
      </c>
      <c r="AG58">
        <v>13.5</v>
      </c>
      <c r="AH58">
        <v>0</v>
      </c>
      <c r="AI58">
        <v>1</v>
      </c>
      <c r="AJ58">
        <v>7.13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6</v>
      </c>
      <c r="AT58">
        <v>0.01</v>
      </c>
      <c r="AU58" t="s">
        <v>81</v>
      </c>
      <c r="AV58">
        <v>0</v>
      </c>
      <c r="AW58">
        <v>2</v>
      </c>
      <c r="AX58">
        <v>16631251</v>
      </c>
      <c r="AY58">
        <v>1</v>
      </c>
      <c r="AZ58">
        <v>0</v>
      </c>
      <c r="BA58">
        <v>67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Y58*Source!I46</f>
        <v>1E-3</v>
      </c>
      <c r="CY58">
        <f>AB58</f>
        <v>222.88</v>
      </c>
      <c r="CZ58">
        <f>AF58</f>
        <v>31.26</v>
      </c>
      <c r="DA58">
        <f>AJ58</f>
        <v>7.13</v>
      </c>
      <c r="DB58">
        <f>ROUND((ROUND(AT58*CZ58,2)*1.25),2)</f>
        <v>0.39</v>
      </c>
      <c r="DC58">
        <f>ROUND((ROUND(AT58*AG58,2)*1.25),2)</f>
        <v>0.18</v>
      </c>
    </row>
    <row r="59" spans="1:107" x14ac:dyDescent="0.2">
      <c r="A59">
        <f>ROW(Source!A46)</f>
        <v>46</v>
      </c>
      <c r="B59">
        <v>16630606</v>
      </c>
      <c r="C59">
        <v>16631241</v>
      </c>
      <c r="D59">
        <v>15249073</v>
      </c>
      <c r="E59">
        <v>1</v>
      </c>
      <c r="F59">
        <v>1</v>
      </c>
      <c r="G59">
        <v>1</v>
      </c>
      <c r="H59">
        <v>2</v>
      </c>
      <c r="I59" t="s">
        <v>1157</v>
      </c>
      <c r="J59" t="s">
        <v>1158</v>
      </c>
      <c r="K59" t="s">
        <v>1159</v>
      </c>
      <c r="L59">
        <v>1368</v>
      </c>
      <c r="N59">
        <v>1011</v>
      </c>
      <c r="O59" t="s">
        <v>1154</v>
      </c>
      <c r="P59" t="s">
        <v>1154</v>
      </c>
      <c r="Q59">
        <v>1</v>
      </c>
      <c r="W59">
        <v>0</v>
      </c>
      <c r="X59">
        <v>1372534845</v>
      </c>
      <c r="Y59">
        <v>3.7499999999999999E-2</v>
      </c>
      <c r="AA59">
        <v>0</v>
      </c>
      <c r="AB59">
        <v>468.51</v>
      </c>
      <c r="AC59">
        <v>11.6</v>
      </c>
      <c r="AD59">
        <v>0</v>
      </c>
      <c r="AE59">
        <v>0</v>
      </c>
      <c r="AF59">
        <v>65.709999999999994</v>
      </c>
      <c r="AG59">
        <v>11.6</v>
      </c>
      <c r="AH59">
        <v>0</v>
      </c>
      <c r="AI59">
        <v>1</v>
      </c>
      <c r="AJ59">
        <v>7.13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6</v>
      </c>
      <c r="AT59">
        <v>0.03</v>
      </c>
      <c r="AU59" t="s">
        <v>81</v>
      </c>
      <c r="AV59">
        <v>0</v>
      </c>
      <c r="AW59">
        <v>2</v>
      </c>
      <c r="AX59">
        <v>16631252</v>
      </c>
      <c r="AY59">
        <v>1</v>
      </c>
      <c r="AZ59">
        <v>0</v>
      </c>
      <c r="BA59">
        <v>68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Y59*Source!I46</f>
        <v>3.0000000000000001E-3</v>
      </c>
      <c r="CY59">
        <f>AB59</f>
        <v>468.51</v>
      </c>
      <c r="CZ59">
        <f>AF59</f>
        <v>65.709999999999994</v>
      </c>
      <c r="DA59">
        <f>AJ59</f>
        <v>7.13</v>
      </c>
      <c r="DB59">
        <f>ROUND((ROUND(AT59*CZ59,2)*1.25),2)</f>
        <v>2.46</v>
      </c>
      <c r="DC59">
        <f>ROUND((ROUND(AT59*AG59,2)*1.25),2)</f>
        <v>0.44</v>
      </c>
    </row>
    <row r="60" spans="1:107" x14ac:dyDescent="0.2">
      <c r="A60">
        <f>ROW(Source!A46)</f>
        <v>46</v>
      </c>
      <c r="B60">
        <v>16630606</v>
      </c>
      <c r="C60">
        <v>16631241</v>
      </c>
      <c r="D60">
        <v>15171018</v>
      </c>
      <c r="E60">
        <v>1</v>
      </c>
      <c r="F60">
        <v>1</v>
      </c>
      <c r="G60">
        <v>1</v>
      </c>
      <c r="H60">
        <v>3</v>
      </c>
      <c r="I60" t="s">
        <v>1204</v>
      </c>
      <c r="J60" t="s">
        <v>1205</v>
      </c>
      <c r="K60" t="s">
        <v>1206</v>
      </c>
      <c r="L60">
        <v>1346</v>
      </c>
      <c r="N60">
        <v>1009</v>
      </c>
      <c r="O60" t="s">
        <v>102</v>
      </c>
      <c r="P60" t="s">
        <v>102</v>
      </c>
      <c r="Q60">
        <v>1</v>
      </c>
      <c r="W60">
        <v>0</v>
      </c>
      <c r="X60">
        <v>813963326</v>
      </c>
      <c r="Y60">
        <v>0.3</v>
      </c>
      <c r="AA60">
        <v>12.98</v>
      </c>
      <c r="AB60">
        <v>0</v>
      </c>
      <c r="AC60">
        <v>0</v>
      </c>
      <c r="AD60">
        <v>0</v>
      </c>
      <c r="AE60">
        <v>1.82</v>
      </c>
      <c r="AF60">
        <v>0</v>
      </c>
      <c r="AG60">
        <v>0</v>
      </c>
      <c r="AH60">
        <v>0</v>
      </c>
      <c r="AI60">
        <v>7.13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6</v>
      </c>
      <c r="AT60">
        <v>0.3</v>
      </c>
      <c r="AU60" t="s">
        <v>6</v>
      </c>
      <c r="AV60">
        <v>0</v>
      </c>
      <c r="AW60">
        <v>2</v>
      </c>
      <c r="AX60">
        <v>16631253</v>
      </c>
      <c r="AY60">
        <v>1</v>
      </c>
      <c r="AZ60">
        <v>0</v>
      </c>
      <c r="BA60">
        <v>69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Y60*Source!I46</f>
        <v>2.4E-2</v>
      </c>
      <c r="CY60">
        <f>AA60</f>
        <v>12.98</v>
      </c>
      <c r="CZ60">
        <f>AE60</f>
        <v>1.82</v>
      </c>
      <c r="DA60">
        <f>AI60</f>
        <v>7.13</v>
      </c>
      <c r="DB60">
        <f>ROUND(ROUND(AT60*CZ60,2),2)</f>
        <v>0.55000000000000004</v>
      </c>
      <c r="DC60">
        <f>ROUND(ROUND(AT60*AG60,2),2)</f>
        <v>0</v>
      </c>
    </row>
    <row r="61" spans="1:107" x14ac:dyDescent="0.2">
      <c r="A61">
        <f>ROW(Source!A46)</f>
        <v>46</v>
      </c>
      <c r="B61">
        <v>16630606</v>
      </c>
      <c r="C61">
        <v>16631241</v>
      </c>
      <c r="D61">
        <v>15204064</v>
      </c>
      <c r="E61">
        <v>1</v>
      </c>
      <c r="F61">
        <v>1</v>
      </c>
      <c r="G61">
        <v>1</v>
      </c>
      <c r="H61">
        <v>3</v>
      </c>
      <c r="I61" t="s">
        <v>121</v>
      </c>
      <c r="J61" t="s">
        <v>123</v>
      </c>
      <c r="K61" t="s">
        <v>122</v>
      </c>
      <c r="L61">
        <v>1346</v>
      </c>
      <c r="N61">
        <v>1009</v>
      </c>
      <c r="O61" t="s">
        <v>102</v>
      </c>
      <c r="P61" t="s">
        <v>102</v>
      </c>
      <c r="Q61">
        <v>1</v>
      </c>
      <c r="W61">
        <v>0</v>
      </c>
      <c r="X61">
        <v>-134063439</v>
      </c>
      <c r="Y61">
        <v>24.609375</v>
      </c>
      <c r="AA61">
        <v>118.79</v>
      </c>
      <c r="AB61">
        <v>0</v>
      </c>
      <c r="AC61">
        <v>0</v>
      </c>
      <c r="AD61">
        <v>0</v>
      </c>
      <c r="AE61">
        <v>16.66</v>
      </c>
      <c r="AF61">
        <v>0</v>
      </c>
      <c r="AG61">
        <v>0</v>
      </c>
      <c r="AH61">
        <v>0</v>
      </c>
      <c r="AI61">
        <v>7.13</v>
      </c>
      <c r="AJ61">
        <v>1</v>
      </c>
      <c r="AK61">
        <v>1</v>
      </c>
      <c r="AL61">
        <v>1</v>
      </c>
      <c r="AN61">
        <v>0</v>
      </c>
      <c r="AO61">
        <v>0</v>
      </c>
      <c r="AP61">
        <v>0</v>
      </c>
      <c r="AQ61">
        <v>0</v>
      </c>
      <c r="AR61">
        <v>0</v>
      </c>
      <c r="AS61" t="s">
        <v>6</v>
      </c>
      <c r="AT61">
        <v>24.609375</v>
      </c>
      <c r="AU61" t="s">
        <v>6</v>
      </c>
      <c r="AV61">
        <v>0</v>
      </c>
      <c r="AW61">
        <v>1</v>
      </c>
      <c r="AX61">
        <v>-1</v>
      </c>
      <c r="AY61">
        <v>0</v>
      </c>
      <c r="AZ61">
        <v>0</v>
      </c>
      <c r="BA61" t="s">
        <v>6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Y61*Source!I46</f>
        <v>1.96875</v>
      </c>
      <c r="CY61">
        <f>AA61</f>
        <v>118.79</v>
      </c>
      <c r="CZ61">
        <f>AE61</f>
        <v>16.66</v>
      </c>
      <c r="DA61">
        <f>AI61</f>
        <v>7.13</v>
      </c>
      <c r="DB61">
        <f>ROUND(ROUND(AT61*CZ61,2),2)</f>
        <v>409.99</v>
      </c>
      <c r="DC61">
        <f>ROUND(ROUND(AT61*AG61,2),2)</f>
        <v>0</v>
      </c>
    </row>
    <row r="62" spans="1:107" x14ac:dyDescent="0.2">
      <c r="A62">
        <f>ROW(Source!A46)</f>
        <v>46</v>
      </c>
      <c r="B62">
        <v>16630606</v>
      </c>
      <c r="C62">
        <v>16631241</v>
      </c>
      <c r="D62">
        <v>15204471</v>
      </c>
      <c r="E62">
        <v>1</v>
      </c>
      <c r="F62">
        <v>1</v>
      </c>
      <c r="G62">
        <v>1</v>
      </c>
      <c r="H62">
        <v>3</v>
      </c>
      <c r="I62" t="s">
        <v>1217</v>
      </c>
      <c r="J62" t="s">
        <v>1218</v>
      </c>
      <c r="K62" t="s">
        <v>1219</v>
      </c>
      <c r="L62">
        <v>1346</v>
      </c>
      <c r="N62">
        <v>1009</v>
      </c>
      <c r="O62" t="s">
        <v>102</v>
      </c>
      <c r="P62" t="s">
        <v>102</v>
      </c>
      <c r="Q62">
        <v>1</v>
      </c>
      <c r="W62">
        <v>0</v>
      </c>
      <c r="X62">
        <v>-608190322</v>
      </c>
      <c r="Y62">
        <v>2.7</v>
      </c>
      <c r="AA62">
        <v>232.44</v>
      </c>
      <c r="AB62">
        <v>0</v>
      </c>
      <c r="AC62">
        <v>0</v>
      </c>
      <c r="AD62">
        <v>0</v>
      </c>
      <c r="AE62">
        <v>32.6</v>
      </c>
      <c r="AF62">
        <v>0</v>
      </c>
      <c r="AG62">
        <v>0</v>
      </c>
      <c r="AH62">
        <v>0</v>
      </c>
      <c r="AI62">
        <v>7.13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6</v>
      </c>
      <c r="AT62">
        <v>2.7</v>
      </c>
      <c r="AU62" t="s">
        <v>6</v>
      </c>
      <c r="AV62">
        <v>0</v>
      </c>
      <c r="AW62">
        <v>2</v>
      </c>
      <c r="AX62">
        <v>16631255</v>
      </c>
      <c r="AY62">
        <v>1</v>
      </c>
      <c r="AZ62">
        <v>0</v>
      </c>
      <c r="BA62">
        <v>71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Y62*Source!I46</f>
        <v>0.21600000000000003</v>
      </c>
      <c r="CY62">
        <f>AA62</f>
        <v>232.44</v>
      </c>
      <c r="CZ62">
        <f>AE62</f>
        <v>32.6</v>
      </c>
      <c r="DA62">
        <f>AI62</f>
        <v>7.13</v>
      </c>
      <c r="DB62">
        <f>ROUND(ROUND(AT62*CZ62,2),2)</f>
        <v>88.02</v>
      </c>
      <c r="DC62">
        <f>ROUND(ROUND(AT62*AG62,2),2)</f>
        <v>0</v>
      </c>
    </row>
    <row r="63" spans="1:107" x14ac:dyDescent="0.2">
      <c r="A63">
        <f>ROW(Source!A48)</f>
        <v>48</v>
      </c>
      <c r="B63">
        <v>16630606</v>
      </c>
      <c r="C63">
        <v>16631257</v>
      </c>
      <c r="D63">
        <v>15446300</v>
      </c>
      <c r="E63">
        <v>1</v>
      </c>
      <c r="F63">
        <v>1</v>
      </c>
      <c r="G63">
        <v>1</v>
      </c>
      <c r="H63">
        <v>1</v>
      </c>
      <c r="I63" t="s">
        <v>1220</v>
      </c>
      <c r="J63" t="s">
        <v>6</v>
      </c>
      <c r="K63" t="s">
        <v>1221</v>
      </c>
      <c r="L63">
        <v>1191</v>
      </c>
      <c r="N63">
        <v>1013</v>
      </c>
      <c r="O63" t="s">
        <v>1148</v>
      </c>
      <c r="P63" t="s">
        <v>1148</v>
      </c>
      <c r="Q63">
        <v>1</v>
      </c>
      <c r="W63">
        <v>0</v>
      </c>
      <c r="X63">
        <v>912892513</v>
      </c>
      <c r="Y63">
        <v>1.2765</v>
      </c>
      <c r="AA63">
        <v>0</v>
      </c>
      <c r="AB63">
        <v>0</v>
      </c>
      <c r="AC63">
        <v>0</v>
      </c>
      <c r="AD63">
        <v>70.73</v>
      </c>
      <c r="AE63">
        <v>0</v>
      </c>
      <c r="AF63">
        <v>0</v>
      </c>
      <c r="AG63">
        <v>0</v>
      </c>
      <c r="AH63">
        <v>9.92</v>
      </c>
      <c r="AI63">
        <v>1</v>
      </c>
      <c r="AJ63">
        <v>1</v>
      </c>
      <c r="AK63">
        <v>1</v>
      </c>
      <c r="AL63">
        <v>7.13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6</v>
      </c>
      <c r="AT63">
        <v>1.1100000000000001</v>
      </c>
      <c r="AU63" t="s">
        <v>82</v>
      </c>
      <c r="AV63">
        <v>1</v>
      </c>
      <c r="AW63">
        <v>2</v>
      </c>
      <c r="AX63">
        <v>16631263</v>
      </c>
      <c r="AY63">
        <v>1</v>
      </c>
      <c r="AZ63">
        <v>0</v>
      </c>
      <c r="BA63">
        <v>72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Y63*Source!I48</f>
        <v>2.5529999999999999</v>
      </c>
      <c r="CY63">
        <f>AD63</f>
        <v>70.73</v>
      </c>
      <c r="CZ63">
        <f>AH63</f>
        <v>9.92</v>
      </c>
      <c r="DA63">
        <f>AL63</f>
        <v>7.13</v>
      </c>
      <c r="DB63">
        <f>ROUND((ROUND(AT63*CZ63,2)*1.15),2)</f>
        <v>12.66</v>
      </c>
      <c r="DC63">
        <f>ROUND((ROUND(AT63*AG63,2)*1.15),2)</f>
        <v>0</v>
      </c>
    </row>
    <row r="64" spans="1:107" x14ac:dyDescent="0.2">
      <c r="A64">
        <f>ROW(Source!A48)</f>
        <v>48</v>
      </c>
      <c r="B64">
        <v>16630606</v>
      </c>
      <c r="C64">
        <v>16631257</v>
      </c>
      <c r="D64">
        <v>15249377</v>
      </c>
      <c r="E64">
        <v>1</v>
      </c>
      <c r="F64">
        <v>1</v>
      </c>
      <c r="G64">
        <v>1</v>
      </c>
      <c r="H64">
        <v>2</v>
      </c>
      <c r="I64" t="s">
        <v>1222</v>
      </c>
      <c r="J64" t="s">
        <v>1223</v>
      </c>
      <c r="K64" t="s">
        <v>1224</v>
      </c>
      <c r="L64">
        <v>1368</v>
      </c>
      <c r="N64">
        <v>1011</v>
      </c>
      <c r="O64" t="s">
        <v>1154</v>
      </c>
      <c r="P64" t="s">
        <v>1154</v>
      </c>
      <c r="Q64">
        <v>1</v>
      </c>
      <c r="W64">
        <v>0</v>
      </c>
      <c r="X64">
        <v>-353815937</v>
      </c>
      <c r="Y64">
        <v>0.32500000000000001</v>
      </c>
      <c r="AA64">
        <v>0</v>
      </c>
      <c r="AB64">
        <v>57.75</v>
      </c>
      <c r="AC64">
        <v>0</v>
      </c>
      <c r="AD64">
        <v>0</v>
      </c>
      <c r="AE64">
        <v>0</v>
      </c>
      <c r="AF64">
        <v>8.1</v>
      </c>
      <c r="AG64">
        <v>0</v>
      </c>
      <c r="AH64">
        <v>0</v>
      </c>
      <c r="AI64">
        <v>1</v>
      </c>
      <c r="AJ64">
        <v>7.13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6</v>
      </c>
      <c r="AT64">
        <v>0.26</v>
      </c>
      <c r="AU64" t="s">
        <v>81</v>
      </c>
      <c r="AV64">
        <v>0</v>
      </c>
      <c r="AW64">
        <v>2</v>
      </c>
      <c r="AX64">
        <v>16631264</v>
      </c>
      <c r="AY64">
        <v>1</v>
      </c>
      <c r="AZ64">
        <v>0</v>
      </c>
      <c r="BA64">
        <v>73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Y64*Source!I48</f>
        <v>0.65</v>
      </c>
      <c r="CY64">
        <f>AB64</f>
        <v>57.75</v>
      </c>
      <c r="CZ64">
        <f>AF64</f>
        <v>8.1</v>
      </c>
      <c r="DA64">
        <f>AJ64</f>
        <v>7.13</v>
      </c>
      <c r="DB64">
        <f>ROUND((ROUND(AT64*CZ64,2)*1.25),2)</f>
        <v>2.64</v>
      </c>
      <c r="DC64">
        <f>ROUND((ROUND(AT64*AG64,2)*1.25),2)</f>
        <v>0</v>
      </c>
    </row>
    <row r="65" spans="1:107" x14ac:dyDescent="0.2">
      <c r="A65">
        <f>ROW(Source!A48)</f>
        <v>48</v>
      </c>
      <c r="B65">
        <v>16630606</v>
      </c>
      <c r="C65">
        <v>16631257</v>
      </c>
      <c r="D65">
        <v>15167307</v>
      </c>
      <c r="E65">
        <v>1</v>
      </c>
      <c r="F65">
        <v>1</v>
      </c>
      <c r="G65">
        <v>1</v>
      </c>
      <c r="H65">
        <v>3</v>
      </c>
      <c r="I65" t="s">
        <v>130</v>
      </c>
      <c r="J65" t="s">
        <v>133</v>
      </c>
      <c r="K65" t="s">
        <v>131</v>
      </c>
      <c r="L65">
        <v>1354</v>
      </c>
      <c r="N65">
        <v>1010</v>
      </c>
      <c r="O65" t="s">
        <v>132</v>
      </c>
      <c r="P65" t="s">
        <v>132</v>
      </c>
      <c r="Q65">
        <v>1</v>
      </c>
      <c r="W65">
        <v>0</v>
      </c>
      <c r="X65">
        <v>-462216632</v>
      </c>
      <c r="Y65">
        <v>1</v>
      </c>
      <c r="AA65">
        <v>2646.66</v>
      </c>
      <c r="AB65">
        <v>0</v>
      </c>
      <c r="AC65">
        <v>0</v>
      </c>
      <c r="AD65">
        <v>0</v>
      </c>
      <c r="AE65">
        <v>371.2</v>
      </c>
      <c r="AF65">
        <v>0</v>
      </c>
      <c r="AG65">
        <v>0</v>
      </c>
      <c r="AH65">
        <v>0</v>
      </c>
      <c r="AI65">
        <v>7.13</v>
      </c>
      <c r="AJ65">
        <v>1</v>
      </c>
      <c r="AK65">
        <v>1</v>
      </c>
      <c r="AL65">
        <v>1</v>
      </c>
      <c r="AN65">
        <v>0</v>
      </c>
      <c r="AO65">
        <v>0</v>
      </c>
      <c r="AP65">
        <v>0</v>
      </c>
      <c r="AQ65">
        <v>0</v>
      </c>
      <c r="AR65">
        <v>0</v>
      </c>
      <c r="AS65" t="s">
        <v>6</v>
      </c>
      <c r="AT65">
        <v>1</v>
      </c>
      <c r="AU65" t="s">
        <v>6</v>
      </c>
      <c r="AV65">
        <v>0</v>
      </c>
      <c r="AW65">
        <v>1</v>
      </c>
      <c r="AX65">
        <v>-1</v>
      </c>
      <c r="AY65">
        <v>0</v>
      </c>
      <c r="AZ65">
        <v>0</v>
      </c>
      <c r="BA65" t="s">
        <v>6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Y65*Source!I48</f>
        <v>2</v>
      </c>
      <c r="CY65">
        <f>AA65</f>
        <v>2646.66</v>
      </c>
      <c r="CZ65">
        <f>AE65</f>
        <v>371.2</v>
      </c>
      <c r="DA65">
        <f>AI65</f>
        <v>7.13</v>
      </c>
      <c r="DB65">
        <f>ROUND(ROUND(AT65*CZ65,2),2)</f>
        <v>371.2</v>
      </c>
      <c r="DC65">
        <f>ROUND(ROUND(AT65*AG65,2),2)</f>
        <v>0</v>
      </c>
    </row>
    <row r="66" spans="1:107" x14ac:dyDescent="0.2">
      <c r="A66">
        <f>ROW(Source!A48)</f>
        <v>48</v>
      </c>
      <c r="B66">
        <v>16630606</v>
      </c>
      <c r="C66">
        <v>16631257</v>
      </c>
      <c r="D66">
        <v>15168750</v>
      </c>
      <c r="E66">
        <v>1</v>
      </c>
      <c r="F66">
        <v>1</v>
      </c>
      <c r="G66">
        <v>1</v>
      </c>
      <c r="H66">
        <v>3</v>
      </c>
      <c r="I66" t="s">
        <v>1225</v>
      </c>
      <c r="J66" t="s">
        <v>1226</v>
      </c>
      <c r="K66" t="s">
        <v>1227</v>
      </c>
      <c r="L66">
        <v>1348</v>
      </c>
      <c r="N66">
        <v>1009</v>
      </c>
      <c r="O66" t="s">
        <v>98</v>
      </c>
      <c r="P66" t="s">
        <v>98</v>
      </c>
      <c r="Q66">
        <v>1000</v>
      </c>
      <c r="W66">
        <v>0</v>
      </c>
      <c r="X66">
        <v>-714836380</v>
      </c>
      <c r="Y66">
        <v>6.9999999999999994E-5</v>
      </c>
      <c r="AA66">
        <v>73546.02</v>
      </c>
      <c r="AB66">
        <v>0</v>
      </c>
      <c r="AC66">
        <v>0</v>
      </c>
      <c r="AD66">
        <v>0</v>
      </c>
      <c r="AE66">
        <v>10315.01</v>
      </c>
      <c r="AF66">
        <v>0</v>
      </c>
      <c r="AG66">
        <v>0</v>
      </c>
      <c r="AH66">
        <v>0</v>
      </c>
      <c r="AI66">
        <v>7.13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6.9999999999999994E-5</v>
      </c>
      <c r="AU66" t="s">
        <v>6</v>
      </c>
      <c r="AV66">
        <v>0</v>
      </c>
      <c r="AW66">
        <v>2</v>
      </c>
      <c r="AX66">
        <v>16631266</v>
      </c>
      <c r="AY66">
        <v>1</v>
      </c>
      <c r="AZ66">
        <v>0</v>
      </c>
      <c r="BA66">
        <v>75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Y66*Source!I48</f>
        <v>1.3999999999999999E-4</v>
      </c>
      <c r="CY66">
        <f>AA66</f>
        <v>73546.02</v>
      </c>
      <c r="CZ66">
        <f>AE66</f>
        <v>10315.01</v>
      </c>
      <c r="DA66">
        <f>AI66</f>
        <v>7.13</v>
      </c>
      <c r="DB66">
        <f>ROUND(ROUND(AT66*CZ66,2),2)</f>
        <v>0.72</v>
      </c>
      <c r="DC66">
        <f>ROUND(ROUND(AT66*AG66,2),2)</f>
        <v>0</v>
      </c>
    </row>
    <row r="67" spans="1:107" x14ac:dyDescent="0.2">
      <c r="A67">
        <f>ROW(Source!A48)</f>
        <v>48</v>
      </c>
      <c r="B67">
        <v>16630606</v>
      </c>
      <c r="C67">
        <v>16631257</v>
      </c>
      <c r="D67">
        <v>15169980</v>
      </c>
      <c r="E67">
        <v>1</v>
      </c>
      <c r="F67">
        <v>1</v>
      </c>
      <c r="G67">
        <v>1</v>
      </c>
      <c r="H67">
        <v>3</v>
      </c>
      <c r="I67" t="s">
        <v>1228</v>
      </c>
      <c r="J67" t="s">
        <v>1229</v>
      </c>
      <c r="K67" t="s">
        <v>1230</v>
      </c>
      <c r="L67">
        <v>1355</v>
      </c>
      <c r="N67">
        <v>1010</v>
      </c>
      <c r="O67" t="s">
        <v>243</v>
      </c>
      <c r="P67" t="s">
        <v>243</v>
      </c>
      <c r="Q67">
        <v>100</v>
      </c>
      <c r="W67">
        <v>0</v>
      </c>
      <c r="X67">
        <v>-670451344</v>
      </c>
      <c r="Y67">
        <v>8.0000000000000007E-5</v>
      </c>
      <c r="AA67">
        <v>142.6</v>
      </c>
      <c r="AB67">
        <v>0</v>
      </c>
      <c r="AC67">
        <v>0</v>
      </c>
      <c r="AD67">
        <v>0</v>
      </c>
      <c r="AE67">
        <v>20</v>
      </c>
      <c r="AF67">
        <v>0</v>
      </c>
      <c r="AG67">
        <v>0</v>
      </c>
      <c r="AH67">
        <v>0</v>
      </c>
      <c r="AI67">
        <v>7.13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6</v>
      </c>
      <c r="AT67">
        <v>8.0000000000000007E-5</v>
      </c>
      <c r="AU67" t="s">
        <v>6</v>
      </c>
      <c r="AV67">
        <v>0</v>
      </c>
      <c r="AW67">
        <v>2</v>
      </c>
      <c r="AX67">
        <v>16631267</v>
      </c>
      <c r="AY67">
        <v>1</v>
      </c>
      <c r="AZ67">
        <v>0</v>
      </c>
      <c r="BA67">
        <v>76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Y67*Source!I48</f>
        <v>1.6000000000000001E-4</v>
      </c>
      <c r="CY67">
        <f>AA67</f>
        <v>142.6</v>
      </c>
      <c r="CZ67">
        <f>AE67</f>
        <v>20</v>
      </c>
      <c r="DA67">
        <f>AI67</f>
        <v>7.13</v>
      </c>
      <c r="DB67">
        <f>ROUND(ROUND(AT67*CZ67,2),2)</f>
        <v>0</v>
      </c>
      <c r="DC67">
        <f>ROUND(ROUND(AT67*AG67,2),2)</f>
        <v>0</v>
      </c>
    </row>
    <row r="68" spans="1:107" x14ac:dyDescent="0.2">
      <c r="A68">
        <f>ROW(Source!A50)</f>
        <v>50</v>
      </c>
      <c r="B68">
        <v>16630606</v>
      </c>
      <c r="C68">
        <v>16631269</v>
      </c>
      <c r="D68">
        <v>15435609</v>
      </c>
      <c r="E68">
        <v>1</v>
      </c>
      <c r="F68">
        <v>1</v>
      </c>
      <c r="G68">
        <v>1</v>
      </c>
      <c r="H68">
        <v>1</v>
      </c>
      <c r="I68" t="s">
        <v>1231</v>
      </c>
      <c r="J68" t="s">
        <v>6</v>
      </c>
      <c r="K68" t="s">
        <v>1232</v>
      </c>
      <c r="L68">
        <v>1191</v>
      </c>
      <c r="N68">
        <v>1013</v>
      </c>
      <c r="O68" t="s">
        <v>1148</v>
      </c>
      <c r="P68" t="s">
        <v>1148</v>
      </c>
      <c r="Q68">
        <v>1</v>
      </c>
      <c r="W68">
        <v>0</v>
      </c>
      <c r="X68">
        <v>-814890593</v>
      </c>
      <c r="Y68">
        <v>49.334999999999994</v>
      </c>
      <c r="AA68">
        <v>0</v>
      </c>
      <c r="AB68">
        <v>0</v>
      </c>
      <c r="AC68">
        <v>0</v>
      </c>
      <c r="AD68">
        <v>63.96</v>
      </c>
      <c r="AE68">
        <v>0</v>
      </c>
      <c r="AF68">
        <v>0</v>
      </c>
      <c r="AG68">
        <v>0</v>
      </c>
      <c r="AH68">
        <v>8.9700000000000006</v>
      </c>
      <c r="AI68">
        <v>1</v>
      </c>
      <c r="AJ68">
        <v>1</v>
      </c>
      <c r="AK68">
        <v>1</v>
      </c>
      <c r="AL68">
        <v>7.13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6</v>
      </c>
      <c r="AT68">
        <v>42.9</v>
      </c>
      <c r="AU68" t="s">
        <v>82</v>
      </c>
      <c r="AV68">
        <v>1</v>
      </c>
      <c r="AW68">
        <v>2</v>
      </c>
      <c r="AX68">
        <v>16631278</v>
      </c>
      <c r="AY68">
        <v>1</v>
      </c>
      <c r="AZ68">
        <v>0</v>
      </c>
      <c r="BA68">
        <v>77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Y68*Source!I50</f>
        <v>9.2749799999999993</v>
      </c>
      <c r="CY68">
        <f>AD68</f>
        <v>63.96</v>
      </c>
      <c r="CZ68">
        <f>AH68</f>
        <v>8.9700000000000006</v>
      </c>
      <c r="DA68">
        <f>AL68</f>
        <v>7.13</v>
      </c>
      <c r="DB68">
        <f>ROUND((ROUND(AT68*CZ68,2)*1.15),2)</f>
        <v>442.53</v>
      </c>
      <c r="DC68">
        <f>ROUND((ROUND(AT68*AG68,2)*1.15),2)</f>
        <v>0</v>
      </c>
    </row>
    <row r="69" spans="1:107" x14ac:dyDescent="0.2">
      <c r="A69">
        <f>ROW(Source!A50)</f>
        <v>50</v>
      </c>
      <c r="B69">
        <v>16630606</v>
      </c>
      <c r="C69">
        <v>16631269</v>
      </c>
      <c r="D69">
        <v>15430395</v>
      </c>
      <c r="E69">
        <v>1</v>
      </c>
      <c r="F69">
        <v>1</v>
      </c>
      <c r="G69">
        <v>1</v>
      </c>
      <c r="H69">
        <v>1</v>
      </c>
      <c r="I69" t="s">
        <v>1149</v>
      </c>
      <c r="J69" t="s">
        <v>6</v>
      </c>
      <c r="K69" t="s">
        <v>1150</v>
      </c>
      <c r="L69">
        <v>1191</v>
      </c>
      <c r="N69">
        <v>1013</v>
      </c>
      <c r="O69" t="s">
        <v>1148</v>
      </c>
      <c r="P69" t="s">
        <v>1148</v>
      </c>
      <c r="Q69">
        <v>1</v>
      </c>
      <c r="W69">
        <v>0</v>
      </c>
      <c r="X69">
        <v>-1417349443</v>
      </c>
      <c r="Y69">
        <v>0.17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1</v>
      </c>
      <c r="AJ69">
        <v>1</v>
      </c>
      <c r="AK69">
        <v>7.13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6</v>
      </c>
      <c r="AT69">
        <v>0.17</v>
      </c>
      <c r="AU69" t="s">
        <v>6</v>
      </c>
      <c r="AV69">
        <v>2</v>
      </c>
      <c r="AW69">
        <v>2</v>
      </c>
      <c r="AX69">
        <v>16631279</v>
      </c>
      <c r="AY69">
        <v>1</v>
      </c>
      <c r="AZ69">
        <v>2048</v>
      </c>
      <c r="BA69">
        <v>78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Y69*Source!I50</f>
        <v>3.1960000000000002E-2</v>
      </c>
      <c r="CY69">
        <f>AD69</f>
        <v>0</v>
      </c>
      <c r="CZ69">
        <f>AH69</f>
        <v>0</v>
      </c>
      <c r="DA69">
        <f>AL69</f>
        <v>1</v>
      </c>
      <c r="DB69">
        <f>ROUND(ROUND(AT69*CZ69,2),2)</f>
        <v>0</v>
      </c>
      <c r="DC69">
        <f>ROUND(ROUND(AT69*AG69,2),2)</f>
        <v>0</v>
      </c>
    </row>
    <row r="70" spans="1:107" x14ac:dyDescent="0.2">
      <c r="A70">
        <f>ROW(Source!A50)</f>
        <v>50</v>
      </c>
      <c r="B70">
        <v>16630606</v>
      </c>
      <c r="C70">
        <v>16631269</v>
      </c>
      <c r="D70">
        <v>15247974</v>
      </c>
      <c r="E70">
        <v>1</v>
      </c>
      <c r="F70">
        <v>1</v>
      </c>
      <c r="G70">
        <v>1</v>
      </c>
      <c r="H70">
        <v>2</v>
      </c>
      <c r="I70" t="s">
        <v>1151</v>
      </c>
      <c r="J70" t="s">
        <v>1152</v>
      </c>
      <c r="K70" t="s">
        <v>1153</v>
      </c>
      <c r="L70">
        <v>1368</v>
      </c>
      <c r="N70">
        <v>1011</v>
      </c>
      <c r="O70" t="s">
        <v>1154</v>
      </c>
      <c r="P70" t="s">
        <v>1154</v>
      </c>
      <c r="Q70">
        <v>1</v>
      </c>
      <c r="W70">
        <v>0</v>
      </c>
      <c r="X70">
        <v>1188625873</v>
      </c>
      <c r="Y70">
        <v>2.5000000000000001E-2</v>
      </c>
      <c r="AA70">
        <v>0</v>
      </c>
      <c r="AB70">
        <v>222.88</v>
      </c>
      <c r="AC70">
        <v>13.5</v>
      </c>
      <c r="AD70">
        <v>0</v>
      </c>
      <c r="AE70">
        <v>0</v>
      </c>
      <c r="AF70">
        <v>31.26</v>
      </c>
      <c r="AG70">
        <v>13.5</v>
      </c>
      <c r="AH70">
        <v>0</v>
      </c>
      <c r="AI70">
        <v>1</v>
      </c>
      <c r="AJ70">
        <v>7.13</v>
      </c>
      <c r="AK70">
        <v>1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6</v>
      </c>
      <c r="AT70">
        <v>0.02</v>
      </c>
      <c r="AU70" t="s">
        <v>81</v>
      </c>
      <c r="AV70">
        <v>0</v>
      </c>
      <c r="AW70">
        <v>2</v>
      </c>
      <c r="AX70">
        <v>16631280</v>
      </c>
      <c r="AY70">
        <v>1</v>
      </c>
      <c r="AZ70">
        <v>0</v>
      </c>
      <c r="BA70">
        <v>79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Y70*Source!I50</f>
        <v>4.7000000000000002E-3</v>
      </c>
      <c r="CY70">
        <f>AB70</f>
        <v>222.88</v>
      </c>
      <c r="CZ70">
        <f>AF70</f>
        <v>31.26</v>
      </c>
      <c r="DA70">
        <f>AJ70</f>
        <v>7.13</v>
      </c>
      <c r="DB70">
        <f>ROUND((ROUND(AT70*CZ70,2)*1.25),2)</f>
        <v>0.79</v>
      </c>
      <c r="DC70">
        <f>ROUND((ROUND(AT70*AG70,2)*1.25),2)</f>
        <v>0.34</v>
      </c>
    </row>
    <row r="71" spans="1:107" x14ac:dyDescent="0.2">
      <c r="A71">
        <f>ROW(Source!A50)</f>
        <v>50</v>
      </c>
      <c r="B71">
        <v>16630606</v>
      </c>
      <c r="C71">
        <v>16631269</v>
      </c>
      <c r="D71">
        <v>15249073</v>
      </c>
      <c r="E71">
        <v>1</v>
      </c>
      <c r="F71">
        <v>1</v>
      </c>
      <c r="G71">
        <v>1</v>
      </c>
      <c r="H71">
        <v>2</v>
      </c>
      <c r="I71" t="s">
        <v>1157</v>
      </c>
      <c r="J71" t="s">
        <v>1158</v>
      </c>
      <c r="K71" t="s">
        <v>1159</v>
      </c>
      <c r="L71">
        <v>1368</v>
      </c>
      <c r="N71">
        <v>1011</v>
      </c>
      <c r="O71" t="s">
        <v>1154</v>
      </c>
      <c r="P71" t="s">
        <v>1154</v>
      </c>
      <c r="Q71">
        <v>1</v>
      </c>
      <c r="W71">
        <v>0</v>
      </c>
      <c r="X71">
        <v>1372534845</v>
      </c>
      <c r="Y71">
        <v>0.1875</v>
      </c>
      <c r="AA71">
        <v>0</v>
      </c>
      <c r="AB71">
        <v>468.51</v>
      </c>
      <c r="AC71">
        <v>11.6</v>
      </c>
      <c r="AD71">
        <v>0</v>
      </c>
      <c r="AE71">
        <v>0</v>
      </c>
      <c r="AF71">
        <v>65.709999999999994</v>
      </c>
      <c r="AG71">
        <v>11.6</v>
      </c>
      <c r="AH71">
        <v>0</v>
      </c>
      <c r="AI71">
        <v>1</v>
      </c>
      <c r="AJ71">
        <v>7.13</v>
      </c>
      <c r="AK71">
        <v>1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6</v>
      </c>
      <c r="AT71">
        <v>0.15</v>
      </c>
      <c r="AU71" t="s">
        <v>81</v>
      </c>
      <c r="AV71">
        <v>0</v>
      </c>
      <c r="AW71">
        <v>2</v>
      </c>
      <c r="AX71">
        <v>16631281</v>
      </c>
      <c r="AY71">
        <v>1</v>
      </c>
      <c r="AZ71">
        <v>0</v>
      </c>
      <c r="BA71">
        <v>80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Y71*Source!I50</f>
        <v>3.5250000000000004E-2</v>
      </c>
      <c r="CY71">
        <f>AB71</f>
        <v>468.51</v>
      </c>
      <c r="CZ71">
        <f>AF71</f>
        <v>65.709999999999994</v>
      </c>
      <c r="DA71">
        <f>AJ71</f>
        <v>7.13</v>
      </c>
      <c r="DB71">
        <f>ROUND((ROUND(AT71*CZ71,2)*1.25),2)</f>
        <v>12.33</v>
      </c>
      <c r="DC71">
        <f>ROUND((ROUND(AT71*AG71,2)*1.25),2)</f>
        <v>2.1800000000000002</v>
      </c>
    </row>
    <row r="72" spans="1:107" x14ac:dyDescent="0.2">
      <c r="A72">
        <f>ROW(Source!A50)</f>
        <v>50</v>
      </c>
      <c r="B72">
        <v>16630606</v>
      </c>
      <c r="C72">
        <v>16631269</v>
      </c>
      <c r="D72">
        <v>15170682</v>
      </c>
      <c r="E72">
        <v>1</v>
      </c>
      <c r="F72">
        <v>1</v>
      </c>
      <c r="G72">
        <v>1</v>
      </c>
      <c r="H72">
        <v>3</v>
      </c>
      <c r="I72" t="s">
        <v>1233</v>
      </c>
      <c r="J72" t="s">
        <v>1234</v>
      </c>
      <c r="K72" t="s">
        <v>1235</v>
      </c>
      <c r="L72">
        <v>1327</v>
      </c>
      <c r="N72">
        <v>1005</v>
      </c>
      <c r="O72" t="s">
        <v>87</v>
      </c>
      <c r="P72" t="s">
        <v>87</v>
      </c>
      <c r="Q72">
        <v>1</v>
      </c>
      <c r="W72">
        <v>0</v>
      </c>
      <c r="X72">
        <v>-1987926685</v>
      </c>
      <c r="Y72">
        <v>0.84</v>
      </c>
      <c r="AA72">
        <v>515.64</v>
      </c>
      <c r="AB72">
        <v>0</v>
      </c>
      <c r="AC72">
        <v>0</v>
      </c>
      <c r="AD72">
        <v>0</v>
      </c>
      <c r="AE72">
        <v>72.319999999999993</v>
      </c>
      <c r="AF72">
        <v>0</v>
      </c>
      <c r="AG72">
        <v>0</v>
      </c>
      <c r="AH72">
        <v>0</v>
      </c>
      <c r="AI72">
        <v>7.13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6</v>
      </c>
      <c r="AT72">
        <v>0.84</v>
      </c>
      <c r="AU72" t="s">
        <v>6</v>
      </c>
      <c r="AV72">
        <v>0</v>
      </c>
      <c r="AW72">
        <v>2</v>
      </c>
      <c r="AX72">
        <v>16631282</v>
      </c>
      <c r="AY72">
        <v>1</v>
      </c>
      <c r="AZ72">
        <v>0</v>
      </c>
      <c r="BA72">
        <v>81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Y72*Source!I50</f>
        <v>0.15792</v>
      </c>
      <c r="CY72">
        <f>AA72</f>
        <v>515.64</v>
      </c>
      <c r="CZ72">
        <f>AE72</f>
        <v>72.319999999999993</v>
      </c>
      <c r="DA72">
        <f>AI72</f>
        <v>7.13</v>
      </c>
      <c r="DB72">
        <f>ROUND(ROUND(AT72*CZ72,2),2)</f>
        <v>60.75</v>
      </c>
      <c r="DC72">
        <f>ROUND(ROUND(AT72*AG72,2),2)</f>
        <v>0</v>
      </c>
    </row>
    <row r="73" spans="1:107" x14ac:dyDescent="0.2">
      <c r="A73">
        <f>ROW(Source!A50)</f>
        <v>50</v>
      </c>
      <c r="B73">
        <v>16630606</v>
      </c>
      <c r="C73">
        <v>16631269</v>
      </c>
      <c r="D73">
        <v>15171018</v>
      </c>
      <c r="E73">
        <v>1</v>
      </c>
      <c r="F73">
        <v>1</v>
      </c>
      <c r="G73">
        <v>1</v>
      </c>
      <c r="H73">
        <v>3</v>
      </c>
      <c r="I73" t="s">
        <v>1204</v>
      </c>
      <c r="J73" t="s">
        <v>1205</v>
      </c>
      <c r="K73" t="s">
        <v>1206</v>
      </c>
      <c r="L73">
        <v>1346</v>
      </c>
      <c r="N73">
        <v>1009</v>
      </c>
      <c r="O73" t="s">
        <v>102</v>
      </c>
      <c r="P73" t="s">
        <v>102</v>
      </c>
      <c r="Q73">
        <v>1</v>
      </c>
      <c r="W73">
        <v>0</v>
      </c>
      <c r="X73">
        <v>813963326</v>
      </c>
      <c r="Y73">
        <v>0.31</v>
      </c>
      <c r="AA73">
        <v>12.98</v>
      </c>
      <c r="AB73">
        <v>0</v>
      </c>
      <c r="AC73">
        <v>0</v>
      </c>
      <c r="AD73">
        <v>0</v>
      </c>
      <c r="AE73">
        <v>1.82</v>
      </c>
      <c r="AF73">
        <v>0</v>
      </c>
      <c r="AG73">
        <v>0</v>
      </c>
      <c r="AH73">
        <v>0</v>
      </c>
      <c r="AI73">
        <v>7.13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6</v>
      </c>
      <c r="AT73">
        <v>0.31</v>
      </c>
      <c r="AU73" t="s">
        <v>6</v>
      </c>
      <c r="AV73">
        <v>0</v>
      </c>
      <c r="AW73">
        <v>2</v>
      </c>
      <c r="AX73">
        <v>16631283</v>
      </c>
      <c r="AY73">
        <v>1</v>
      </c>
      <c r="AZ73">
        <v>0</v>
      </c>
      <c r="BA73">
        <v>82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Y73*Source!I50</f>
        <v>5.8279999999999998E-2</v>
      </c>
      <c r="CY73">
        <f>AA73</f>
        <v>12.98</v>
      </c>
      <c r="CZ73">
        <f>AE73</f>
        <v>1.82</v>
      </c>
      <c r="DA73">
        <f>AI73</f>
        <v>7.13</v>
      </c>
      <c r="DB73">
        <f>ROUND(ROUND(AT73*CZ73,2),2)</f>
        <v>0.56000000000000005</v>
      </c>
      <c r="DC73">
        <f>ROUND(ROUND(AT73*AG73,2),2)</f>
        <v>0</v>
      </c>
    </row>
    <row r="74" spans="1:107" x14ac:dyDescent="0.2">
      <c r="A74">
        <f>ROW(Source!A50)</f>
        <v>50</v>
      </c>
      <c r="B74">
        <v>16630606</v>
      </c>
      <c r="C74">
        <v>16631269</v>
      </c>
      <c r="D74">
        <v>15203305</v>
      </c>
      <c r="E74">
        <v>1</v>
      </c>
      <c r="F74">
        <v>1</v>
      </c>
      <c r="G74">
        <v>1</v>
      </c>
      <c r="H74">
        <v>3</v>
      </c>
      <c r="I74" t="s">
        <v>139</v>
      </c>
      <c r="J74" t="s">
        <v>141</v>
      </c>
      <c r="K74" t="s">
        <v>140</v>
      </c>
      <c r="L74">
        <v>1348</v>
      </c>
      <c r="N74">
        <v>1009</v>
      </c>
      <c r="O74" t="s">
        <v>98</v>
      </c>
      <c r="P74" t="s">
        <v>98</v>
      </c>
      <c r="Q74">
        <v>1000</v>
      </c>
      <c r="W74">
        <v>0</v>
      </c>
      <c r="X74">
        <v>654700009</v>
      </c>
      <c r="Y74">
        <v>6.3001000000000001E-2</v>
      </c>
      <c r="AA74">
        <v>110379.53</v>
      </c>
      <c r="AB74">
        <v>0</v>
      </c>
      <c r="AC74">
        <v>0</v>
      </c>
      <c r="AD74">
        <v>0</v>
      </c>
      <c r="AE74">
        <v>15481</v>
      </c>
      <c r="AF74">
        <v>0</v>
      </c>
      <c r="AG74">
        <v>0</v>
      </c>
      <c r="AH74">
        <v>0</v>
      </c>
      <c r="AI74">
        <v>7.13</v>
      </c>
      <c r="AJ74">
        <v>1</v>
      </c>
      <c r="AK74">
        <v>1</v>
      </c>
      <c r="AL74">
        <v>1</v>
      </c>
      <c r="AN74">
        <v>0</v>
      </c>
      <c r="AO74">
        <v>0</v>
      </c>
      <c r="AP74">
        <v>0</v>
      </c>
      <c r="AQ74">
        <v>0</v>
      </c>
      <c r="AR74">
        <v>0</v>
      </c>
      <c r="AS74" t="s">
        <v>6</v>
      </c>
      <c r="AT74">
        <v>6.3001000000000001E-2</v>
      </c>
      <c r="AU74" t="s">
        <v>6</v>
      </c>
      <c r="AV74">
        <v>0</v>
      </c>
      <c r="AW74">
        <v>1</v>
      </c>
      <c r="AX74">
        <v>-1</v>
      </c>
      <c r="AY74">
        <v>0</v>
      </c>
      <c r="AZ74">
        <v>0</v>
      </c>
      <c r="BA74" t="s">
        <v>6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Y74*Source!I50</f>
        <v>1.1844188E-2</v>
      </c>
      <c r="CY74">
        <f>AA74</f>
        <v>110379.53</v>
      </c>
      <c r="CZ74">
        <f>AE74</f>
        <v>15481</v>
      </c>
      <c r="DA74">
        <f>AI74</f>
        <v>7.13</v>
      </c>
      <c r="DB74">
        <f>ROUND(ROUND(AT74*CZ74,2),2)</f>
        <v>975.32</v>
      </c>
      <c r="DC74">
        <f>ROUND(ROUND(AT74*AG74,2),2)</f>
        <v>0</v>
      </c>
    </row>
    <row r="75" spans="1:107" x14ac:dyDescent="0.2">
      <c r="A75">
        <f>ROW(Source!A50)</f>
        <v>50</v>
      </c>
      <c r="B75">
        <v>16630606</v>
      </c>
      <c r="C75">
        <v>16631269</v>
      </c>
      <c r="D75">
        <v>15204729</v>
      </c>
      <c r="E75">
        <v>1</v>
      </c>
      <c r="F75">
        <v>1</v>
      </c>
      <c r="G75">
        <v>1</v>
      </c>
      <c r="H75">
        <v>3</v>
      </c>
      <c r="I75" t="s">
        <v>1236</v>
      </c>
      <c r="J75" t="s">
        <v>1237</v>
      </c>
      <c r="K75" t="s">
        <v>1238</v>
      </c>
      <c r="L75">
        <v>1348</v>
      </c>
      <c r="N75">
        <v>1009</v>
      </c>
      <c r="O75" t="s">
        <v>98</v>
      </c>
      <c r="P75" t="s">
        <v>98</v>
      </c>
      <c r="Q75">
        <v>1000</v>
      </c>
      <c r="W75">
        <v>0</v>
      </c>
      <c r="X75">
        <v>-2084827333</v>
      </c>
      <c r="Y75">
        <v>5.0999999999999997E-2</v>
      </c>
      <c r="AA75">
        <v>30616.22</v>
      </c>
      <c r="AB75">
        <v>0</v>
      </c>
      <c r="AC75">
        <v>0</v>
      </c>
      <c r="AD75">
        <v>0</v>
      </c>
      <c r="AE75">
        <v>4294</v>
      </c>
      <c r="AF75">
        <v>0</v>
      </c>
      <c r="AG75">
        <v>0</v>
      </c>
      <c r="AH75">
        <v>0</v>
      </c>
      <c r="AI75">
        <v>7.13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6</v>
      </c>
      <c r="AT75">
        <v>5.0999999999999997E-2</v>
      </c>
      <c r="AU75" t="s">
        <v>6</v>
      </c>
      <c r="AV75">
        <v>0</v>
      </c>
      <c r="AW75">
        <v>2</v>
      </c>
      <c r="AX75">
        <v>16631285</v>
      </c>
      <c r="AY75">
        <v>1</v>
      </c>
      <c r="AZ75">
        <v>0</v>
      </c>
      <c r="BA75">
        <v>84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Y75*Source!I50</f>
        <v>9.5879999999999993E-3</v>
      </c>
      <c r="CY75">
        <f>AA75</f>
        <v>30616.22</v>
      </c>
      <c r="CZ75">
        <f>AE75</f>
        <v>4294</v>
      </c>
      <c r="DA75">
        <f>AI75</f>
        <v>7.13</v>
      </c>
      <c r="DB75">
        <f>ROUND(ROUND(AT75*CZ75,2),2)</f>
        <v>218.99</v>
      </c>
      <c r="DC75">
        <f>ROUND(ROUND(AT75*AG75,2),2)</f>
        <v>0</v>
      </c>
    </row>
    <row r="76" spans="1:107" x14ac:dyDescent="0.2">
      <c r="A76">
        <f>ROW(Source!A52)</f>
        <v>52</v>
      </c>
      <c r="B76">
        <v>16630606</v>
      </c>
      <c r="C76">
        <v>16631287</v>
      </c>
      <c r="D76">
        <v>15436014</v>
      </c>
      <c r="E76">
        <v>1</v>
      </c>
      <c r="F76">
        <v>1</v>
      </c>
      <c r="G76">
        <v>1</v>
      </c>
      <c r="H76">
        <v>1</v>
      </c>
      <c r="I76" t="s">
        <v>1181</v>
      </c>
      <c r="J76" t="s">
        <v>6</v>
      </c>
      <c r="K76" t="s">
        <v>1182</v>
      </c>
      <c r="L76">
        <v>1191</v>
      </c>
      <c r="N76">
        <v>1013</v>
      </c>
      <c r="O76" t="s">
        <v>1148</v>
      </c>
      <c r="P76" t="s">
        <v>1148</v>
      </c>
      <c r="Q76">
        <v>1</v>
      </c>
      <c r="W76">
        <v>0</v>
      </c>
      <c r="X76">
        <v>-784637506</v>
      </c>
      <c r="Y76">
        <v>19.135999999999999</v>
      </c>
      <c r="AA76">
        <v>0</v>
      </c>
      <c r="AB76">
        <v>0</v>
      </c>
      <c r="AC76">
        <v>0</v>
      </c>
      <c r="AD76">
        <v>62.32</v>
      </c>
      <c r="AE76">
        <v>0</v>
      </c>
      <c r="AF76">
        <v>0</v>
      </c>
      <c r="AG76">
        <v>0</v>
      </c>
      <c r="AH76">
        <v>8.74</v>
      </c>
      <c r="AI76">
        <v>1</v>
      </c>
      <c r="AJ76">
        <v>1</v>
      </c>
      <c r="AK76">
        <v>1</v>
      </c>
      <c r="AL76">
        <v>7.13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6</v>
      </c>
      <c r="AT76">
        <v>16.64</v>
      </c>
      <c r="AU76" t="s">
        <v>82</v>
      </c>
      <c r="AV76">
        <v>1</v>
      </c>
      <c r="AW76">
        <v>2</v>
      </c>
      <c r="AX76">
        <v>16631292</v>
      </c>
      <c r="AY76">
        <v>1</v>
      </c>
      <c r="AZ76">
        <v>0</v>
      </c>
      <c r="BA76">
        <v>85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Y76*Source!I52</f>
        <v>2.6790400000000001</v>
      </c>
      <c r="CY76">
        <f>AD76</f>
        <v>62.32</v>
      </c>
      <c r="CZ76">
        <f>AH76</f>
        <v>8.74</v>
      </c>
      <c r="DA76">
        <f>AL76</f>
        <v>7.13</v>
      </c>
      <c r="DB76">
        <f>ROUND((ROUND(AT76*CZ76,2)*1.15),2)</f>
        <v>167.24</v>
      </c>
      <c r="DC76">
        <f>ROUND((ROUND(AT76*AG76,2)*1.15),2)</f>
        <v>0</v>
      </c>
    </row>
    <row r="77" spans="1:107" x14ac:dyDescent="0.2">
      <c r="A77">
        <f>ROW(Source!A52)</f>
        <v>52</v>
      </c>
      <c r="B77">
        <v>16630606</v>
      </c>
      <c r="C77">
        <v>16631287</v>
      </c>
      <c r="D77">
        <v>15169972</v>
      </c>
      <c r="E77">
        <v>1</v>
      </c>
      <c r="F77">
        <v>1</v>
      </c>
      <c r="G77">
        <v>1</v>
      </c>
      <c r="H77">
        <v>3</v>
      </c>
      <c r="I77" t="s">
        <v>1239</v>
      </c>
      <c r="J77" t="s">
        <v>1240</v>
      </c>
      <c r="K77" t="s">
        <v>1241</v>
      </c>
      <c r="L77">
        <v>1355</v>
      </c>
      <c r="N77">
        <v>1010</v>
      </c>
      <c r="O77" t="s">
        <v>243</v>
      </c>
      <c r="P77" t="s">
        <v>243</v>
      </c>
      <c r="Q77">
        <v>100</v>
      </c>
      <c r="W77">
        <v>0</v>
      </c>
      <c r="X77">
        <v>-725528132</v>
      </c>
      <c r="Y77">
        <v>6.7</v>
      </c>
      <c r="AA77">
        <v>85.56</v>
      </c>
      <c r="AB77">
        <v>0</v>
      </c>
      <c r="AC77">
        <v>0</v>
      </c>
      <c r="AD77">
        <v>0</v>
      </c>
      <c r="AE77">
        <v>12</v>
      </c>
      <c r="AF77">
        <v>0</v>
      </c>
      <c r="AG77">
        <v>0</v>
      </c>
      <c r="AH77">
        <v>0</v>
      </c>
      <c r="AI77">
        <v>7.13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6.7</v>
      </c>
      <c r="AU77" t="s">
        <v>6</v>
      </c>
      <c r="AV77">
        <v>0</v>
      </c>
      <c r="AW77">
        <v>2</v>
      </c>
      <c r="AX77">
        <v>16631293</v>
      </c>
      <c r="AY77">
        <v>1</v>
      </c>
      <c r="AZ77">
        <v>0</v>
      </c>
      <c r="BA77">
        <v>86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Y77*Source!I52</f>
        <v>0.93800000000000017</v>
      </c>
      <c r="CY77">
        <f>AA77</f>
        <v>85.56</v>
      </c>
      <c r="CZ77">
        <f>AE77</f>
        <v>12</v>
      </c>
      <c r="DA77">
        <f>AI77</f>
        <v>7.13</v>
      </c>
      <c r="DB77">
        <f>ROUND(ROUND(AT77*CZ77,2),2)</f>
        <v>80.400000000000006</v>
      </c>
      <c r="DC77">
        <f>ROUND(ROUND(AT77*AG77,2),2)</f>
        <v>0</v>
      </c>
    </row>
    <row r="78" spans="1:107" x14ac:dyDescent="0.2">
      <c r="A78">
        <f>ROW(Source!A52)</f>
        <v>52</v>
      </c>
      <c r="B78">
        <v>16630606</v>
      </c>
      <c r="C78">
        <v>16631287</v>
      </c>
      <c r="D78">
        <v>15162775</v>
      </c>
      <c r="E78">
        <v>17</v>
      </c>
      <c r="F78">
        <v>1</v>
      </c>
      <c r="G78">
        <v>1</v>
      </c>
      <c r="H78">
        <v>3</v>
      </c>
      <c r="I78" t="s">
        <v>148</v>
      </c>
      <c r="J78" t="s">
        <v>6</v>
      </c>
      <c r="K78" t="s">
        <v>149</v>
      </c>
      <c r="L78">
        <v>1301</v>
      </c>
      <c r="N78">
        <v>1003</v>
      </c>
      <c r="O78" t="s">
        <v>150</v>
      </c>
      <c r="P78" t="s">
        <v>150</v>
      </c>
      <c r="Q78">
        <v>1</v>
      </c>
      <c r="W78">
        <v>0</v>
      </c>
      <c r="X78">
        <v>2101938969</v>
      </c>
      <c r="Y78">
        <v>105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7.13</v>
      </c>
      <c r="AJ78">
        <v>1</v>
      </c>
      <c r="AK78">
        <v>1</v>
      </c>
      <c r="AL78">
        <v>1</v>
      </c>
      <c r="AN78">
        <v>0</v>
      </c>
      <c r="AO78">
        <v>0</v>
      </c>
      <c r="AP78">
        <v>0</v>
      </c>
      <c r="AQ78">
        <v>0</v>
      </c>
      <c r="AR78">
        <v>0</v>
      </c>
      <c r="AS78" t="s">
        <v>6</v>
      </c>
      <c r="AT78">
        <v>105</v>
      </c>
      <c r="AU78" t="s">
        <v>6</v>
      </c>
      <c r="AV78">
        <v>0</v>
      </c>
      <c r="AW78">
        <v>2</v>
      </c>
      <c r="AX78">
        <v>16631294</v>
      </c>
      <c r="AY78">
        <v>1</v>
      </c>
      <c r="AZ78">
        <v>0</v>
      </c>
      <c r="BA78">
        <v>87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Y78*Source!I52</f>
        <v>14.700000000000001</v>
      </c>
      <c r="CY78">
        <f>AA78</f>
        <v>0</v>
      </c>
      <c r="CZ78">
        <f>AE78</f>
        <v>0</v>
      </c>
      <c r="DA78">
        <f>AI78</f>
        <v>7.13</v>
      </c>
      <c r="DB78">
        <f>ROUND(ROUND(AT78*CZ78,2),2)</f>
        <v>0</v>
      </c>
      <c r="DC78">
        <f>ROUND(ROUND(AT78*AG78,2),2)</f>
        <v>0</v>
      </c>
    </row>
    <row r="79" spans="1:107" x14ac:dyDescent="0.2">
      <c r="A79">
        <f>ROW(Source!A52)</f>
        <v>52</v>
      </c>
      <c r="B79">
        <v>16630606</v>
      </c>
      <c r="C79">
        <v>16631287</v>
      </c>
      <c r="D79">
        <v>15192892</v>
      </c>
      <c r="E79">
        <v>1</v>
      </c>
      <c r="F79">
        <v>1</v>
      </c>
      <c r="G79">
        <v>1</v>
      </c>
      <c r="H79">
        <v>3</v>
      </c>
      <c r="I79" t="s">
        <v>152</v>
      </c>
      <c r="J79" t="s">
        <v>154</v>
      </c>
      <c r="K79" t="s">
        <v>153</v>
      </c>
      <c r="L79">
        <v>1301</v>
      </c>
      <c r="N79">
        <v>1003</v>
      </c>
      <c r="O79" t="s">
        <v>150</v>
      </c>
      <c r="P79" t="s">
        <v>150</v>
      </c>
      <c r="Q79">
        <v>1</v>
      </c>
      <c r="W79">
        <v>0</v>
      </c>
      <c r="X79">
        <v>-208962189</v>
      </c>
      <c r="Y79">
        <v>105</v>
      </c>
      <c r="AA79">
        <v>161</v>
      </c>
      <c r="AB79">
        <v>0</v>
      </c>
      <c r="AC79">
        <v>0</v>
      </c>
      <c r="AD79">
        <v>0</v>
      </c>
      <c r="AE79">
        <v>22.58</v>
      </c>
      <c r="AF79">
        <v>0</v>
      </c>
      <c r="AG79">
        <v>0</v>
      </c>
      <c r="AH79">
        <v>0</v>
      </c>
      <c r="AI79">
        <v>7.13</v>
      </c>
      <c r="AJ79">
        <v>1</v>
      </c>
      <c r="AK79">
        <v>1</v>
      </c>
      <c r="AL79">
        <v>1</v>
      </c>
      <c r="AN79">
        <v>0</v>
      </c>
      <c r="AO79">
        <v>0</v>
      </c>
      <c r="AP79">
        <v>0</v>
      </c>
      <c r="AQ79">
        <v>0</v>
      </c>
      <c r="AR79">
        <v>0</v>
      </c>
      <c r="AS79" t="s">
        <v>6</v>
      </c>
      <c r="AT79">
        <v>105</v>
      </c>
      <c r="AU79" t="s">
        <v>6</v>
      </c>
      <c r="AV79">
        <v>0</v>
      </c>
      <c r="AW79">
        <v>1</v>
      </c>
      <c r="AX79">
        <v>-1</v>
      </c>
      <c r="AY79">
        <v>0</v>
      </c>
      <c r="AZ79">
        <v>0</v>
      </c>
      <c r="BA79" t="s">
        <v>6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Y79*Source!I52</f>
        <v>14.700000000000001</v>
      </c>
      <c r="CY79">
        <f>AA79</f>
        <v>161</v>
      </c>
      <c r="CZ79">
        <f>AE79</f>
        <v>22.58</v>
      </c>
      <c r="DA79">
        <f>AI79</f>
        <v>7.13</v>
      </c>
      <c r="DB79">
        <f>ROUND(ROUND(AT79*CZ79,2),2)</f>
        <v>2370.9</v>
      </c>
      <c r="DC79">
        <f>ROUND(ROUND(AT79*AG79,2),2)</f>
        <v>0</v>
      </c>
    </row>
    <row r="80" spans="1:107" x14ac:dyDescent="0.2">
      <c r="A80">
        <f>ROW(Source!A55)</f>
        <v>55</v>
      </c>
      <c r="B80">
        <v>16630606</v>
      </c>
      <c r="C80">
        <v>16631297</v>
      </c>
      <c r="D80">
        <v>15432236</v>
      </c>
      <c r="E80">
        <v>1</v>
      </c>
      <c r="F80">
        <v>1</v>
      </c>
      <c r="G80">
        <v>1</v>
      </c>
      <c r="H80">
        <v>1</v>
      </c>
      <c r="I80" t="s">
        <v>1242</v>
      </c>
      <c r="J80" t="s">
        <v>6</v>
      </c>
      <c r="K80" t="s">
        <v>1243</v>
      </c>
      <c r="L80">
        <v>1191</v>
      </c>
      <c r="N80">
        <v>1013</v>
      </c>
      <c r="O80" t="s">
        <v>1148</v>
      </c>
      <c r="P80" t="s">
        <v>1148</v>
      </c>
      <c r="Q80">
        <v>1</v>
      </c>
      <c r="W80">
        <v>0</v>
      </c>
      <c r="X80">
        <v>-509590494</v>
      </c>
      <c r="Y80">
        <v>8.9930000000000003</v>
      </c>
      <c r="AA80">
        <v>0</v>
      </c>
      <c r="AB80">
        <v>0</v>
      </c>
      <c r="AC80">
        <v>0</v>
      </c>
      <c r="AD80">
        <v>58.25</v>
      </c>
      <c r="AE80">
        <v>0</v>
      </c>
      <c r="AF80">
        <v>0</v>
      </c>
      <c r="AG80">
        <v>0</v>
      </c>
      <c r="AH80">
        <v>8.17</v>
      </c>
      <c r="AI80">
        <v>1</v>
      </c>
      <c r="AJ80">
        <v>1</v>
      </c>
      <c r="AK80">
        <v>1</v>
      </c>
      <c r="AL80">
        <v>7.13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6</v>
      </c>
      <c r="AT80">
        <v>7.82</v>
      </c>
      <c r="AU80" t="s">
        <v>82</v>
      </c>
      <c r="AV80">
        <v>1</v>
      </c>
      <c r="AW80">
        <v>2</v>
      </c>
      <c r="AX80">
        <v>16631305</v>
      </c>
      <c r="AY80">
        <v>1</v>
      </c>
      <c r="AZ80">
        <v>0</v>
      </c>
      <c r="BA80">
        <v>88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Y80*Source!I55</f>
        <v>19.946474000000002</v>
      </c>
      <c r="CY80">
        <f>AD80</f>
        <v>58.25</v>
      </c>
      <c r="CZ80">
        <f>AH80</f>
        <v>8.17</v>
      </c>
      <c r="DA80">
        <f>AL80</f>
        <v>7.13</v>
      </c>
      <c r="DB80">
        <f>ROUND((ROUND(AT80*CZ80,2)*1.15),2)</f>
        <v>73.47</v>
      </c>
      <c r="DC80">
        <f>ROUND((ROUND(AT80*AG80,2)*1.15),2)</f>
        <v>0</v>
      </c>
    </row>
    <row r="81" spans="1:107" x14ac:dyDescent="0.2">
      <c r="A81">
        <f>ROW(Source!A55)</f>
        <v>55</v>
      </c>
      <c r="B81">
        <v>16630606</v>
      </c>
      <c r="C81">
        <v>16631297</v>
      </c>
      <c r="D81">
        <v>15430395</v>
      </c>
      <c r="E81">
        <v>1</v>
      </c>
      <c r="F81">
        <v>1</v>
      </c>
      <c r="G81">
        <v>1</v>
      </c>
      <c r="H81">
        <v>1</v>
      </c>
      <c r="I81" t="s">
        <v>1149</v>
      </c>
      <c r="J81" t="s">
        <v>6</v>
      </c>
      <c r="K81" t="s">
        <v>1150</v>
      </c>
      <c r="L81">
        <v>1191</v>
      </c>
      <c r="N81">
        <v>1013</v>
      </c>
      <c r="O81" t="s">
        <v>1148</v>
      </c>
      <c r="P81" t="s">
        <v>1148</v>
      </c>
      <c r="Q81">
        <v>1</v>
      </c>
      <c r="W81">
        <v>0</v>
      </c>
      <c r="X81">
        <v>-1417349443</v>
      </c>
      <c r="Y81">
        <v>0.04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1</v>
      </c>
      <c r="AJ81">
        <v>1</v>
      </c>
      <c r="AK81">
        <v>7.13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6</v>
      </c>
      <c r="AT81">
        <v>0.04</v>
      </c>
      <c r="AU81" t="s">
        <v>6</v>
      </c>
      <c r="AV81">
        <v>2</v>
      </c>
      <c r="AW81">
        <v>2</v>
      </c>
      <c r="AX81">
        <v>16631306</v>
      </c>
      <c r="AY81">
        <v>1</v>
      </c>
      <c r="AZ81">
        <v>2048</v>
      </c>
      <c r="BA81">
        <v>89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Y81*Source!I55</f>
        <v>8.8720000000000007E-2</v>
      </c>
      <c r="CY81">
        <f>AD81</f>
        <v>0</v>
      </c>
      <c r="CZ81">
        <f>AH81</f>
        <v>0</v>
      </c>
      <c r="DA81">
        <f>AL81</f>
        <v>1</v>
      </c>
      <c r="DB81">
        <f>ROUND(ROUND(AT81*CZ81,2),2)</f>
        <v>0</v>
      </c>
      <c r="DC81">
        <f>ROUND(ROUND(AT81*AG81,2),2)</f>
        <v>0</v>
      </c>
    </row>
    <row r="82" spans="1:107" x14ac:dyDescent="0.2">
      <c r="A82">
        <f>ROW(Source!A55)</f>
        <v>55</v>
      </c>
      <c r="B82">
        <v>16630606</v>
      </c>
      <c r="C82">
        <v>16631297</v>
      </c>
      <c r="D82">
        <v>15249073</v>
      </c>
      <c r="E82">
        <v>1</v>
      </c>
      <c r="F82">
        <v>1</v>
      </c>
      <c r="G82">
        <v>1</v>
      </c>
      <c r="H82">
        <v>2</v>
      </c>
      <c r="I82" t="s">
        <v>1157</v>
      </c>
      <c r="J82" t="s">
        <v>1158</v>
      </c>
      <c r="K82" t="s">
        <v>1159</v>
      </c>
      <c r="L82">
        <v>1368</v>
      </c>
      <c r="N82">
        <v>1011</v>
      </c>
      <c r="O82" t="s">
        <v>1154</v>
      </c>
      <c r="P82" t="s">
        <v>1154</v>
      </c>
      <c r="Q82">
        <v>1</v>
      </c>
      <c r="W82">
        <v>0</v>
      </c>
      <c r="X82">
        <v>1372534845</v>
      </c>
      <c r="Y82">
        <v>0.05</v>
      </c>
      <c r="AA82">
        <v>0</v>
      </c>
      <c r="AB82">
        <v>468.51</v>
      </c>
      <c r="AC82">
        <v>11.6</v>
      </c>
      <c r="AD82">
        <v>0</v>
      </c>
      <c r="AE82">
        <v>0</v>
      </c>
      <c r="AF82">
        <v>65.709999999999994</v>
      </c>
      <c r="AG82">
        <v>11.6</v>
      </c>
      <c r="AH82">
        <v>0</v>
      </c>
      <c r="AI82">
        <v>1</v>
      </c>
      <c r="AJ82">
        <v>7.13</v>
      </c>
      <c r="AK82">
        <v>1</v>
      </c>
      <c r="AL82">
        <v>1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6</v>
      </c>
      <c r="AT82">
        <v>0.04</v>
      </c>
      <c r="AU82" t="s">
        <v>81</v>
      </c>
      <c r="AV82">
        <v>0</v>
      </c>
      <c r="AW82">
        <v>2</v>
      </c>
      <c r="AX82">
        <v>16631307</v>
      </c>
      <c r="AY82">
        <v>1</v>
      </c>
      <c r="AZ82">
        <v>0</v>
      </c>
      <c r="BA82">
        <v>90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Y82*Source!I55</f>
        <v>0.1109</v>
      </c>
      <c r="CY82">
        <f>AB82</f>
        <v>468.51</v>
      </c>
      <c r="CZ82">
        <f>AF82</f>
        <v>65.709999999999994</v>
      </c>
      <c r="DA82">
        <f>AJ82</f>
        <v>7.13</v>
      </c>
      <c r="DB82">
        <f>ROUND((ROUND(AT82*CZ82,2)*1.25),2)</f>
        <v>3.29</v>
      </c>
      <c r="DC82">
        <f>ROUND((ROUND(AT82*AG82,2)*1.25),2)</f>
        <v>0.57999999999999996</v>
      </c>
    </row>
    <row r="83" spans="1:107" x14ac:dyDescent="0.2">
      <c r="A83">
        <f>ROW(Source!A55)</f>
        <v>55</v>
      </c>
      <c r="B83">
        <v>16630606</v>
      </c>
      <c r="C83">
        <v>16631297</v>
      </c>
      <c r="D83">
        <v>15170039</v>
      </c>
      <c r="E83">
        <v>1</v>
      </c>
      <c r="F83">
        <v>1</v>
      </c>
      <c r="G83">
        <v>1</v>
      </c>
      <c r="H83">
        <v>3</v>
      </c>
      <c r="I83" t="s">
        <v>1160</v>
      </c>
      <c r="J83" t="s">
        <v>1161</v>
      </c>
      <c r="K83" t="s">
        <v>1162</v>
      </c>
      <c r="L83">
        <v>1348</v>
      </c>
      <c r="N83">
        <v>1009</v>
      </c>
      <c r="O83" t="s">
        <v>98</v>
      </c>
      <c r="P83" t="s">
        <v>98</v>
      </c>
      <c r="Q83">
        <v>1000</v>
      </c>
      <c r="W83">
        <v>0</v>
      </c>
      <c r="X83">
        <v>1174701286</v>
      </c>
      <c r="Y83">
        <v>7.1000000000000002E-4</v>
      </c>
      <c r="AA83">
        <v>85403.14</v>
      </c>
      <c r="AB83">
        <v>0</v>
      </c>
      <c r="AC83">
        <v>0</v>
      </c>
      <c r="AD83">
        <v>0</v>
      </c>
      <c r="AE83">
        <v>11978</v>
      </c>
      <c r="AF83">
        <v>0</v>
      </c>
      <c r="AG83">
        <v>0</v>
      </c>
      <c r="AH83">
        <v>0</v>
      </c>
      <c r="AI83">
        <v>7.13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6</v>
      </c>
      <c r="AT83">
        <v>7.1000000000000002E-4</v>
      </c>
      <c r="AU83" t="s">
        <v>6</v>
      </c>
      <c r="AV83">
        <v>0</v>
      </c>
      <c r="AW83">
        <v>2</v>
      </c>
      <c r="AX83">
        <v>16631308</v>
      </c>
      <c r="AY83">
        <v>1</v>
      </c>
      <c r="AZ83">
        <v>0</v>
      </c>
      <c r="BA83">
        <v>91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Y83*Source!I55</f>
        <v>1.57478E-3</v>
      </c>
      <c r="CY83">
        <f>AA83</f>
        <v>85403.14</v>
      </c>
      <c r="CZ83">
        <f>AE83</f>
        <v>11978</v>
      </c>
      <c r="DA83">
        <f>AI83</f>
        <v>7.13</v>
      </c>
      <c r="DB83">
        <f>ROUND(ROUND(AT83*CZ83,2),2)</f>
        <v>8.5</v>
      </c>
      <c r="DC83">
        <f>ROUND(ROUND(AT83*AG83,2),2)</f>
        <v>0</v>
      </c>
    </row>
    <row r="84" spans="1:107" x14ac:dyDescent="0.2">
      <c r="A84">
        <f>ROW(Source!A55)</f>
        <v>55</v>
      </c>
      <c r="B84">
        <v>16630606</v>
      </c>
      <c r="C84">
        <v>16631297</v>
      </c>
      <c r="D84">
        <v>15162185</v>
      </c>
      <c r="E84">
        <v>17</v>
      </c>
      <c r="F84">
        <v>1</v>
      </c>
      <c r="G84">
        <v>1</v>
      </c>
      <c r="H84">
        <v>3</v>
      </c>
      <c r="I84" t="s">
        <v>160</v>
      </c>
      <c r="J84" t="s">
        <v>6</v>
      </c>
      <c r="K84" t="s">
        <v>161</v>
      </c>
      <c r="L84">
        <v>1301</v>
      </c>
      <c r="N84">
        <v>1003</v>
      </c>
      <c r="O84" t="s">
        <v>150</v>
      </c>
      <c r="P84" t="s">
        <v>150</v>
      </c>
      <c r="Q84">
        <v>1</v>
      </c>
      <c r="W84">
        <v>0</v>
      </c>
      <c r="X84">
        <v>1542502361</v>
      </c>
      <c r="Y84">
        <v>112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7.13</v>
      </c>
      <c r="AJ84">
        <v>1</v>
      </c>
      <c r="AK84">
        <v>1</v>
      </c>
      <c r="AL84">
        <v>1</v>
      </c>
      <c r="AN84">
        <v>0</v>
      </c>
      <c r="AO84">
        <v>0</v>
      </c>
      <c r="AP84">
        <v>0</v>
      </c>
      <c r="AQ84">
        <v>0</v>
      </c>
      <c r="AR84">
        <v>0</v>
      </c>
      <c r="AS84" t="s">
        <v>6</v>
      </c>
      <c r="AT84">
        <v>112</v>
      </c>
      <c r="AU84" t="s">
        <v>6</v>
      </c>
      <c r="AV84">
        <v>0</v>
      </c>
      <c r="AW84">
        <v>2</v>
      </c>
      <c r="AX84">
        <v>16631309</v>
      </c>
      <c r="AY84">
        <v>1</v>
      </c>
      <c r="AZ84">
        <v>0</v>
      </c>
      <c r="BA84">
        <v>92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Y84*Source!I55</f>
        <v>248.416</v>
      </c>
      <c r="CY84">
        <f>AA84</f>
        <v>0</v>
      </c>
      <c r="CZ84">
        <f>AE84</f>
        <v>0</v>
      </c>
      <c r="DA84">
        <f>AI84</f>
        <v>7.13</v>
      </c>
      <c r="DB84">
        <f>ROUND(ROUND(AT84*CZ84,2),2)</f>
        <v>0</v>
      </c>
      <c r="DC84">
        <f>ROUND(ROUND(AT84*AG84,2),2)</f>
        <v>0</v>
      </c>
    </row>
    <row r="85" spans="1:107" x14ac:dyDescent="0.2">
      <c r="A85">
        <f>ROW(Source!A55)</f>
        <v>55</v>
      </c>
      <c r="B85">
        <v>16630606</v>
      </c>
      <c r="C85">
        <v>16631297</v>
      </c>
      <c r="D85">
        <v>15195506</v>
      </c>
      <c r="E85">
        <v>1</v>
      </c>
      <c r="F85">
        <v>1</v>
      </c>
      <c r="G85">
        <v>1</v>
      </c>
      <c r="H85">
        <v>3</v>
      </c>
      <c r="I85" t="s">
        <v>163</v>
      </c>
      <c r="J85" t="s">
        <v>165</v>
      </c>
      <c r="K85" t="s">
        <v>164</v>
      </c>
      <c r="L85">
        <v>1301</v>
      </c>
      <c r="N85">
        <v>1003</v>
      </c>
      <c r="O85" t="s">
        <v>150</v>
      </c>
      <c r="P85" t="s">
        <v>150</v>
      </c>
      <c r="Q85">
        <v>1</v>
      </c>
      <c r="W85">
        <v>0</v>
      </c>
      <c r="X85">
        <v>1426628376</v>
      </c>
      <c r="Y85">
        <v>45.987375999999998</v>
      </c>
      <c r="AA85">
        <v>28.02</v>
      </c>
      <c r="AB85">
        <v>0</v>
      </c>
      <c r="AC85">
        <v>0</v>
      </c>
      <c r="AD85">
        <v>0</v>
      </c>
      <c r="AE85">
        <v>3.93</v>
      </c>
      <c r="AF85">
        <v>0</v>
      </c>
      <c r="AG85">
        <v>0</v>
      </c>
      <c r="AH85">
        <v>0</v>
      </c>
      <c r="AI85">
        <v>7.13</v>
      </c>
      <c r="AJ85">
        <v>1</v>
      </c>
      <c r="AK85">
        <v>1</v>
      </c>
      <c r="AL85">
        <v>1</v>
      </c>
      <c r="AN85">
        <v>0</v>
      </c>
      <c r="AO85">
        <v>0</v>
      </c>
      <c r="AP85">
        <v>0</v>
      </c>
      <c r="AQ85">
        <v>0</v>
      </c>
      <c r="AR85">
        <v>0</v>
      </c>
      <c r="AS85" t="s">
        <v>6</v>
      </c>
      <c r="AT85">
        <v>45.987375999999998</v>
      </c>
      <c r="AU85" t="s">
        <v>6</v>
      </c>
      <c r="AV85">
        <v>0</v>
      </c>
      <c r="AW85">
        <v>1</v>
      </c>
      <c r="AX85">
        <v>-1</v>
      </c>
      <c r="AY85">
        <v>0</v>
      </c>
      <c r="AZ85">
        <v>0</v>
      </c>
      <c r="BA85" t="s">
        <v>6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Y85*Source!I55</f>
        <v>101.999999968</v>
      </c>
      <c r="CY85">
        <f>AA85</f>
        <v>28.02</v>
      </c>
      <c r="CZ85">
        <f>AE85</f>
        <v>3.93</v>
      </c>
      <c r="DA85">
        <f>AI85</f>
        <v>7.13</v>
      </c>
      <c r="DB85">
        <f>ROUND(ROUND(AT85*CZ85,2),2)</f>
        <v>180.73</v>
      </c>
      <c r="DC85">
        <f>ROUND(ROUND(AT85*AG85,2),2)</f>
        <v>0</v>
      </c>
    </row>
    <row r="86" spans="1:107" x14ac:dyDescent="0.2">
      <c r="A86">
        <f>ROW(Source!A55)</f>
        <v>55</v>
      </c>
      <c r="B86">
        <v>16630606</v>
      </c>
      <c r="C86">
        <v>16631297</v>
      </c>
      <c r="D86">
        <v>15197635</v>
      </c>
      <c r="E86">
        <v>1</v>
      </c>
      <c r="F86">
        <v>1</v>
      </c>
      <c r="G86">
        <v>1</v>
      </c>
      <c r="H86">
        <v>3</v>
      </c>
      <c r="I86" t="s">
        <v>167</v>
      </c>
      <c r="J86" t="s">
        <v>169</v>
      </c>
      <c r="K86" t="s">
        <v>168</v>
      </c>
      <c r="L86">
        <v>1301</v>
      </c>
      <c r="N86">
        <v>1003</v>
      </c>
      <c r="O86" t="s">
        <v>150</v>
      </c>
      <c r="P86" t="s">
        <v>150</v>
      </c>
      <c r="Q86">
        <v>1</v>
      </c>
      <c r="W86">
        <v>0</v>
      </c>
      <c r="X86">
        <v>-1018238883</v>
      </c>
      <c r="Y86">
        <v>54.012624000000002</v>
      </c>
      <c r="AA86">
        <v>138.11000000000001</v>
      </c>
      <c r="AB86">
        <v>0</v>
      </c>
      <c r="AC86">
        <v>0</v>
      </c>
      <c r="AD86">
        <v>0</v>
      </c>
      <c r="AE86">
        <v>19.37</v>
      </c>
      <c r="AF86">
        <v>0</v>
      </c>
      <c r="AG86">
        <v>0</v>
      </c>
      <c r="AH86">
        <v>0</v>
      </c>
      <c r="AI86">
        <v>7.13</v>
      </c>
      <c r="AJ86">
        <v>1</v>
      </c>
      <c r="AK86">
        <v>1</v>
      </c>
      <c r="AL86">
        <v>1</v>
      </c>
      <c r="AN86">
        <v>0</v>
      </c>
      <c r="AO86">
        <v>0</v>
      </c>
      <c r="AP86">
        <v>0</v>
      </c>
      <c r="AQ86">
        <v>0</v>
      </c>
      <c r="AR86">
        <v>0</v>
      </c>
      <c r="AS86" t="s">
        <v>6</v>
      </c>
      <c r="AT86">
        <v>54.012624000000002</v>
      </c>
      <c r="AU86" t="s">
        <v>6</v>
      </c>
      <c r="AV86">
        <v>0</v>
      </c>
      <c r="AW86">
        <v>1</v>
      </c>
      <c r="AX86">
        <v>-1</v>
      </c>
      <c r="AY86">
        <v>0</v>
      </c>
      <c r="AZ86">
        <v>0</v>
      </c>
      <c r="BA86" t="s">
        <v>6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Y86*Source!I55</f>
        <v>119.800000032</v>
      </c>
      <c r="CY86">
        <f>AA86</f>
        <v>138.11000000000001</v>
      </c>
      <c r="CZ86">
        <f>AE86</f>
        <v>19.37</v>
      </c>
      <c r="DA86">
        <f>AI86</f>
        <v>7.13</v>
      </c>
      <c r="DB86">
        <f>ROUND(ROUND(AT86*CZ86,2),2)</f>
        <v>1046.22</v>
      </c>
      <c r="DC86">
        <f>ROUND(ROUND(AT86*AG86,2),2)</f>
        <v>0</v>
      </c>
    </row>
    <row r="87" spans="1:107" x14ac:dyDescent="0.2">
      <c r="A87">
        <f>ROW(Source!A59)</f>
        <v>59</v>
      </c>
      <c r="B87">
        <v>16630606</v>
      </c>
      <c r="C87">
        <v>16631313</v>
      </c>
      <c r="D87">
        <v>15438286</v>
      </c>
      <c r="E87">
        <v>1</v>
      </c>
      <c r="F87">
        <v>1</v>
      </c>
      <c r="G87">
        <v>1</v>
      </c>
      <c r="H87">
        <v>1</v>
      </c>
      <c r="I87" t="s">
        <v>1244</v>
      </c>
      <c r="J87" t="s">
        <v>6</v>
      </c>
      <c r="K87" t="s">
        <v>1245</v>
      </c>
      <c r="L87">
        <v>1191</v>
      </c>
      <c r="N87">
        <v>1013</v>
      </c>
      <c r="O87" t="s">
        <v>1148</v>
      </c>
      <c r="P87" t="s">
        <v>1148</v>
      </c>
      <c r="Q87">
        <v>1</v>
      </c>
      <c r="W87">
        <v>0</v>
      </c>
      <c r="X87">
        <v>-1027537862</v>
      </c>
      <c r="Y87">
        <v>102.95949999999999</v>
      </c>
      <c r="AA87">
        <v>0</v>
      </c>
      <c r="AB87">
        <v>0</v>
      </c>
      <c r="AC87">
        <v>0</v>
      </c>
      <c r="AD87">
        <v>65.45</v>
      </c>
      <c r="AE87">
        <v>0</v>
      </c>
      <c r="AF87">
        <v>0</v>
      </c>
      <c r="AG87">
        <v>0</v>
      </c>
      <c r="AH87">
        <v>9.18</v>
      </c>
      <c r="AI87">
        <v>1</v>
      </c>
      <c r="AJ87">
        <v>1</v>
      </c>
      <c r="AK87">
        <v>1</v>
      </c>
      <c r="AL87">
        <v>7.13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6</v>
      </c>
      <c r="AT87">
        <v>89.53</v>
      </c>
      <c r="AU87" t="s">
        <v>82</v>
      </c>
      <c r="AV87">
        <v>1</v>
      </c>
      <c r="AW87">
        <v>2</v>
      </c>
      <c r="AX87">
        <v>16631325</v>
      </c>
      <c r="AY87">
        <v>1</v>
      </c>
      <c r="AZ87">
        <v>0</v>
      </c>
      <c r="BA87">
        <v>93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Y87*Source!I59</f>
        <v>35.891681699999999</v>
      </c>
      <c r="CY87">
        <f>AD87</f>
        <v>65.45</v>
      </c>
      <c r="CZ87">
        <f>AH87</f>
        <v>9.18</v>
      </c>
      <c r="DA87">
        <f>AL87</f>
        <v>7.13</v>
      </c>
      <c r="DB87">
        <f>ROUND((ROUND(AT87*CZ87,2)*1.15),2)</f>
        <v>945.17</v>
      </c>
      <c r="DC87">
        <f>ROUND((ROUND(AT87*AG87,2)*1.15),2)</f>
        <v>0</v>
      </c>
    </row>
    <row r="88" spans="1:107" x14ac:dyDescent="0.2">
      <c r="A88">
        <f>ROW(Source!A59)</f>
        <v>59</v>
      </c>
      <c r="B88">
        <v>16630606</v>
      </c>
      <c r="C88">
        <v>16631313</v>
      </c>
      <c r="D88">
        <v>15430395</v>
      </c>
      <c r="E88">
        <v>1</v>
      </c>
      <c r="F88">
        <v>1</v>
      </c>
      <c r="G88">
        <v>1</v>
      </c>
      <c r="H88">
        <v>1</v>
      </c>
      <c r="I88" t="s">
        <v>1149</v>
      </c>
      <c r="J88" t="s">
        <v>6</v>
      </c>
      <c r="K88" t="s">
        <v>1150</v>
      </c>
      <c r="L88">
        <v>1191</v>
      </c>
      <c r="N88">
        <v>1013</v>
      </c>
      <c r="O88" t="s">
        <v>1148</v>
      </c>
      <c r="P88" t="s">
        <v>1148</v>
      </c>
      <c r="Q88">
        <v>1</v>
      </c>
      <c r="W88">
        <v>0</v>
      </c>
      <c r="X88">
        <v>-1417349443</v>
      </c>
      <c r="Y88">
        <v>11.68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7.13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6</v>
      </c>
      <c r="AT88">
        <v>11.68</v>
      </c>
      <c r="AU88" t="s">
        <v>6</v>
      </c>
      <c r="AV88">
        <v>2</v>
      </c>
      <c r="AW88">
        <v>2</v>
      </c>
      <c r="AX88">
        <v>16631326</v>
      </c>
      <c r="AY88">
        <v>1</v>
      </c>
      <c r="AZ88">
        <v>2048</v>
      </c>
      <c r="BA88">
        <v>94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Y88*Source!I59</f>
        <v>4.0716479999999997</v>
      </c>
      <c r="CY88">
        <f>AD88</f>
        <v>0</v>
      </c>
      <c r="CZ88">
        <f>AH88</f>
        <v>0</v>
      </c>
      <c r="DA88">
        <f>AL88</f>
        <v>1</v>
      </c>
      <c r="DB88">
        <f>ROUND(ROUND(AT88*CZ88,2),2)</f>
        <v>0</v>
      </c>
      <c r="DC88">
        <f>ROUND(ROUND(AT88*AG88,2),2)</f>
        <v>0</v>
      </c>
    </row>
    <row r="89" spans="1:107" x14ac:dyDescent="0.2">
      <c r="A89">
        <f>ROW(Source!A59)</f>
        <v>59</v>
      </c>
      <c r="B89">
        <v>16630606</v>
      </c>
      <c r="C89">
        <v>16631313</v>
      </c>
      <c r="D89">
        <v>15247578</v>
      </c>
      <c r="E89">
        <v>1</v>
      </c>
      <c r="F89">
        <v>1</v>
      </c>
      <c r="G89">
        <v>1</v>
      </c>
      <c r="H89">
        <v>2</v>
      </c>
      <c r="I89" t="s">
        <v>1246</v>
      </c>
      <c r="J89" t="s">
        <v>1247</v>
      </c>
      <c r="K89" t="s">
        <v>1248</v>
      </c>
      <c r="L89">
        <v>1368</v>
      </c>
      <c r="N89">
        <v>1011</v>
      </c>
      <c r="O89" t="s">
        <v>1154</v>
      </c>
      <c r="P89" t="s">
        <v>1154</v>
      </c>
      <c r="Q89">
        <v>1</v>
      </c>
      <c r="W89">
        <v>0</v>
      </c>
      <c r="X89">
        <v>-1460065968</v>
      </c>
      <c r="Y89">
        <v>12.112499999999999</v>
      </c>
      <c r="AA89">
        <v>0</v>
      </c>
      <c r="AB89">
        <v>616.03</v>
      </c>
      <c r="AC89">
        <v>13.5</v>
      </c>
      <c r="AD89">
        <v>0</v>
      </c>
      <c r="AE89">
        <v>0</v>
      </c>
      <c r="AF89">
        <v>86.4</v>
      </c>
      <c r="AG89">
        <v>13.5</v>
      </c>
      <c r="AH89">
        <v>0</v>
      </c>
      <c r="AI89">
        <v>1</v>
      </c>
      <c r="AJ89">
        <v>7.13</v>
      </c>
      <c r="AK89">
        <v>1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6</v>
      </c>
      <c r="AT89">
        <v>9.69</v>
      </c>
      <c r="AU89" t="s">
        <v>81</v>
      </c>
      <c r="AV89">
        <v>0</v>
      </c>
      <c r="AW89">
        <v>2</v>
      </c>
      <c r="AX89">
        <v>16631327</v>
      </c>
      <c r="AY89">
        <v>1</v>
      </c>
      <c r="AZ89">
        <v>0</v>
      </c>
      <c r="BA89">
        <v>95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Y89*Source!I59</f>
        <v>4.2224174999999997</v>
      </c>
      <c r="CY89">
        <f>AB89</f>
        <v>616.03</v>
      </c>
      <c r="CZ89">
        <f>AF89</f>
        <v>86.4</v>
      </c>
      <c r="DA89">
        <f>AJ89</f>
        <v>7.13</v>
      </c>
      <c r="DB89">
        <f>ROUND((ROUND(AT89*CZ89,2)*1.25),2)</f>
        <v>1046.53</v>
      </c>
      <c r="DC89">
        <f>ROUND((ROUND(AT89*AG89,2)*1.25),2)</f>
        <v>163.53</v>
      </c>
    </row>
    <row r="90" spans="1:107" x14ac:dyDescent="0.2">
      <c r="A90">
        <f>ROW(Source!A59)</f>
        <v>59</v>
      </c>
      <c r="B90">
        <v>16630606</v>
      </c>
      <c r="C90">
        <v>16631313</v>
      </c>
      <c r="D90">
        <v>15249073</v>
      </c>
      <c r="E90">
        <v>1</v>
      </c>
      <c r="F90">
        <v>1</v>
      </c>
      <c r="G90">
        <v>1</v>
      </c>
      <c r="H90">
        <v>2</v>
      </c>
      <c r="I90" t="s">
        <v>1157</v>
      </c>
      <c r="J90" t="s">
        <v>1158</v>
      </c>
      <c r="K90" t="s">
        <v>1159</v>
      </c>
      <c r="L90">
        <v>1368</v>
      </c>
      <c r="N90">
        <v>1011</v>
      </c>
      <c r="O90" t="s">
        <v>1154</v>
      </c>
      <c r="P90" t="s">
        <v>1154</v>
      </c>
      <c r="Q90">
        <v>1</v>
      </c>
      <c r="W90">
        <v>0</v>
      </c>
      <c r="X90">
        <v>1372534845</v>
      </c>
      <c r="Y90">
        <v>2.4874999999999998</v>
      </c>
      <c r="AA90">
        <v>0</v>
      </c>
      <c r="AB90">
        <v>468.51</v>
      </c>
      <c r="AC90">
        <v>11.6</v>
      </c>
      <c r="AD90">
        <v>0</v>
      </c>
      <c r="AE90">
        <v>0</v>
      </c>
      <c r="AF90">
        <v>65.709999999999994</v>
      </c>
      <c r="AG90">
        <v>11.6</v>
      </c>
      <c r="AH90">
        <v>0</v>
      </c>
      <c r="AI90">
        <v>1</v>
      </c>
      <c r="AJ90">
        <v>7.13</v>
      </c>
      <c r="AK90">
        <v>1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6</v>
      </c>
      <c r="AT90">
        <v>1.99</v>
      </c>
      <c r="AU90" t="s">
        <v>81</v>
      </c>
      <c r="AV90">
        <v>0</v>
      </c>
      <c r="AW90">
        <v>2</v>
      </c>
      <c r="AX90">
        <v>16631328</v>
      </c>
      <c r="AY90">
        <v>1</v>
      </c>
      <c r="AZ90">
        <v>0</v>
      </c>
      <c r="BA90">
        <v>96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Y90*Source!I59</f>
        <v>0.86714250000000004</v>
      </c>
      <c r="CY90">
        <f>AB90</f>
        <v>468.51</v>
      </c>
      <c r="CZ90">
        <f>AF90</f>
        <v>65.709999999999994</v>
      </c>
      <c r="DA90">
        <f>AJ90</f>
        <v>7.13</v>
      </c>
      <c r="DB90">
        <f>ROUND((ROUND(AT90*CZ90,2)*1.25),2)</f>
        <v>163.44999999999999</v>
      </c>
      <c r="DC90">
        <f>ROUND((ROUND(AT90*AG90,2)*1.25),2)</f>
        <v>28.85</v>
      </c>
    </row>
    <row r="91" spans="1:107" x14ac:dyDescent="0.2">
      <c r="A91">
        <f>ROW(Source!A59)</f>
        <v>59</v>
      </c>
      <c r="B91">
        <v>16630606</v>
      </c>
      <c r="C91">
        <v>16631313</v>
      </c>
      <c r="D91">
        <v>15167340</v>
      </c>
      <c r="E91">
        <v>1</v>
      </c>
      <c r="F91">
        <v>1</v>
      </c>
      <c r="G91">
        <v>1</v>
      </c>
      <c r="H91">
        <v>3</v>
      </c>
      <c r="I91" t="s">
        <v>175</v>
      </c>
      <c r="J91" t="s">
        <v>178</v>
      </c>
      <c r="K91" t="s">
        <v>176</v>
      </c>
      <c r="L91">
        <v>1035</v>
      </c>
      <c r="N91">
        <v>1013</v>
      </c>
      <c r="O91" t="s">
        <v>177</v>
      </c>
      <c r="P91" t="s">
        <v>177</v>
      </c>
      <c r="Q91">
        <v>1</v>
      </c>
      <c r="W91">
        <v>0</v>
      </c>
      <c r="X91">
        <v>-347778458</v>
      </c>
      <c r="Y91">
        <v>63.109580999999999</v>
      </c>
      <c r="AA91">
        <v>675.07</v>
      </c>
      <c r="AB91">
        <v>0</v>
      </c>
      <c r="AC91">
        <v>0</v>
      </c>
      <c r="AD91">
        <v>0</v>
      </c>
      <c r="AE91">
        <v>94.68</v>
      </c>
      <c r="AF91">
        <v>0</v>
      </c>
      <c r="AG91">
        <v>0</v>
      </c>
      <c r="AH91">
        <v>0</v>
      </c>
      <c r="AI91">
        <v>7.13</v>
      </c>
      <c r="AJ91">
        <v>1</v>
      </c>
      <c r="AK91">
        <v>1</v>
      </c>
      <c r="AL91">
        <v>1</v>
      </c>
      <c r="AN91">
        <v>0</v>
      </c>
      <c r="AO91">
        <v>0</v>
      </c>
      <c r="AP91">
        <v>0</v>
      </c>
      <c r="AQ91">
        <v>0</v>
      </c>
      <c r="AR91">
        <v>0</v>
      </c>
      <c r="AS91" t="s">
        <v>6</v>
      </c>
      <c r="AT91">
        <v>63.109580999999999</v>
      </c>
      <c r="AU91" t="s">
        <v>6</v>
      </c>
      <c r="AV91">
        <v>0</v>
      </c>
      <c r="AW91">
        <v>1</v>
      </c>
      <c r="AX91">
        <v>-1</v>
      </c>
      <c r="AY91">
        <v>0</v>
      </c>
      <c r="AZ91">
        <v>0</v>
      </c>
      <c r="BA91" t="s">
        <v>6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Y91*Source!I59</f>
        <v>21.999999936600002</v>
      </c>
      <c r="CY91">
        <f t="shared" ref="CY91:CY97" si="7">AA91</f>
        <v>675.07</v>
      </c>
      <c r="CZ91">
        <f t="shared" ref="CZ91:CZ97" si="8">AE91</f>
        <v>94.68</v>
      </c>
      <c r="DA91">
        <f t="shared" ref="DA91:DA97" si="9">AI91</f>
        <v>7.13</v>
      </c>
      <c r="DB91">
        <f t="shared" ref="DB91:DB97" si="10">ROUND(ROUND(AT91*CZ91,2),2)</f>
        <v>5975.22</v>
      </c>
      <c r="DC91">
        <f t="shared" ref="DC91:DC97" si="11">ROUND(ROUND(AT91*AG91,2),2)</f>
        <v>0</v>
      </c>
    </row>
    <row r="92" spans="1:107" x14ac:dyDescent="0.2">
      <c r="A92">
        <f>ROW(Source!A59)</f>
        <v>59</v>
      </c>
      <c r="B92">
        <v>16630606</v>
      </c>
      <c r="C92">
        <v>16631313</v>
      </c>
      <c r="D92">
        <v>15170039</v>
      </c>
      <c r="E92">
        <v>1</v>
      </c>
      <c r="F92">
        <v>1</v>
      </c>
      <c r="G92">
        <v>1</v>
      </c>
      <c r="H92">
        <v>3</v>
      </c>
      <c r="I92" t="s">
        <v>1160</v>
      </c>
      <c r="J92" t="s">
        <v>1161</v>
      </c>
      <c r="K92" t="s">
        <v>1162</v>
      </c>
      <c r="L92">
        <v>1348</v>
      </c>
      <c r="N92">
        <v>1009</v>
      </c>
      <c r="O92" t="s">
        <v>98</v>
      </c>
      <c r="P92" t="s">
        <v>98</v>
      </c>
      <c r="Q92">
        <v>1000</v>
      </c>
      <c r="W92">
        <v>0</v>
      </c>
      <c r="X92">
        <v>1174701286</v>
      </c>
      <c r="Y92">
        <v>4.13E-3</v>
      </c>
      <c r="AA92">
        <v>85403.14</v>
      </c>
      <c r="AB92">
        <v>0</v>
      </c>
      <c r="AC92">
        <v>0</v>
      </c>
      <c r="AD92">
        <v>0</v>
      </c>
      <c r="AE92">
        <v>11978</v>
      </c>
      <c r="AF92">
        <v>0</v>
      </c>
      <c r="AG92">
        <v>0</v>
      </c>
      <c r="AH92">
        <v>0</v>
      </c>
      <c r="AI92">
        <v>7.13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4.13E-3</v>
      </c>
      <c r="AU92" t="s">
        <v>6</v>
      </c>
      <c r="AV92">
        <v>0</v>
      </c>
      <c r="AW92">
        <v>2</v>
      </c>
      <c r="AX92">
        <v>16631330</v>
      </c>
      <c r="AY92">
        <v>1</v>
      </c>
      <c r="AZ92">
        <v>0</v>
      </c>
      <c r="BA92">
        <v>98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Y92*Source!I59</f>
        <v>1.439718E-3</v>
      </c>
      <c r="CY92">
        <f t="shared" si="7"/>
        <v>85403.14</v>
      </c>
      <c r="CZ92">
        <f t="shared" si="8"/>
        <v>11978</v>
      </c>
      <c r="DA92">
        <f t="shared" si="9"/>
        <v>7.13</v>
      </c>
      <c r="DB92">
        <f t="shared" si="10"/>
        <v>49.47</v>
      </c>
      <c r="DC92">
        <f t="shared" si="11"/>
        <v>0</v>
      </c>
    </row>
    <row r="93" spans="1:107" x14ac:dyDescent="0.2">
      <c r="A93">
        <f>ROW(Source!A59)</f>
        <v>59</v>
      </c>
      <c r="B93">
        <v>16630606</v>
      </c>
      <c r="C93">
        <v>16631313</v>
      </c>
      <c r="D93">
        <v>15172818</v>
      </c>
      <c r="E93">
        <v>1</v>
      </c>
      <c r="F93">
        <v>1</v>
      </c>
      <c r="G93">
        <v>1</v>
      </c>
      <c r="H93">
        <v>3</v>
      </c>
      <c r="I93" t="s">
        <v>1249</v>
      </c>
      <c r="J93" t="s">
        <v>1250</v>
      </c>
      <c r="K93" t="s">
        <v>1251</v>
      </c>
      <c r="L93">
        <v>1339</v>
      </c>
      <c r="N93">
        <v>1007</v>
      </c>
      <c r="O93" t="s">
        <v>203</v>
      </c>
      <c r="P93" t="s">
        <v>203</v>
      </c>
      <c r="Q93">
        <v>1</v>
      </c>
      <c r="W93">
        <v>0</v>
      </c>
      <c r="X93">
        <v>-2072708995</v>
      </c>
      <c r="Y93">
        <v>0.105</v>
      </c>
      <c r="AA93">
        <v>3265.54</v>
      </c>
      <c r="AB93">
        <v>0</v>
      </c>
      <c r="AC93">
        <v>0</v>
      </c>
      <c r="AD93">
        <v>0</v>
      </c>
      <c r="AE93">
        <v>458</v>
      </c>
      <c r="AF93">
        <v>0</v>
      </c>
      <c r="AG93">
        <v>0</v>
      </c>
      <c r="AH93">
        <v>0</v>
      </c>
      <c r="AI93">
        <v>7.13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6</v>
      </c>
      <c r="AT93">
        <v>0.105</v>
      </c>
      <c r="AU93" t="s">
        <v>6</v>
      </c>
      <c r="AV93">
        <v>0</v>
      </c>
      <c r="AW93">
        <v>2</v>
      </c>
      <c r="AX93">
        <v>16631331</v>
      </c>
      <c r="AY93">
        <v>1</v>
      </c>
      <c r="AZ93">
        <v>0</v>
      </c>
      <c r="BA93">
        <v>99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Y93*Source!I59</f>
        <v>3.6603000000000004E-2</v>
      </c>
      <c r="CY93">
        <f t="shared" si="7"/>
        <v>3265.54</v>
      </c>
      <c r="CZ93">
        <f t="shared" si="8"/>
        <v>458</v>
      </c>
      <c r="DA93">
        <f t="shared" si="9"/>
        <v>7.13</v>
      </c>
      <c r="DB93">
        <f t="shared" si="10"/>
        <v>48.09</v>
      </c>
      <c r="DC93">
        <f t="shared" si="11"/>
        <v>0</v>
      </c>
    </row>
    <row r="94" spans="1:107" x14ac:dyDescent="0.2">
      <c r="A94">
        <f>ROW(Source!A59)</f>
        <v>59</v>
      </c>
      <c r="B94">
        <v>16630606</v>
      </c>
      <c r="C94">
        <v>16631313</v>
      </c>
      <c r="D94">
        <v>15196008</v>
      </c>
      <c r="E94">
        <v>1</v>
      </c>
      <c r="F94">
        <v>1</v>
      </c>
      <c r="G94">
        <v>1</v>
      </c>
      <c r="H94">
        <v>3</v>
      </c>
      <c r="I94" t="s">
        <v>1252</v>
      </c>
      <c r="J94" t="s">
        <v>1253</v>
      </c>
      <c r="K94" t="s">
        <v>1254</v>
      </c>
      <c r="L94">
        <v>1339</v>
      </c>
      <c r="N94">
        <v>1007</v>
      </c>
      <c r="O94" t="s">
        <v>203</v>
      </c>
      <c r="P94" t="s">
        <v>203</v>
      </c>
      <c r="Q94">
        <v>1</v>
      </c>
      <c r="W94">
        <v>0</v>
      </c>
      <c r="X94">
        <v>2024089152</v>
      </c>
      <c r="Y94">
        <v>0.08</v>
      </c>
      <c r="AA94">
        <v>7843</v>
      </c>
      <c r="AB94">
        <v>0</v>
      </c>
      <c r="AC94">
        <v>0</v>
      </c>
      <c r="AD94">
        <v>0</v>
      </c>
      <c r="AE94">
        <v>1100</v>
      </c>
      <c r="AF94">
        <v>0</v>
      </c>
      <c r="AG94">
        <v>0</v>
      </c>
      <c r="AH94">
        <v>0</v>
      </c>
      <c r="AI94">
        <v>7.13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6</v>
      </c>
      <c r="AT94">
        <v>0.08</v>
      </c>
      <c r="AU94" t="s">
        <v>6</v>
      </c>
      <c r="AV94">
        <v>0</v>
      </c>
      <c r="AW94">
        <v>2</v>
      </c>
      <c r="AX94">
        <v>16631333</v>
      </c>
      <c r="AY94">
        <v>1</v>
      </c>
      <c r="AZ94">
        <v>0</v>
      </c>
      <c r="BA94">
        <v>101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Y94*Source!I59</f>
        <v>2.7888000000000003E-2</v>
      </c>
      <c r="CY94">
        <f t="shared" si="7"/>
        <v>7843</v>
      </c>
      <c r="CZ94">
        <f t="shared" si="8"/>
        <v>1100</v>
      </c>
      <c r="DA94">
        <f t="shared" si="9"/>
        <v>7.13</v>
      </c>
      <c r="DB94">
        <f t="shared" si="10"/>
        <v>88</v>
      </c>
      <c r="DC94">
        <f t="shared" si="11"/>
        <v>0</v>
      </c>
    </row>
    <row r="95" spans="1:107" x14ac:dyDescent="0.2">
      <c r="A95">
        <f>ROW(Source!A59)</f>
        <v>59</v>
      </c>
      <c r="B95">
        <v>16630606</v>
      </c>
      <c r="C95">
        <v>16631313</v>
      </c>
      <c r="D95">
        <v>15196147</v>
      </c>
      <c r="E95">
        <v>1</v>
      </c>
      <c r="F95">
        <v>1</v>
      </c>
      <c r="G95">
        <v>1</v>
      </c>
      <c r="H95">
        <v>3</v>
      </c>
      <c r="I95" t="s">
        <v>184</v>
      </c>
      <c r="J95" t="s">
        <v>186</v>
      </c>
      <c r="K95" t="s">
        <v>185</v>
      </c>
      <c r="L95">
        <v>1327</v>
      </c>
      <c r="N95">
        <v>1005</v>
      </c>
      <c r="O95" t="s">
        <v>87</v>
      </c>
      <c r="P95" t="s">
        <v>87</v>
      </c>
      <c r="Q95">
        <v>1</v>
      </c>
      <c r="W95">
        <v>0</v>
      </c>
      <c r="X95">
        <v>-312402758</v>
      </c>
      <c r="Y95">
        <v>54.216867000000001</v>
      </c>
      <c r="AA95">
        <v>1530.81</v>
      </c>
      <c r="AB95">
        <v>0</v>
      </c>
      <c r="AC95">
        <v>0</v>
      </c>
      <c r="AD95">
        <v>0</v>
      </c>
      <c r="AE95">
        <v>214.7</v>
      </c>
      <c r="AF95">
        <v>0</v>
      </c>
      <c r="AG95">
        <v>0</v>
      </c>
      <c r="AH95">
        <v>0</v>
      </c>
      <c r="AI95">
        <v>7.13</v>
      </c>
      <c r="AJ95">
        <v>1</v>
      </c>
      <c r="AK95">
        <v>1</v>
      </c>
      <c r="AL95">
        <v>1</v>
      </c>
      <c r="AN95">
        <v>0</v>
      </c>
      <c r="AO95">
        <v>0</v>
      </c>
      <c r="AP95">
        <v>0</v>
      </c>
      <c r="AQ95">
        <v>0</v>
      </c>
      <c r="AR95">
        <v>0</v>
      </c>
      <c r="AS95" t="s">
        <v>6</v>
      </c>
      <c r="AT95">
        <v>54.216867000000001</v>
      </c>
      <c r="AU95" t="s">
        <v>6</v>
      </c>
      <c r="AV95">
        <v>0</v>
      </c>
      <c r="AW95">
        <v>1</v>
      </c>
      <c r="AX95">
        <v>-1</v>
      </c>
      <c r="AY95">
        <v>0</v>
      </c>
      <c r="AZ95">
        <v>0</v>
      </c>
      <c r="BA95" t="s">
        <v>6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Y95*Source!I59</f>
        <v>18.899999836200003</v>
      </c>
      <c r="CY95">
        <f t="shared" si="7"/>
        <v>1530.81</v>
      </c>
      <c r="CZ95">
        <f t="shared" si="8"/>
        <v>214.7</v>
      </c>
      <c r="DA95">
        <f t="shared" si="9"/>
        <v>7.13</v>
      </c>
      <c r="DB95">
        <f t="shared" si="10"/>
        <v>11640.36</v>
      </c>
      <c r="DC95">
        <f t="shared" si="11"/>
        <v>0</v>
      </c>
    </row>
    <row r="96" spans="1:107" x14ac:dyDescent="0.2">
      <c r="A96">
        <f>ROW(Source!A59)</f>
        <v>59</v>
      </c>
      <c r="B96">
        <v>16630606</v>
      </c>
      <c r="C96">
        <v>16631313</v>
      </c>
      <c r="D96">
        <v>15197442</v>
      </c>
      <c r="E96">
        <v>1</v>
      </c>
      <c r="F96">
        <v>1</v>
      </c>
      <c r="G96">
        <v>1</v>
      </c>
      <c r="H96">
        <v>3</v>
      </c>
      <c r="I96" t="s">
        <v>180</v>
      </c>
      <c r="J96" t="s">
        <v>182</v>
      </c>
      <c r="K96" t="s">
        <v>181</v>
      </c>
      <c r="L96">
        <v>1035</v>
      </c>
      <c r="N96">
        <v>1013</v>
      </c>
      <c r="O96" t="s">
        <v>177</v>
      </c>
      <c r="P96" t="s">
        <v>177</v>
      </c>
      <c r="Q96">
        <v>1</v>
      </c>
      <c r="W96">
        <v>0</v>
      </c>
      <c r="X96">
        <v>1495185128</v>
      </c>
      <c r="Y96">
        <v>28.686173</v>
      </c>
      <c r="AA96">
        <v>5448.03</v>
      </c>
      <c r="AB96">
        <v>0</v>
      </c>
      <c r="AC96">
        <v>0</v>
      </c>
      <c r="AD96">
        <v>0</v>
      </c>
      <c r="AE96">
        <v>764.1</v>
      </c>
      <c r="AF96">
        <v>0</v>
      </c>
      <c r="AG96">
        <v>0</v>
      </c>
      <c r="AH96">
        <v>0</v>
      </c>
      <c r="AI96">
        <v>7.13</v>
      </c>
      <c r="AJ96">
        <v>1</v>
      </c>
      <c r="AK96">
        <v>1</v>
      </c>
      <c r="AL96">
        <v>1</v>
      </c>
      <c r="AN96">
        <v>0</v>
      </c>
      <c r="AO96">
        <v>0</v>
      </c>
      <c r="AP96">
        <v>0</v>
      </c>
      <c r="AQ96">
        <v>0</v>
      </c>
      <c r="AR96">
        <v>0</v>
      </c>
      <c r="AS96" t="s">
        <v>6</v>
      </c>
      <c r="AT96">
        <v>28.686173</v>
      </c>
      <c r="AU96" t="s">
        <v>6</v>
      </c>
      <c r="AV96">
        <v>0</v>
      </c>
      <c r="AW96">
        <v>1</v>
      </c>
      <c r="AX96">
        <v>-1</v>
      </c>
      <c r="AY96">
        <v>0</v>
      </c>
      <c r="AZ96">
        <v>0</v>
      </c>
      <c r="BA96" t="s">
        <v>6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Y96*Source!I59</f>
        <v>9.9999999078000013</v>
      </c>
      <c r="CY96">
        <f t="shared" si="7"/>
        <v>5448.03</v>
      </c>
      <c r="CZ96">
        <f t="shared" si="8"/>
        <v>764.1</v>
      </c>
      <c r="DA96">
        <f t="shared" si="9"/>
        <v>7.13</v>
      </c>
      <c r="DB96">
        <f t="shared" si="10"/>
        <v>21919.1</v>
      </c>
      <c r="DC96">
        <f t="shared" si="11"/>
        <v>0</v>
      </c>
    </row>
    <row r="97" spans="1:107" x14ac:dyDescent="0.2">
      <c r="A97">
        <f>ROW(Source!A59)</f>
        <v>59</v>
      </c>
      <c r="B97">
        <v>16630606</v>
      </c>
      <c r="C97">
        <v>16631313</v>
      </c>
      <c r="D97">
        <v>15204315</v>
      </c>
      <c r="E97">
        <v>1</v>
      </c>
      <c r="F97">
        <v>1</v>
      </c>
      <c r="G97">
        <v>1</v>
      </c>
      <c r="H97">
        <v>3</v>
      </c>
      <c r="I97" t="s">
        <v>1255</v>
      </c>
      <c r="J97" t="s">
        <v>1256</v>
      </c>
      <c r="K97" t="s">
        <v>1257</v>
      </c>
      <c r="L97">
        <v>1296</v>
      </c>
      <c r="N97">
        <v>1002</v>
      </c>
      <c r="O97" t="s">
        <v>1258</v>
      </c>
      <c r="P97" t="s">
        <v>1258</v>
      </c>
      <c r="Q97">
        <v>1</v>
      </c>
      <c r="W97">
        <v>0</v>
      </c>
      <c r="X97">
        <v>-2122226716</v>
      </c>
      <c r="Y97">
        <v>32.4</v>
      </c>
      <c r="AA97">
        <v>334.11</v>
      </c>
      <c r="AB97">
        <v>0</v>
      </c>
      <c r="AC97">
        <v>0</v>
      </c>
      <c r="AD97">
        <v>0</v>
      </c>
      <c r="AE97">
        <v>46.86</v>
      </c>
      <c r="AF97">
        <v>0</v>
      </c>
      <c r="AG97">
        <v>0</v>
      </c>
      <c r="AH97">
        <v>0</v>
      </c>
      <c r="AI97">
        <v>7.13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6</v>
      </c>
      <c r="AT97">
        <v>32.4</v>
      </c>
      <c r="AU97" t="s">
        <v>6</v>
      </c>
      <c r="AV97">
        <v>0</v>
      </c>
      <c r="AW97">
        <v>2</v>
      </c>
      <c r="AX97">
        <v>16631335</v>
      </c>
      <c r="AY97">
        <v>1</v>
      </c>
      <c r="AZ97">
        <v>0</v>
      </c>
      <c r="BA97">
        <v>103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Y97*Source!I59</f>
        <v>11.294639999999999</v>
      </c>
      <c r="CY97">
        <f t="shared" si="7"/>
        <v>334.11</v>
      </c>
      <c r="CZ97">
        <f t="shared" si="8"/>
        <v>46.86</v>
      </c>
      <c r="DA97">
        <f t="shared" si="9"/>
        <v>7.13</v>
      </c>
      <c r="DB97">
        <f t="shared" si="10"/>
        <v>1518.26</v>
      </c>
      <c r="DC97">
        <f t="shared" si="11"/>
        <v>0</v>
      </c>
    </row>
    <row r="98" spans="1:107" x14ac:dyDescent="0.2">
      <c r="A98">
        <f>ROW(Source!A63)</f>
        <v>63</v>
      </c>
      <c r="B98">
        <v>16630606</v>
      </c>
      <c r="C98">
        <v>16631339</v>
      </c>
      <c r="D98">
        <v>15446300</v>
      </c>
      <c r="E98">
        <v>1</v>
      </c>
      <c r="F98">
        <v>1</v>
      </c>
      <c r="G98">
        <v>1</v>
      </c>
      <c r="H98">
        <v>1</v>
      </c>
      <c r="I98" t="s">
        <v>1220</v>
      </c>
      <c r="J98" t="s">
        <v>6</v>
      </c>
      <c r="K98" t="s">
        <v>1221</v>
      </c>
      <c r="L98">
        <v>1191</v>
      </c>
      <c r="N98">
        <v>1013</v>
      </c>
      <c r="O98" t="s">
        <v>1148</v>
      </c>
      <c r="P98" t="s">
        <v>1148</v>
      </c>
      <c r="Q98">
        <v>1</v>
      </c>
      <c r="W98">
        <v>0</v>
      </c>
      <c r="X98">
        <v>912892513</v>
      </c>
      <c r="Y98">
        <v>2.76</v>
      </c>
      <c r="AA98">
        <v>0</v>
      </c>
      <c r="AB98">
        <v>0</v>
      </c>
      <c r="AC98">
        <v>0</v>
      </c>
      <c r="AD98">
        <v>70.73</v>
      </c>
      <c r="AE98">
        <v>0</v>
      </c>
      <c r="AF98">
        <v>0</v>
      </c>
      <c r="AG98">
        <v>0</v>
      </c>
      <c r="AH98">
        <v>9.92</v>
      </c>
      <c r="AI98">
        <v>1</v>
      </c>
      <c r="AJ98">
        <v>1</v>
      </c>
      <c r="AK98">
        <v>1</v>
      </c>
      <c r="AL98">
        <v>7.13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6</v>
      </c>
      <c r="AT98">
        <v>2.4</v>
      </c>
      <c r="AU98" t="s">
        <v>82</v>
      </c>
      <c r="AV98">
        <v>1</v>
      </c>
      <c r="AW98">
        <v>2</v>
      </c>
      <c r="AX98">
        <v>16631348</v>
      </c>
      <c r="AY98">
        <v>1</v>
      </c>
      <c r="AZ98">
        <v>0</v>
      </c>
      <c r="BA98">
        <v>104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Y98*Source!I63</f>
        <v>10.432799999999999</v>
      </c>
      <c r="CY98">
        <f>AD98</f>
        <v>70.73</v>
      </c>
      <c r="CZ98">
        <f>AH98</f>
        <v>9.92</v>
      </c>
      <c r="DA98">
        <f>AL98</f>
        <v>7.13</v>
      </c>
      <c r="DB98">
        <f>ROUND((ROUND(AT98*CZ98,2)*1.15),2)</f>
        <v>27.38</v>
      </c>
      <c r="DC98">
        <f>ROUND((ROUND(AT98*AG98,2)*1.15),2)</f>
        <v>0</v>
      </c>
    </row>
    <row r="99" spans="1:107" x14ac:dyDescent="0.2">
      <c r="A99">
        <f>ROW(Source!A63)</f>
        <v>63</v>
      </c>
      <c r="B99">
        <v>16630606</v>
      </c>
      <c r="C99">
        <v>16631339</v>
      </c>
      <c r="D99">
        <v>15430395</v>
      </c>
      <c r="E99">
        <v>1</v>
      </c>
      <c r="F99">
        <v>1</v>
      </c>
      <c r="G99">
        <v>1</v>
      </c>
      <c r="H99">
        <v>1</v>
      </c>
      <c r="I99" t="s">
        <v>1149</v>
      </c>
      <c r="J99" t="s">
        <v>6</v>
      </c>
      <c r="K99" t="s">
        <v>1150</v>
      </c>
      <c r="L99">
        <v>1191</v>
      </c>
      <c r="N99">
        <v>1013</v>
      </c>
      <c r="O99" t="s">
        <v>1148</v>
      </c>
      <c r="P99" t="s">
        <v>1148</v>
      </c>
      <c r="Q99">
        <v>1</v>
      </c>
      <c r="W99">
        <v>0</v>
      </c>
      <c r="X99">
        <v>-1417349443</v>
      </c>
      <c r="Y99">
        <v>0.17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7.13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6</v>
      </c>
      <c r="AT99">
        <v>0.17</v>
      </c>
      <c r="AU99" t="s">
        <v>6</v>
      </c>
      <c r="AV99">
        <v>2</v>
      </c>
      <c r="AW99">
        <v>2</v>
      </c>
      <c r="AX99">
        <v>16631349</v>
      </c>
      <c r="AY99">
        <v>1</v>
      </c>
      <c r="AZ99">
        <v>2048</v>
      </c>
      <c r="BA99">
        <v>105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Y99*Source!I63</f>
        <v>0.64260000000000006</v>
      </c>
      <c r="CY99">
        <f>AD99</f>
        <v>0</v>
      </c>
      <c r="CZ99">
        <f>AH99</f>
        <v>0</v>
      </c>
      <c r="DA99">
        <f>AL99</f>
        <v>1</v>
      </c>
      <c r="DB99">
        <f>ROUND(ROUND(AT99*CZ99,2),2)</f>
        <v>0</v>
      </c>
      <c r="DC99">
        <f>ROUND(ROUND(AT99*AG99,2),2)</f>
        <v>0</v>
      </c>
    </row>
    <row r="100" spans="1:107" x14ac:dyDescent="0.2">
      <c r="A100">
        <f>ROW(Source!A63)</f>
        <v>63</v>
      </c>
      <c r="B100">
        <v>16630606</v>
      </c>
      <c r="C100">
        <v>16631339</v>
      </c>
      <c r="D100">
        <v>15249073</v>
      </c>
      <c r="E100">
        <v>1</v>
      </c>
      <c r="F100">
        <v>1</v>
      </c>
      <c r="G100">
        <v>1</v>
      </c>
      <c r="H100">
        <v>2</v>
      </c>
      <c r="I100" t="s">
        <v>1157</v>
      </c>
      <c r="J100" t="s">
        <v>1158</v>
      </c>
      <c r="K100" t="s">
        <v>1159</v>
      </c>
      <c r="L100">
        <v>1368</v>
      </c>
      <c r="N100">
        <v>1011</v>
      </c>
      <c r="O100" t="s">
        <v>1154</v>
      </c>
      <c r="P100" t="s">
        <v>1154</v>
      </c>
      <c r="Q100">
        <v>1</v>
      </c>
      <c r="W100">
        <v>0</v>
      </c>
      <c r="X100">
        <v>1372534845</v>
      </c>
      <c r="Y100">
        <v>0.21250000000000002</v>
      </c>
      <c r="AA100">
        <v>0</v>
      </c>
      <c r="AB100">
        <v>468.51</v>
      </c>
      <c r="AC100">
        <v>11.6</v>
      </c>
      <c r="AD100">
        <v>0</v>
      </c>
      <c r="AE100">
        <v>0</v>
      </c>
      <c r="AF100">
        <v>65.709999999999994</v>
      </c>
      <c r="AG100">
        <v>11.6</v>
      </c>
      <c r="AH100">
        <v>0</v>
      </c>
      <c r="AI100">
        <v>1</v>
      </c>
      <c r="AJ100">
        <v>7.13</v>
      </c>
      <c r="AK100">
        <v>1</v>
      </c>
      <c r="AL100">
        <v>1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6</v>
      </c>
      <c r="AT100">
        <v>0.17</v>
      </c>
      <c r="AU100" t="s">
        <v>81</v>
      </c>
      <c r="AV100">
        <v>0</v>
      </c>
      <c r="AW100">
        <v>2</v>
      </c>
      <c r="AX100">
        <v>16631350</v>
      </c>
      <c r="AY100">
        <v>1</v>
      </c>
      <c r="AZ100">
        <v>0</v>
      </c>
      <c r="BA100">
        <v>106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Y100*Source!I63</f>
        <v>0.80325000000000002</v>
      </c>
      <c r="CY100">
        <f>AB100</f>
        <v>468.51</v>
      </c>
      <c r="CZ100">
        <f>AF100</f>
        <v>65.709999999999994</v>
      </c>
      <c r="DA100">
        <f>AJ100</f>
        <v>7.13</v>
      </c>
      <c r="DB100">
        <f>ROUND((ROUND(AT100*CZ100,2)*1.25),2)</f>
        <v>13.96</v>
      </c>
      <c r="DC100">
        <f>ROUND((ROUND(AT100*AG100,2)*1.25),2)</f>
        <v>2.46</v>
      </c>
    </row>
    <row r="101" spans="1:107" x14ac:dyDescent="0.2">
      <c r="A101">
        <f>ROW(Source!A63)</f>
        <v>63</v>
      </c>
      <c r="B101">
        <v>16630606</v>
      </c>
      <c r="C101">
        <v>16631339</v>
      </c>
      <c r="D101">
        <v>15249377</v>
      </c>
      <c r="E101">
        <v>1</v>
      </c>
      <c r="F101">
        <v>1</v>
      </c>
      <c r="G101">
        <v>1</v>
      </c>
      <c r="H101">
        <v>2</v>
      </c>
      <c r="I101" t="s">
        <v>1222</v>
      </c>
      <c r="J101" t="s">
        <v>1223</v>
      </c>
      <c r="K101" t="s">
        <v>1224</v>
      </c>
      <c r="L101">
        <v>1368</v>
      </c>
      <c r="N101">
        <v>1011</v>
      </c>
      <c r="O101" t="s">
        <v>1154</v>
      </c>
      <c r="P101" t="s">
        <v>1154</v>
      </c>
      <c r="Q101">
        <v>1</v>
      </c>
      <c r="W101">
        <v>0</v>
      </c>
      <c r="X101">
        <v>-353815937</v>
      </c>
      <c r="Y101">
        <v>0.5</v>
      </c>
      <c r="AA101">
        <v>0</v>
      </c>
      <c r="AB101">
        <v>57.75</v>
      </c>
      <c r="AC101">
        <v>0</v>
      </c>
      <c r="AD101">
        <v>0</v>
      </c>
      <c r="AE101">
        <v>0</v>
      </c>
      <c r="AF101">
        <v>8.1</v>
      </c>
      <c r="AG101">
        <v>0</v>
      </c>
      <c r="AH101">
        <v>0</v>
      </c>
      <c r="AI101">
        <v>1</v>
      </c>
      <c r="AJ101">
        <v>7.13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6</v>
      </c>
      <c r="AT101">
        <v>0.4</v>
      </c>
      <c r="AU101" t="s">
        <v>81</v>
      </c>
      <c r="AV101">
        <v>0</v>
      </c>
      <c r="AW101">
        <v>2</v>
      </c>
      <c r="AX101">
        <v>16631351</v>
      </c>
      <c r="AY101">
        <v>1</v>
      </c>
      <c r="AZ101">
        <v>0</v>
      </c>
      <c r="BA101">
        <v>107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Y101*Source!I63</f>
        <v>1.89</v>
      </c>
      <c r="CY101">
        <f>AB101</f>
        <v>57.75</v>
      </c>
      <c r="CZ101">
        <f>AF101</f>
        <v>8.1</v>
      </c>
      <c r="DA101">
        <f>AJ101</f>
        <v>7.13</v>
      </c>
      <c r="DB101">
        <f>ROUND((ROUND(AT101*CZ101,2)*1.25),2)</f>
        <v>4.05</v>
      </c>
      <c r="DC101">
        <f>ROUND((ROUND(AT101*AG101,2)*1.25),2)</f>
        <v>0</v>
      </c>
    </row>
    <row r="102" spans="1:107" x14ac:dyDescent="0.2">
      <c r="A102">
        <f>ROW(Source!A63)</f>
        <v>63</v>
      </c>
      <c r="B102">
        <v>16630606</v>
      </c>
      <c r="C102">
        <v>16631339</v>
      </c>
      <c r="D102">
        <v>15168750</v>
      </c>
      <c r="E102">
        <v>1</v>
      </c>
      <c r="F102">
        <v>1</v>
      </c>
      <c r="G102">
        <v>1</v>
      </c>
      <c r="H102">
        <v>3</v>
      </c>
      <c r="I102" t="s">
        <v>1225</v>
      </c>
      <c r="J102" t="s">
        <v>1226</v>
      </c>
      <c r="K102" t="s">
        <v>1227</v>
      </c>
      <c r="L102">
        <v>1348</v>
      </c>
      <c r="N102">
        <v>1009</v>
      </c>
      <c r="O102" t="s">
        <v>98</v>
      </c>
      <c r="P102" t="s">
        <v>98</v>
      </c>
      <c r="Q102">
        <v>1000</v>
      </c>
      <c r="W102">
        <v>0</v>
      </c>
      <c r="X102">
        <v>-714836380</v>
      </c>
      <c r="Y102">
        <v>1E-4</v>
      </c>
      <c r="AA102">
        <v>73546.02</v>
      </c>
      <c r="AB102">
        <v>0</v>
      </c>
      <c r="AC102">
        <v>0</v>
      </c>
      <c r="AD102">
        <v>0</v>
      </c>
      <c r="AE102">
        <v>10315.01</v>
      </c>
      <c r="AF102">
        <v>0</v>
      </c>
      <c r="AG102">
        <v>0</v>
      </c>
      <c r="AH102">
        <v>0</v>
      </c>
      <c r="AI102">
        <v>7.13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1E-4</v>
      </c>
      <c r="AU102" t="s">
        <v>6</v>
      </c>
      <c r="AV102">
        <v>0</v>
      </c>
      <c r="AW102">
        <v>2</v>
      </c>
      <c r="AX102">
        <v>16631353</v>
      </c>
      <c r="AY102">
        <v>1</v>
      </c>
      <c r="AZ102">
        <v>0</v>
      </c>
      <c r="BA102">
        <v>109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Y102*Source!I63</f>
        <v>3.7799999999999997E-4</v>
      </c>
      <c r="CY102">
        <f>AA102</f>
        <v>73546.02</v>
      </c>
      <c r="CZ102">
        <f>AE102</f>
        <v>10315.01</v>
      </c>
      <c r="DA102">
        <f>AI102</f>
        <v>7.13</v>
      </c>
      <c r="DB102">
        <f t="shared" ref="DB102:DB110" si="12">ROUND(ROUND(AT102*CZ102,2),2)</f>
        <v>1.03</v>
      </c>
      <c r="DC102">
        <f t="shared" ref="DC102:DC110" si="13">ROUND(ROUND(AT102*AG102,2),2)</f>
        <v>0</v>
      </c>
    </row>
    <row r="103" spans="1:107" x14ac:dyDescent="0.2">
      <c r="A103">
        <f>ROW(Source!A63)</f>
        <v>63</v>
      </c>
      <c r="B103">
        <v>16630606</v>
      </c>
      <c r="C103">
        <v>16631339</v>
      </c>
      <c r="D103">
        <v>15187348</v>
      </c>
      <c r="E103">
        <v>1</v>
      </c>
      <c r="F103">
        <v>1</v>
      </c>
      <c r="G103">
        <v>1</v>
      </c>
      <c r="H103">
        <v>3</v>
      </c>
      <c r="I103" t="s">
        <v>192</v>
      </c>
      <c r="J103" t="s">
        <v>194</v>
      </c>
      <c r="K103" t="s">
        <v>193</v>
      </c>
      <c r="L103">
        <v>1327</v>
      </c>
      <c r="N103">
        <v>1005</v>
      </c>
      <c r="O103" t="s">
        <v>87</v>
      </c>
      <c r="P103" t="s">
        <v>87</v>
      </c>
      <c r="Q103">
        <v>1</v>
      </c>
      <c r="W103">
        <v>0</v>
      </c>
      <c r="X103">
        <v>883638919</v>
      </c>
      <c r="Y103">
        <v>1</v>
      </c>
      <c r="AA103">
        <v>12827.87</v>
      </c>
      <c r="AB103">
        <v>0</v>
      </c>
      <c r="AC103">
        <v>0</v>
      </c>
      <c r="AD103">
        <v>0</v>
      </c>
      <c r="AE103">
        <v>1799.14</v>
      </c>
      <c r="AF103">
        <v>0</v>
      </c>
      <c r="AG103">
        <v>0</v>
      </c>
      <c r="AH103">
        <v>0</v>
      </c>
      <c r="AI103">
        <v>7.13</v>
      </c>
      <c r="AJ103">
        <v>1</v>
      </c>
      <c r="AK103">
        <v>1</v>
      </c>
      <c r="AL103">
        <v>1</v>
      </c>
      <c r="AN103">
        <v>0</v>
      </c>
      <c r="AO103">
        <v>0</v>
      </c>
      <c r="AP103">
        <v>0</v>
      </c>
      <c r="AQ103">
        <v>0</v>
      </c>
      <c r="AR103">
        <v>0</v>
      </c>
      <c r="AS103" t="s">
        <v>6</v>
      </c>
      <c r="AT103">
        <v>1</v>
      </c>
      <c r="AU103" t="s">
        <v>6</v>
      </c>
      <c r="AV103">
        <v>0</v>
      </c>
      <c r="AW103">
        <v>1</v>
      </c>
      <c r="AX103">
        <v>-1</v>
      </c>
      <c r="AY103">
        <v>0</v>
      </c>
      <c r="AZ103">
        <v>0</v>
      </c>
      <c r="BA103" t="s">
        <v>6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Y103*Source!I63</f>
        <v>3.78</v>
      </c>
      <c r="CY103">
        <f>AA103</f>
        <v>12827.87</v>
      </c>
      <c r="CZ103">
        <f>AE103</f>
        <v>1799.14</v>
      </c>
      <c r="DA103">
        <f>AI103</f>
        <v>7.13</v>
      </c>
      <c r="DB103">
        <f t="shared" si="12"/>
        <v>1799.14</v>
      </c>
      <c r="DC103">
        <f t="shared" si="13"/>
        <v>0</v>
      </c>
    </row>
    <row r="104" spans="1:107" x14ac:dyDescent="0.2">
      <c r="A104">
        <f>ROW(Source!A63)</f>
        <v>63</v>
      </c>
      <c r="B104">
        <v>16630606</v>
      </c>
      <c r="C104">
        <v>16631339</v>
      </c>
      <c r="D104">
        <v>15192019</v>
      </c>
      <c r="E104">
        <v>1</v>
      </c>
      <c r="F104">
        <v>1</v>
      </c>
      <c r="G104">
        <v>1</v>
      </c>
      <c r="H104">
        <v>3</v>
      </c>
      <c r="I104" t="s">
        <v>1259</v>
      </c>
      <c r="J104" t="s">
        <v>1260</v>
      </c>
      <c r="K104" t="s">
        <v>1261</v>
      </c>
      <c r="L104">
        <v>1348</v>
      </c>
      <c r="N104">
        <v>1009</v>
      </c>
      <c r="O104" t="s">
        <v>98</v>
      </c>
      <c r="P104" t="s">
        <v>98</v>
      </c>
      <c r="Q104">
        <v>1000</v>
      </c>
      <c r="W104">
        <v>0</v>
      </c>
      <c r="X104">
        <v>-751617735</v>
      </c>
      <c r="Y104">
        <v>3.0000000000000001E-3</v>
      </c>
      <c r="AA104">
        <v>41382.519999999997</v>
      </c>
      <c r="AB104">
        <v>0</v>
      </c>
      <c r="AC104">
        <v>0</v>
      </c>
      <c r="AD104">
        <v>0</v>
      </c>
      <c r="AE104">
        <v>5804</v>
      </c>
      <c r="AF104">
        <v>0</v>
      </c>
      <c r="AG104">
        <v>0</v>
      </c>
      <c r="AH104">
        <v>0</v>
      </c>
      <c r="AI104">
        <v>7.13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6</v>
      </c>
      <c r="AT104">
        <v>3.0000000000000001E-3</v>
      </c>
      <c r="AU104" t="s">
        <v>6</v>
      </c>
      <c r="AV104">
        <v>0</v>
      </c>
      <c r="AW104">
        <v>2</v>
      </c>
      <c r="AX104">
        <v>16631355</v>
      </c>
      <c r="AY104">
        <v>1</v>
      </c>
      <c r="AZ104">
        <v>0</v>
      </c>
      <c r="BA104">
        <v>111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Y104*Source!I63</f>
        <v>1.1339999999999999E-2</v>
      </c>
      <c r="CY104">
        <f>AA104</f>
        <v>41382.519999999997</v>
      </c>
      <c r="CZ104">
        <f>AE104</f>
        <v>5804</v>
      </c>
      <c r="DA104">
        <f>AI104</f>
        <v>7.13</v>
      </c>
      <c r="DB104">
        <f t="shared" si="12"/>
        <v>17.41</v>
      </c>
      <c r="DC104">
        <f t="shared" si="13"/>
        <v>0</v>
      </c>
    </row>
    <row r="105" spans="1:107" x14ac:dyDescent="0.2">
      <c r="A105">
        <f>ROW(Source!A63)</f>
        <v>63</v>
      </c>
      <c r="B105">
        <v>16630606</v>
      </c>
      <c r="C105">
        <v>16631339</v>
      </c>
      <c r="D105">
        <v>15204330</v>
      </c>
      <c r="E105">
        <v>1</v>
      </c>
      <c r="F105">
        <v>1</v>
      </c>
      <c r="G105">
        <v>1</v>
      </c>
      <c r="H105">
        <v>3</v>
      </c>
      <c r="I105" t="s">
        <v>1262</v>
      </c>
      <c r="J105" t="s">
        <v>1263</v>
      </c>
      <c r="K105" t="s">
        <v>1264</v>
      </c>
      <c r="L105">
        <v>1354</v>
      </c>
      <c r="N105">
        <v>1010</v>
      </c>
      <c r="O105" t="s">
        <v>132</v>
      </c>
      <c r="P105" t="s">
        <v>132</v>
      </c>
      <c r="Q105">
        <v>1</v>
      </c>
      <c r="W105">
        <v>0</v>
      </c>
      <c r="X105">
        <v>-1075270488</v>
      </c>
      <c r="Y105">
        <v>0.1</v>
      </c>
      <c r="AA105">
        <v>519.05999999999995</v>
      </c>
      <c r="AB105">
        <v>0</v>
      </c>
      <c r="AC105">
        <v>0</v>
      </c>
      <c r="AD105">
        <v>0</v>
      </c>
      <c r="AE105">
        <v>72.8</v>
      </c>
      <c r="AF105">
        <v>0</v>
      </c>
      <c r="AG105">
        <v>0</v>
      </c>
      <c r="AH105">
        <v>0</v>
      </c>
      <c r="AI105">
        <v>7.13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6</v>
      </c>
      <c r="AT105">
        <v>0.1</v>
      </c>
      <c r="AU105" t="s">
        <v>6</v>
      </c>
      <c r="AV105">
        <v>0</v>
      </c>
      <c r="AW105">
        <v>2</v>
      </c>
      <c r="AX105">
        <v>16631356</v>
      </c>
      <c r="AY105">
        <v>1</v>
      </c>
      <c r="AZ105">
        <v>0</v>
      </c>
      <c r="BA105">
        <v>112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Y105*Source!I63</f>
        <v>0.378</v>
      </c>
      <c r="CY105">
        <f>AA105</f>
        <v>519.05999999999995</v>
      </c>
      <c r="CZ105">
        <f>AE105</f>
        <v>72.8</v>
      </c>
      <c r="DA105">
        <f>AI105</f>
        <v>7.13</v>
      </c>
      <c r="DB105">
        <f t="shared" si="12"/>
        <v>7.28</v>
      </c>
      <c r="DC105">
        <f t="shared" si="13"/>
        <v>0</v>
      </c>
    </row>
    <row r="106" spans="1:107" x14ac:dyDescent="0.2">
      <c r="A106">
        <f>ROW(Source!A65)</f>
        <v>65</v>
      </c>
      <c r="B106">
        <v>16630606</v>
      </c>
      <c r="C106">
        <v>16631358</v>
      </c>
      <c r="D106">
        <v>15430767</v>
      </c>
      <c r="E106">
        <v>1</v>
      </c>
      <c r="F106">
        <v>1</v>
      </c>
      <c r="G106">
        <v>1</v>
      </c>
      <c r="H106">
        <v>1</v>
      </c>
      <c r="I106" t="s">
        <v>1171</v>
      </c>
      <c r="J106" t="s">
        <v>6</v>
      </c>
      <c r="K106" t="s">
        <v>1172</v>
      </c>
      <c r="L106">
        <v>1191</v>
      </c>
      <c r="N106">
        <v>1013</v>
      </c>
      <c r="O106" t="s">
        <v>1148</v>
      </c>
      <c r="P106" t="s">
        <v>1148</v>
      </c>
      <c r="Q106">
        <v>1</v>
      </c>
      <c r="W106">
        <v>0</v>
      </c>
      <c r="X106">
        <v>-400197608</v>
      </c>
      <c r="Y106">
        <v>124.23</v>
      </c>
      <c r="AA106">
        <v>0</v>
      </c>
      <c r="AB106">
        <v>0</v>
      </c>
      <c r="AC106">
        <v>0</v>
      </c>
      <c r="AD106">
        <v>60.82</v>
      </c>
      <c r="AE106">
        <v>0</v>
      </c>
      <c r="AF106">
        <v>0</v>
      </c>
      <c r="AG106">
        <v>0</v>
      </c>
      <c r="AH106">
        <v>8.5299999999999994</v>
      </c>
      <c r="AI106">
        <v>1</v>
      </c>
      <c r="AJ106">
        <v>1</v>
      </c>
      <c r="AK106">
        <v>1</v>
      </c>
      <c r="AL106">
        <v>7.13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6</v>
      </c>
      <c r="AT106">
        <v>124.23</v>
      </c>
      <c r="AU106" t="s">
        <v>6</v>
      </c>
      <c r="AV106">
        <v>1</v>
      </c>
      <c r="AW106">
        <v>2</v>
      </c>
      <c r="AX106">
        <v>16631364</v>
      </c>
      <c r="AY106">
        <v>1</v>
      </c>
      <c r="AZ106">
        <v>0</v>
      </c>
      <c r="BA106">
        <v>113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Y106*Source!I65</f>
        <v>7.4538000000000002</v>
      </c>
      <c r="CY106">
        <f>AD106</f>
        <v>60.82</v>
      </c>
      <c r="CZ106">
        <f>AH106</f>
        <v>8.5299999999999994</v>
      </c>
      <c r="DA106">
        <f>AL106</f>
        <v>7.13</v>
      </c>
      <c r="DB106">
        <f t="shared" si="12"/>
        <v>1059.68</v>
      </c>
      <c r="DC106">
        <f t="shared" si="13"/>
        <v>0</v>
      </c>
    </row>
    <row r="107" spans="1:107" x14ac:dyDescent="0.2">
      <c r="A107">
        <f>ROW(Source!A65)</f>
        <v>65</v>
      </c>
      <c r="B107">
        <v>16630606</v>
      </c>
      <c r="C107">
        <v>16631358</v>
      </c>
      <c r="D107">
        <v>15249402</v>
      </c>
      <c r="E107">
        <v>1</v>
      </c>
      <c r="F107">
        <v>1</v>
      </c>
      <c r="G107">
        <v>1</v>
      </c>
      <c r="H107">
        <v>2</v>
      </c>
      <c r="I107" t="s">
        <v>1173</v>
      </c>
      <c r="J107" t="s">
        <v>1174</v>
      </c>
      <c r="K107" t="s">
        <v>1175</v>
      </c>
      <c r="L107">
        <v>1368</v>
      </c>
      <c r="N107">
        <v>1011</v>
      </c>
      <c r="O107" t="s">
        <v>1154</v>
      </c>
      <c r="P107" t="s">
        <v>1154</v>
      </c>
      <c r="Q107">
        <v>1</v>
      </c>
      <c r="W107">
        <v>0</v>
      </c>
      <c r="X107">
        <v>-2111251057</v>
      </c>
      <c r="Y107">
        <v>1.38</v>
      </c>
      <c r="AA107">
        <v>0</v>
      </c>
      <c r="AB107">
        <v>231.73</v>
      </c>
      <c r="AC107">
        <v>0</v>
      </c>
      <c r="AD107">
        <v>0</v>
      </c>
      <c r="AE107">
        <v>0</v>
      </c>
      <c r="AF107">
        <v>32.5</v>
      </c>
      <c r="AG107">
        <v>0</v>
      </c>
      <c r="AH107">
        <v>0</v>
      </c>
      <c r="AI107">
        <v>1</v>
      </c>
      <c r="AJ107">
        <v>7.13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6</v>
      </c>
      <c r="AT107">
        <v>1.38</v>
      </c>
      <c r="AU107" t="s">
        <v>6</v>
      </c>
      <c r="AV107">
        <v>0</v>
      </c>
      <c r="AW107">
        <v>2</v>
      </c>
      <c r="AX107">
        <v>16631365</v>
      </c>
      <c r="AY107">
        <v>1</v>
      </c>
      <c r="AZ107">
        <v>0</v>
      </c>
      <c r="BA107">
        <v>114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Y107*Source!I65</f>
        <v>8.2799999999999985E-2</v>
      </c>
      <c r="CY107">
        <f>AB107</f>
        <v>231.73</v>
      </c>
      <c r="CZ107">
        <f>AF107</f>
        <v>32.5</v>
      </c>
      <c r="DA107">
        <f>AJ107</f>
        <v>7.13</v>
      </c>
      <c r="DB107">
        <f t="shared" si="12"/>
        <v>44.85</v>
      </c>
      <c r="DC107">
        <f t="shared" si="13"/>
        <v>0</v>
      </c>
    </row>
    <row r="108" spans="1:107" x14ac:dyDescent="0.2">
      <c r="A108">
        <f>ROW(Source!A65)</f>
        <v>65</v>
      </c>
      <c r="B108">
        <v>16630606</v>
      </c>
      <c r="C108">
        <v>16631358</v>
      </c>
      <c r="D108">
        <v>15249998</v>
      </c>
      <c r="E108">
        <v>1</v>
      </c>
      <c r="F108">
        <v>1</v>
      </c>
      <c r="G108">
        <v>1</v>
      </c>
      <c r="H108">
        <v>2</v>
      </c>
      <c r="I108" t="s">
        <v>1176</v>
      </c>
      <c r="J108" t="s">
        <v>1177</v>
      </c>
      <c r="K108" t="s">
        <v>1178</v>
      </c>
      <c r="L108">
        <v>1368</v>
      </c>
      <c r="N108">
        <v>1011</v>
      </c>
      <c r="O108" t="s">
        <v>1154</v>
      </c>
      <c r="P108" t="s">
        <v>1154</v>
      </c>
      <c r="Q108">
        <v>1</v>
      </c>
      <c r="W108">
        <v>0</v>
      </c>
      <c r="X108">
        <v>1518765163</v>
      </c>
      <c r="Y108">
        <v>1.38</v>
      </c>
      <c r="AA108">
        <v>0</v>
      </c>
      <c r="AB108">
        <v>10.91</v>
      </c>
      <c r="AC108">
        <v>0</v>
      </c>
      <c r="AD108">
        <v>0</v>
      </c>
      <c r="AE108">
        <v>0</v>
      </c>
      <c r="AF108">
        <v>1.53</v>
      </c>
      <c r="AG108">
        <v>0</v>
      </c>
      <c r="AH108">
        <v>0</v>
      </c>
      <c r="AI108">
        <v>1</v>
      </c>
      <c r="AJ108">
        <v>7.13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6</v>
      </c>
      <c r="AT108">
        <v>1.38</v>
      </c>
      <c r="AU108" t="s">
        <v>6</v>
      </c>
      <c r="AV108">
        <v>0</v>
      </c>
      <c r="AW108">
        <v>2</v>
      </c>
      <c r="AX108">
        <v>16631366</v>
      </c>
      <c r="AY108">
        <v>1</v>
      </c>
      <c r="AZ108">
        <v>0</v>
      </c>
      <c r="BA108">
        <v>115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Y108*Source!I65</f>
        <v>8.2799999999999985E-2</v>
      </c>
      <c r="CY108">
        <f>AB108</f>
        <v>10.91</v>
      </c>
      <c r="CZ108">
        <f>AF108</f>
        <v>1.53</v>
      </c>
      <c r="DA108">
        <f>AJ108</f>
        <v>7.13</v>
      </c>
      <c r="DB108">
        <f t="shared" si="12"/>
        <v>2.11</v>
      </c>
      <c r="DC108">
        <f t="shared" si="13"/>
        <v>0</v>
      </c>
    </row>
    <row r="109" spans="1:107" x14ac:dyDescent="0.2">
      <c r="A109">
        <f>ROW(Source!A65)</f>
        <v>65</v>
      </c>
      <c r="B109">
        <v>16630606</v>
      </c>
      <c r="C109">
        <v>16631358</v>
      </c>
      <c r="D109">
        <v>15167286</v>
      </c>
      <c r="E109">
        <v>1</v>
      </c>
      <c r="F109">
        <v>1</v>
      </c>
      <c r="G109">
        <v>1</v>
      </c>
      <c r="H109">
        <v>3</v>
      </c>
      <c r="I109" t="s">
        <v>1265</v>
      </c>
      <c r="J109" t="s">
        <v>1266</v>
      </c>
      <c r="K109" t="s">
        <v>1267</v>
      </c>
      <c r="L109">
        <v>1339</v>
      </c>
      <c r="N109">
        <v>1007</v>
      </c>
      <c r="O109" t="s">
        <v>203</v>
      </c>
      <c r="P109" t="s">
        <v>203</v>
      </c>
      <c r="Q109">
        <v>1</v>
      </c>
      <c r="W109">
        <v>0</v>
      </c>
      <c r="X109">
        <v>-1660354250</v>
      </c>
      <c r="Y109">
        <v>0.1</v>
      </c>
      <c r="AA109">
        <v>17.399999999999999</v>
      </c>
      <c r="AB109">
        <v>0</v>
      </c>
      <c r="AC109">
        <v>0</v>
      </c>
      <c r="AD109">
        <v>0</v>
      </c>
      <c r="AE109">
        <v>2.44</v>
      </c>
      <c r="AF109">
        <v>0</v>
      </c>
      <c r="AG109">
        <v>0</v>
      </c>
      <c r="AH109">
        <v>0</v>
      </c>
      <c r="AI109">
        <v>7.13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6</v>
      </c>
      <c r="AT109">
        <v>0.1</v>
      </c>
      <c r="AU109" t="s">
        <v>6</v>
      </c>
      <c r="AV109">
        <v>0</v>
      </c>
      <c r="AW109">
        <v>2</v>
      </c>
      <c r="AX109">
        <v>16631367</v>
      </c>
      <c r="AY109">
        <v>1</v>
      </c>
      <c r="AZ109">
        <v>0</v>
      </c>
      <c r="BA109">
        <v>116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Y109*Source!I65</f>
        <v>6.0000000000000001E-3</v>
      </c>
      <c r="CY109">
        <f>AA109</f>
        <v>17.399999999999999</v>
      </c>
      <c r="CZ109">
        <f>AE109</f>
        <v>2.44</v>
      </c>
      <c r="DA109">
        <f>AI109</f>
        <v>7.13</v>
      </c>
      <c r="DB109">
        <f t="shared" si="12"/>
        <v>0.24</v>
      </c>
      <c r="DC109">
        <f t="shared" si="13"/>
        <v>0</v>
      </c>
    </row>
    <row r="110" spans="1:107" x14ac:dyDescent="0.2">
      <c r="A110">
        <f>ROW(Source!A65)</f>
        <v>65</v>
      </c>
      <c r="B110">
        <v>16630606</v>
      </c>
      <c r="C110">
        <v>16631358</v>
      </c>
      <c r="D110">
        <v>15172832</v>
      </c>
      <c r="E110">
        <v>1</v>
      </c>
      <c r="F110">
        <v>1</v>
      </c>
      <c r="G110">
        <v>1</v>
      </c>
      <c r="H110">
        <v>3</v>
      </c>
      <c r="I110" t="s">
        <v>201</v>
      </c>
      <c r="J110" t="s">
        <v>204</v>
      </c>
      <c r="K110" t="s">
        <v>202</v>
      </c>
      <c r="L110">
        <v>1339</v>
      </c>
      <c r="N110">
        <v>1007</v>
      </c>
      <c r="O110" t="s">
        <v>203</v>
      </c>
      <c r="P110" t="s">
        <v>203</v>
      </c>
      <c r="Q110">
        <v>1</v>
      </c>
      <c r="W110">
        <v>0</v>
      </c>
      <c r="X110">
        <v>-1048055182</v>
      </c>
      <c r="Y110">
        <v>2.14</v>
      </c>
      <c r="AA110">
        <v>3029.39</v>
      </c>
      <c r="AB110">
        <v>0</v>
      </c>
      <c r="AC110">
        <v>0</v>
      </c>
      <c r="AD110">
        <v>0</v>
      </c>
      <c r="AE110">
        <v>424.88</v>
      </c>
      <c r="AF110">
        <v>0</v>
      </c>
      <c r="AG110">
        <v>0</v>
      </c>
      <c r="AH110">
        <v>0</v>
      </c>
      <c r="AI110">
        <v>7.13</v>
      </c>
      <c r="AJ110">
        <v>1</v>
      </c>
      <c r="AK110">
        <v>1</v>
      </c>
      <c r="AL110">
        <v>1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6</v>
      </c>
      <c r="AT110">
        <v>2.14</v>
      </c>
      <c r="AU110" t="s">
        <v>6</v>
      </c>
      <c r="AV110">
        <v>0</v>
      </c>
      <c r="AW110">
        <v>1</v>
      </c>
      <c r="AX110">
        <v>-1</v>
      </c>
      <c r="AY110">
        <v>0</v>
      </c>
      <c r="AZ110">
        <v>0</v>
      </c>
      <c r="BA110" t="s">
        <v>6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Y110*Source!I65</f>
        <v>0.12840000000000001</v>
      </c>
      <c r="CY110">
        <f>AA110</f>
        <v>3029.39</v>
      </c>
      <c r="CZ110">
        <f>AE110</f>
        <v>424.88</v>
      </c>
      <c r="DA110">
        <f>AI110</f>
        <v>7.13</v>
      </c>
      <c r="DB110">
        <f t="shared" si="12"/>
        <v>909.24</v>
      </c>
      <c r="DC110">
        <f t="shared" si="13"/>
        <v>0</v>
      </c>
    </row>
    <row r="111" spans="1:107" x14ac:dyDescent="0.2">
      <c r="A111">
        <f>ROW(Source!A67)</f>
        <v>67</v>
      </c>
      <c r="B111">
        <v>16630606</v>
      </c>
      <c r="C111">
        <v>16631372</v>
      </c>
      <c r="D111">
        <v>15438286</v>
      </c>
      <c r="E111">
        <v>1</v>
      </c>
      <c r="F111">
        <v>1</v>
      </c>
      <c r="G111">
        <v>1</v>
      </c>
      <c r="H111">
        <v>1</v>
      </c>
      <c r="I111" t="s">
        <v>1244</v>
      </c>
      <c r="J111" t="s">
        <v>6</v>
      </c>
      <c r="K111" t="s">
        <v>1245</v>
      </c>
      <c r="L111">
        <v>1191</v>
      </c>
      <c r="N111">
        <v>1013</v>
      </c>
      <c r="O111" t="s">
        <v>1148</v>
      </c>
      <c r="P111" t="s">
        <v>1148</v>
      </c>
      <c r="Q111">
        <v>1</v>
      </c>
      <c r="W111">
        <v>0</v>
      </c>
      <c r="X111">
        <v>-1027537862</v>
      </c>
      <c r="Y111">
        <v>4.2435</v>
      </c>
      <c r="AA111">
        <v>0</v>
      </c>
      <c r="AB111">
        <v>0</v>
      </c>
      <c r="AC111">
        <v>0</v>
      </c>
      <c r="AD111">
        <v>65.45</v>
      </c>
      <c r="AE111">
        <v>0</v>
      </c>
      <c r="AF111">
        <v>0</v>
      </c>
      <c r="AG111">
        <v>0</v>
      </c>
      <c r="AH111">
        <v>9.18</v>
      </c>
      <c r="AI111">
        <v>1</v>
      </c>
      <c r="AJ111">
        <v>1</v>
      </c>
      <c r="AK111">
        <v>1</v>
      </c>
      <c r="AL111">
        <v>7.13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6</v>
      </c>
      <c r="AT111">
        <v>3.69</v>
      </c>
      <c r="AU111" t="s">
        <v>82</v>
      </c>
      <c r="AV111">
        <v>1</v>
      </c>
      <c r="AW111">
        <v>2</v>
      </c>
      <c r="AX111">
        <v>16631381</v>
      </c>
      <c r="AY111">
        <v>1</v>
      </c>
      <c r="AZ111">
        <v>0</v>
      </c>
      <c r="BA111">
        <v>120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Y111*Source!I67</f>
        <v>1.4343030000000001</v>
      </c>
      <c r="CY111">
        <f>AD111</f>
        <v>65.45</v>
      </c>
      <c r="CZ111">
        <f>AH111</f>
        <v>9.18</v>
      </c>
      <c r="DA111">
        <f>AL111</f>
        <v>7.13</v>
      </c>
      <c r="DB111">
        <f>ROUND((ROUND(AT111*CZ111,2)*1.15),2)</f>
        <v>38.950000000000003</v>
      </c>
      <c r="DC111">
        <f>ROUND((ROUND(AT111*AG111,2)*1.15),2)</f>
        <v>0</v>
      </c>
    </row>
    <row r="112" spans="1:107" x14ac:dyDescent="0.2">
      <c r="A112">
        <f>ROW(Source!A67)</f>
        <v>67</v>
      </c>
      <c r="B112">
        <v>16630606</v>
      </c>
      <c r="C112">
        <v>16631372</v>
      </c>
      <c r="D112">
        <v>15430395</v>
      </c>
      <c r="E112">
        <v>1</v>
      </c>
      <c r="F112">
        <v>1</v>
      </c>
      <c r="G112">
        <v>1</v>
      </c>
      <c r="H112">
        <v>1</v>
      </c>
      <c r="I112" t="s">
        <v>1149</v>
      </c>
      <c r="J112" t="s">
        <v>6</v>
      </c>
      <c r="K112" t="s">
        <v>1150</v>
      </c>
      <c r="L112">
        <v>1191</v>
      </c>
      <c r="N112">
        <v>1013</v>
      </c>
      <c r="O112" t="s">
        <v>1148</v>
      </c>
      <c r="P112" t="s">
        <v>1148</v>
      </c>
      <c r="Q112">
        <v>1</v>
      </c>
      <c r="W112">
        <v>0</v>
      </c>
      <c r="X112">
        <v>-1417349443</v>
      </c>
      <c r="Y112">
        <v>0.05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7.13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0.05</v>
      </c>
      <c r="AU112" t="s">
        <v>6</v>
      </c>
      <c r="AV112">
        <v>2</v>
      </c>
      <c r="AW112">
        <v>2</v>
      </c>
      <c r="AX112">
        <v>16631382</v>
      </c>
      <c r="AY112">
        <v>1</v>
      </c>
      <c r="AZ112">
        <v>2048</v>
      </c>
      <c r="BA112">
        <v>121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Y112*Source!I67</f>
        <v>1.6900000000000002E-2</v>
      </c>
      <c r="CY112">
        <f>AD112</f>
        <v>0</v>
      </c>
      <c r="CZ112">
        <f>AH112</f>
        <v>0</v>
      </c>
      <c r="DA112">
        <f>AL112</f>
        <v>1</v>
      </c>
      <c r="DB112">
        <f>ROUND(ROUND(AT112*CZ112,2),2)</f>
        <v>0</v>
      </c>
      <c r="DC112">
        <f>ROUND(ROUND(AT112*AG112,2),2)</f>
        <v>0</v>
      </c>
    </row>
    <row r="113" spans="1:107" x14ac:dyDescent="0.2">
      <c r="A113">
        <f>ROW(Source!A67)</f>
        <v>67</v>
      </c>
      <c r="B113">
        <v>16630606</v>
      </c>
      <c r="C113">
        <v>16631372</v>
      </c>
      <c r="D113">
        <v>15247970</v>
      </c>
      <c r="E113">
        <v>1</v>
      </c>
      <c r="F113">
        <v>1</v>
      </c>
      <c r="G113">
        <v>1</v>
      </c>
      <c r="H113">
        <v>2</v>
      </c>
      <c r="I113" t="s">
        <v>1268</v>
      </c>
      <c r="J113" t="s">
        <v>1269</v>
      </c>
      <c r="K113" t="s">
        <v>1270</v>
      </c>
      <c r="L113">
        <v>1368</v>
      </c>
      <c r="N113">
        <v>1011</v>
      </c>
      <c r="O113" t="s">
        <v>1154</v>
      </c>
      <c r="P113" t="s">
        <v>1154</v>
      </c>
      <c r="Q113">
        <v>1</v>
      </c>
      <c r="W113">
        <v>0</v>
      </c>
      <c r="X113">
        <v>368031958</v>
      </c>
      <c r="Y113">
        <v>1.2500000000000001E-2</v>
      </c>
      <c r="AA113">
        <v>0</v>
      </c>
      <c r="AB113">
        <v>197.22</v>
      </c>
      <c r="AC113">
        <v>11.6</v>
      </c>
      <c r="AD113">
        <v>0</v>
      </c>
      <c r="AE113">
        <v>0</v>
      </c>
      <c r="AF113">
        <v>27.66</v>
      </c>
      <c r="AG113">
        <v>11.6</v>
      </c>
      <c r="AH113">
        <v>0</v>
      </c>
      <c r="AI113">
        <v>1</v>
      </c>
      <c r="AJ113">
        <v>7.13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6</v>
      </c>
      <c r="AT113">
        <v>0.01</v>
      </c>
      <c r="AU113" t="s">
        <v>81</v>
      </c>
      <c r="AV113">
        <v>0</v>
      </c>
      <c r="AW113">
        <v>2</v>
      </c>
      <c r="AX113">
        <v>16631383</v>
      </c>
      <c r="AY113">
        <v>1</v>
      </c>
      <c r="AZ113">
        <v>0</v>
      </c>
      <c r="BA113">
        <v>122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Y113*Source!I67</f>
        <v>4.2250000000000005E-3</v>
      </c>
      <c r="CY113">
        <f>AB113</f>
        <v>197.22</v>
      </c>
      <c r="CZ113">
        <f>AF113</f>
        <v>27.66</v>
      </c>
      <c r="DA113">
        <f>AJ113</f>
        <v>7.13</v>
      </c>
      <c r="DB113">
        <f>ROUND((ROUND(AT113*CZ113,2)*1.25),2)</f>
        <v>0.35</v>
      </c>
      <c r="DC113">
        <f>ROUND((ROUND(AT113*AG113,2)*1.25),2)</f>
        <v>0.15</v>
      </c>
    </row>
    <row r="114" spans="1:107" x14ac:dyDescent="0.2">
      <c r="A114">
        <f>ROW(Source!A67)</f>
        <v>67</v>
      </c>
      <c r="B114">
        <v>16630606</v>
      </c>
      <c r="C114">
        <v>16631372</v>
      </c>
      <c r="D114">
        <v>15249073</v>
      </c>
      <c r="E114">
        <v>1</v>
      </c>
      <c r="F114">
        <v>1</v>
      </c>
      <c r="G114">
        <v>1</v>
      </c>
      <c r="H114">
        <v>2</v>
      </c>
      <c r="I114" t="s">
        <v>1157</v>
      </c>
      <c r="J114" t="s">
        <v>1158</v>
      </c>
      <c r="K114" t="s">
        <v>1159</v>
      </c>
      <c r="L114">
        <v>1368</v>
      </c>
      <c r="N114">
        <v>1011</v>
      </c>
      <c r="O114" t="s">
        <v>1154</v>
      </c>
      <c r="P114" t="s">
        <v>1154</v>
      </c>
      <c r="Q114">
        <v>1</v>
      </c>
      <c r="W114">
        <v>0</v>
      </c>
      <c r="X114">
        <v>1372534845</v>
      </c>
      <c r="Y114">
        <v>0.05</v>
      </c>
      <c r="AA114">
        <v>0</v>
      </c>
      <c r="AB114">
        <v>468.51</v>
      </c>
      <c r="AC114">
        <v>11.6</v>
      </c>
      <c r="AD114">
        <v>0</v>
      </c>
      <c r="AE114">
        <v>0</v>
      </c>
      <c r="AF114">
        <v>65.709999999999994</v>
      </c>
      <c r="AG114">
        <v>11.6</v>
      </c>
      <c r="AH114">
        <v>0</v>
      </c>
      <c r="AI114">
        <v>1</v>
      </c>
      <c r="AJ114">
        <v>7.13</v>
      </c>
      <c r="AK114">
        <v>1</v>
      </c>
      <c r="AL114">
        <v>1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6</v>
      </c>
      <c r="AT114">
        <v>0.04</v>
      </c>
      <c r="AU114" t="s">
        <v>81</v>
      </c>
      <c r="AV114">
        <v>0</v>
      </c>
      <c r="AW114">
        <v>2</v>
      </c>
      <c r="AX114">
        <v>16631384</v>
      </c>
      <c r="AY114">
        <v>1</v>
      </c>
      <c r="AZ114">
        <v>0</v>
      </c>
      <c r="BA114">
        <v>123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Y114*Source!I67</f>
        <v>1.6900000000000002E-2</v>
      </c>
      <c r="CY114">
        <f>AB114</f>
        <v>468.51</v>
      </c>
      <c r="CZ114">
        <f>AF114</f>
        <v>65.709999999999994</v>
      </c>
      <c r="DA114">
        <f>AJ114</f>
        <v>7.13</v>
      </c>
      <c r="DB114">
        <f>ROUND((ROUND(AT114*CZ114,2)*1.25),2)</f>
        <v>3.29</v>
      </c>
      <c r="DC114">
        <f>ROUND((ROUND(AT114*AG114,2)*1.25),2)</f>
        <v>0.57999999999999996</v>
      </c>
    </row>
    <row r="115" spans="1:107" x14ac:dyDescent="0.2">
      <c r="A115">
        <f>ROW(Source!A67)</f>
        <v>67</v>
      </c>
      <c r="B115">
        <v>16630606</v>
      </c>
      <c r="C115">
        <v>16631372</v>
      </c>
      <c r="D115">
        <v>15249933</v>
      </c>
      <c r="E115">
        <v>1</v>
      </c>
      <c r="F115">
        <v>1</v>
      </c>
      <c r="G115">
        <v>1</v>
      </c>
      <c r="H115">
        <v>2</v>
      </c>
      <c r="I115" t="s">
        <v>1271</v>
      </c>
      <c r="J115" t="s">
        <v>1272</v>
      </c>
      <c r="K115" t="s">
        <v>1273</v>
      </c>
      <c r="L115">
        <v>1368</v>
      </c>
      <c r="N115">
        <v>1011</v>
      </c>
      <c r="O115" t="s">
        <v>1154</v>
      </c>
      <c r="P115" t="s">
        <v>1154</v>
      </c>
      <c r="Q115">
        <v>1</v>
      </c>
      <c r="W115">
        <v>0</v>
      </c>
      <c r="X115">
        <v>271748449</v>
      </c>
      <c r="Y115">
        <v>3.5249999999999999</v>
      </c>
      <c r="AA115">
        <v>0</v>
      </c>
      <c r="AB115">
        <v>48.63</v>
      </c>
      <c r="AC115">
        <v>0</v>
      </c>
      <c r="AD115">
        <v>0</v>
      </c>
      <c r="AE115">
        <v>0</v>
      </c>
      <c r="AF115">
        <v>6.82</v>
      </c>
      <c r="AG115">
        <v>0</v>
      </c>
      <c r="AH115">
        <v>0</v>
      </c>
      <c r="AI115">
        <v>1</v>
      </c>
      <c r="AJ115">
        <v>7.13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6</v>
      </c>
      <c r="AT115">
        <v>2.82</v>
      </c>
      <c r="AU115" t="s">
        <v>81</v>
      </c>
      <c r="AV115">
        <v>0</v>
      </c>
      <c r="AW115">
        <v>2</v>
      </c>
      <c r="AX115">
        <v>16631385</v>
      </c>
      <c r="AY115">
        <v>1</v>
      </c>
      <c r="AZ115">
        <v>0</v>
      </c>
      <c r="BA115">
        <v>124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Y115*Source!I67</f>
        <v>1.1914500000000001</v>
      </c>
      <c r="CY115">
        <f>AB115</f>
        <v>48.63</v>
      </c>
      <c r="CZ115">
        <f>AF115</f>
        <v>6.82</v>
      </c>
      <c r="DA115">
        <f>AJ115</f>
        <v>7.13</v>
      </c>
      <c r="DB115">
        <f>ROUND((ROUND(AT115*CZ115,2)*1.25),2)</f>
        <v>24.04</v>
      </c>
      <c r="DC115">
        <f>ROUND((ROUND(AT115*AG115,2)*1.25),2)</f>
        <v>0</v>
      </c>
    </row>
    <row r="116" spans="1:107" x14ac:dyDescent="0.2">
      <c r="A116">
        <f>ROW(Source!A67)</f>
        <v>67</v>
      </c>
      <c r="B116">
        <v>16630606</v>
      </c>
      <c r="C116">
        <v>16631372</v>
      </c>
      <c r="D116">
        <v>15167286</v>
      </c>
      <c r="E116">
        <v>1</v>
      </c>
      <c r="F116">
        <v>1</v>
      </c>
      <c r="G116">
        <v>1</v>
      </c>
      <c r="H116">
        <v>3</v>
      </c>
      <c r="I116" t="s">
        <v>1265</v>
      </c>
      <c r="J116" t="s">
        <v>1266</v>
      </c>
      <c r="K116" t="s">
        <v>1267</v>
      </c>
      <c r="L116">
        <v>1339</v>
      </c>
      <c r="N116">
        <v>1007</v>
      </c>
      <c r="O116" t="s">
        <v>203</v>
      </c>
      <c r="P116" t="s">
        <v>203</v>
      </c>
      <c r="Q116">
        <v>1</v>
      </c>
      <c r="W116">
        <v>0</v>
      </c>
      <c r="X116">
        <v>-1660354250</v>
      </c>
      <c r="Y116">
        <v>0.01</v>
      </c>
      <c r="AA116">
        <v>17.399999999999999</v>
      </c>
      <c r="AB116">
        <v>0</v>
      </c>
      <c r="AC116">
        <v>0</v>
      </c>
      <c r="AD116">
        <v>0</v>
      </c>
      <c r="AE116">
        <v>2.44</v>
      </c>
      <c r="AF116">
        <v>0</v>
      </c>
      <c r="AG116">
        <v>0</v>
      </c>
      <c r="AH116">
        <v>0</v>
      </c>
      <c r="AI116">
        <v>7.13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6</v>
      </c>
      <c r="AT116">
        <v>0.01</v>
      </c>
      <c r="AU116" t="s">
        <v>6</v>
      </c>
      <c r="AV116">
        <v>0</v>
      </c>
      <c r="AW116">
        <v>2</v>
      </c>
      <c r="AX116">
        <v>16631386</v>
      </c>
      <c r="AY116">
        <v>1</v>
      </c>
      <c r="AZ116">
        <v>0</v>
      </c>
      <c r="BA116">
        <v>125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Y116*Source!I67</f>
        <v>3.3800000000000002E-3</v>
      </c>
      <c r="CY116">
        <f>AA116</f>
        <v>17.399999999999999</v>
      </c>
      <c r="CZ116">
        <f>AE116</f>
        <v>2.44</v>
      </c>
      <c r="DA116">
        <f>AI116</f>
        <v>7.13</v>
      </c>
      <c r="DB116">
        <f>ROUND(ROUND(AT116*CZ116,2),2)</f>
        <v>0.02</v>
      </c>
      <c r="DC116">
        <f>ROUND(ROUND(AT116*AG116,2),2)</f>
        <v>0</v>
      </c>
    </row>
    <row r="117" spans="1:107" x14ac:dyDescent="0.2">
      <c r="A117">
        <f>ROW(Source!A67)</f>
        <v>67</v>
      </c>
      <c r="B117">
        <v>16630606</v>
      </c>
      <c r="C117">
        <v>16631372</v>
      </c>
      <c r="D117">
        <v>15171018</v>
      </c>
      <c r="E117">
        <v>1</v>
      </c>
      <c r="F117">
        <v>1</v>
      </c>
      <c r="G117">
        <v>1</v>
      </c>
      <c r="H117">
        <v>3</v>
      </c>
      <c r="I117" t="s">
        <v>1204</v>
      </c>
      <c r="J117" t="s">
        <v>1205</v>
      </c>
      <c r="K117" t="s">
        <v>1206</v>
      </c>
      <c r="L117">
        <v>1346</v>
      </c>
      <c r="N117">
        <v>1009</v>
      </c>
      <c r="O117" t="s">
        <v>102</v>
      </c>
      <c r="P117" t="s">
        <v>102</v>
      </c>
      <c r="Q117">
        <v>1</v>
      </c>
      <c r="W117">
        <v>0</v>
      </c>
      <c r="X117">
        <v>813963326</v>
      </c>
      <c r="Y117">
        <v>1</v>
      </c>
      <c r="AA117">
        <v>12.98</v>
      </c>
      <c r="AB117">
        <v>0</v>
      </c>
      <c r="AC117">
        <v>0</v>
      </c>
      <c r="AD117">
        <v>0</v>
      </c>
      <c r="AE117">
        <v>1.82</v>
      </c>
      <c r="AF117">
        <v>0</v>
      </c>
      <c r="AG117">
        <v>0</v>
      </c>
      <c r="AH117">
        <v>0</v>
      </c>
      <c r="AI117">
        <v>7.13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6</v>
      </c>
      <c r="AT117">
        <v>1</v>
      </c>
      <c r="AU117" t="s">
        <v>6</v>
      </c>
      <c r="AV117">
        <v>0</v>
      </c>
      <c r="AW117">
        <v>2</v>
      </c>
      <c r="AX117">
        <v>16631387</v>
      </c>
      <c r="AY117">
        <v>1</v>
      </c>
      <c r="AZ117">
        <v>0</v>
      </c>
      <c r="BA117">
        <v>126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Y117*Source!I67</f>
        <v>0.33800000000000002</v>
      </c>
      <c r="CY117">
        <f>AA117</f>
        <v>12.98</v>
      </c>
      <c r="CZ117">
        <f>AE117</f>
        <v>1.82</v>
      </c>
      <c r="DA117">
        <f>AI117</f>
        <v>7.13</v>
      </c>
      <c r="DB117">
        <f>ROUND(ROUND(AT117*CZ117,2),2)</f>
        <v>1.82</v>
      </c>
      <c r="DC117">
        <f>ROUND(ROUND(AT117*AG117,2),2)</f>
        <v>0</v>
      </c>
    </row>
    <row r="118" spans="1:107" x14ac:dyDescent="0.2">
      <c r="A118">
        <f>ROW(Source!A67)</f>
        <v>67</v>
      </c>
      <c r="B118">
        <v>16630606</v>
      </c>
      <c r="C118">
        <v>16631372</v>
      </c>
      <c r="D118">
        <v>15203485</v>
      </c>
      <c r="E118">
        <v>1</v>
      </c>
      <c r="F118">
        <v>1</v>
      </c>
      <c r="G118">
        <v>1</v>
      </c>
      <c r="H118">
        <v>3</v>
      </c>
      <c r="I118" t="s">
        <v>1274</v>
      </c>
      <c r="J118" t="s">
        <v>1275</v>
      </c>
      <c r="K118" t="s">
        <v>1276</v>
      </c>
      <c r="L118">
        <v>1346</v>
      </c>
      <c r="N118">
        <v>1009</v>
      </c>
      <c r="O118" t="s">
        <v>102</v>
      </c>
      <c r="P118" t="s">
        <v>102</v>
      </c>
      <c r="Q118">
        <v>1</v>
      </c>
      <c r="W118">
        <v>0</v>
      </c>
      <c r="X118">
        <v>303141801</v>
      </c>
      <c r="Y118">
        <v>13.8</v>
      </c>
      <c r="AA118">
        <v>108.73</v>
      </c>
      <c r="AB118">
        <v>0</v>
      </c>
      <c r="AC118">
        <v>0</v>
      </c>
      <c r="AD118">
        <v>0</v>
      </c>
      <c r="AE118">
        <v>15.25</v>
      </c>
      <c r="AF118">
        <v>0</v>
      </c>
      <c r="AG118">
        <v>0</v>
      </c>
      <c r="AH118">
        <v>0</v>
      </c>
      <c r="AI118">
        <v>7.13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6</v>
      </c>
      <c r="AT118">
        <v>13.8</v>
      </c>
      <c r="AU118" t="s">
        <v>6</v>
      </c>
      <c r="AV118">
        <v>0</v>
      </c>
      <c r="AW118">
        <v>2</v>
      </c>
      <c r="AX118">
        <v>16631388</v>
      </c>
      <c r="AY118">
        <v>1</v>
      </c>
      <c r="AZ118">
        <v>0</v>
      </c>
      <c r="BA118">
        <v>127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Y118*Source!I67</f>
        <v>4.6644000000000005</v>
      </c>
      <c r="CY118">
        <f>AA118</f>
        <v>108.73</v>
      </c>
      <c r="CZ118">
        <f>AE118</f>
        <v>15.25</v>
      </c>
      <c r="DA118">
        <f>AI118</f>
        <v>7.13</v>
      </c>
      <c r="DB118">
        <f>ROUND(ROUND(AT118*CZ118,2),2)</f>
        <v>210.45</v>
      </c>
      <c r="DC118">
        <f>ROUND(ROUND(AT118*AG118,2),2)</f>
        <v>0</v>
      </c>
    </row>
    <row r="119" spans="1:107" x14ac:dyDescent="0.2">
      <c r="A119">
        <f>ROW(Source!A68)</f>
        <v>68</v>
      </c>
      <c r="B119">
        <v>16630606</v>
      </c>
      <c r="C119">
        <v>16631389</v>
      </c>
      <c r="D119">
        <v>15433640</v>
      </c>
      <c r="E119">
        <v>1</v>
      </c>
      <c r="F119">
        <v>1</v>
      </c>
      <c r="G119">
        <v>1</v>
      </c>
      <c r="H119">
        <v>1</v>
      </c>
      <c r="I119" t="s">
        <v>1277</v>
      </c>
      <c r="J119" t="s">
        <v>6</v>
      </c>
      <c r="K119" t="s">
        <v>1278</v>
      </c>
      <c r="L119">
        <v>1191</v>
      </c>
      <c r="N119">
        <v>1013</v>
      </c>
      <c r="O119" t="s">
        <v>1148</v>
      </c>
      <c r="P119" t="s">
        <v>1148</v>
      </c>
      <c r="Q119">
        <v>1</v>
      </c>
      <c r="W119">
        <v>0</v>
      </c>
      <c r="X119">
        <v>-1366118074</v>
      </c>
      <c r="Y119">
        <v>45.436499999999995</v>
      </c>
      <c r="AA119">
        <v>0</v>
      </c>
      <c r="AB119">
        <v>0</v>
      </c>
      <c r="AC119">
        <v>0</v>
      </c>
      <c r="AD119">
        <v>56.61</v>
      </c>
      <c r="AE119">
        <v>0</v>
      </c>
      <c r="AF119">
        <v>0</v>
      </c>
      <c r="AG119">
        <v>0</v>
      </c>
      <c r="AH119">
        <v>7.94</v>
      </c>
      <c r="AI119">
        <v>1</v>
      </c>
      <c r="AJ119">
        <v>1</v>
      </c>
      <c r="AK119">
        <v>1</v>
      </c>
      <c r="AL119">
        <v>7.13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6</v>
      </c>
      <c r="AT119">
        <v>39.51</v>
      </c>
      <c r="AU119" t="s">
        <v>82</v>
      </c>
      <c r="AV119">
        <v>1</v>
      </c>
      <c r="AW119">
        <v>2</v>
      </c>
      <c r="AX119">
        <v>16631396</v>
      </c>
      <c r="AY119">
        <v>1</v>
      </c>
      <c r="AZ119">
        <v>0</v>
      </c>
      <c r="BA119">
        <v>128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Y119*Source!I68</f>
        <v>15.357536999999999</v>
      </c>
      <c r="CY119">
        <f>AD119</f>
        <v>56.61</v>
      </c>
      <c r="CZ119">
        <f>AH119</f>
        <v>7.94</v>
      </c>
      <c r="DA119">
        <f>AL119</f>
        <v>7.13</v>
      </c>
      <c r="DB119">
        <f>ROUND((ROUND(AT119*CZ119,2)*1.15),2)</f>
        <v>360.77</v>
      </c>
      <c r="DC119">
        <f>ROUND((ROUND(AT119*AG119,2)*1.15),2)</f>
        <v>0</v>
      </c>
    </row>
    <row r="120" spans="1:107" x14ac:dyDescent="0.2">
      <c r="A120">
        <f>ROW(Source!A68)</f>
        <v>68</v>
      </c>
      <c r="B120">
        <v>16630606</v>
      </c>
      <c r="C120">
        <v>16631389</v>
      </c>
      <c r="D120">
        <v>15430395</v>
      </c>
      <c r="E120">
        <v>1</v>
      </c>
      <c r="F120">
        <v>1</v>
      </c>
      <c r="G120">
        <v>1</v>
      </c>
      <c r="H120">
        <v>1</v>
      </c>
      <c r="I120" t="s">
        <v>1149</v>
      </c>
      <c r="J120" t="s">
        <v>6</v>
      </c>
      <c r="K120" t="s">
        <v>1150</v>
      </c>
      <c r="L120">
        <v>1191</v>
      </c>
      <c r="N120">
        <v>1013</v>
      </c>
      <c r="O120" t="s">
        <v>1148</v>
      </c>
      <c r="P120" t="s">
        <v>1148</v>
      </c>
      <c r="Q120">
        <v>1</v>
      </c>
      <c r="W120">
        <v>0</v>
      </c>
      <c r="X120">
        <v>-1417349443</v>
      </c>
      <c r="Y120">
        <v>1.27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1</v>
      </c>
      <c r="AJ120">
        <v>1</v>
      </c>
      <c r="AK120">
        <v>7.13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6</v>
      </c>
      <c r="AT120">
        <v>1.27</v>
      </c>
      <c r="AU120" t="s">
        <v>6</v>
      </c>
      <c r="AV120">
        <v>2</v>
      </c>
      <c r="AW120">
        <v>2</v>
      </c>
      <c r="AX120">
        <v>16631397</v>
      </c>
      <c r="AY120">
        <v>1</v>
      </c>
      <c r="AZ120">
        <v>2048</v>
      </c>
      <c r="BA120">
        <v>129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Y120*Source!I68</f>
        <v>0.42926000000000003</v>
      </c>
      <c r="CY120">
        <f>AD120</f>
        <v>0</v>
      </c>
      <c r="CZ120">
        <f>AH120</f>
        <v>0</v>
      </c>
      <c r="DA120">
        <f>AL120</f>
        <v>1</v>
      </c>
      <c r="DB120">
        <f>ROUND(ROUND(AT120*CZ120,2),2)</f>
        <v>0</v>
      </c>
      <c r="DC120">
        <f>ROUND(ROUND(AT120*AG120,2),2)</f>
        <v>0</v>
      </c>
    </row>
    <row r="121" spans="1:107" x14ac:dyDescent="0.2">
      <c r="A121">
        <f>ROW(Source!A68)</f>
        <v>68</v>
      </c>
      <c r="B121">
        <v>16630606</v>
      </c>
      <c r="C121">
        <v>16631389</v>
      </c>
      <c r="D121">
        <v>15247974</v>
      </c>
      <c r="E121">
        <v>1</v>
      </c>
      <c r="F121">
        <v>1</v>
      </c>
      <c r="G121">
        <v>1</v>
      </c>
      <c r="H121">
        <v>2</v>
      </c>
      <c r="I121" t="s">
        <v>1151</v>
      </c>
      <c r="J121" t="s">
        <v>1152</v>
      </c>
      <c r="K121" t="s">
        <v>1153</v>
      </c>
      <c r="L121">
        <v>1368</v>
      </c>
      <c r="N121">
        <v>1011</v>
      </c>
      <c r="O121" t="s">
        <v>1154</v>
      </c>
      <c r="P121" t="s">
        <v>1154</v>
      </c>
      <c r="Q121">
        <v>1</v>
      </c>
      <c r="W121">
        <v>0</v>
      </c>
      <c r="X121">
        <v>1188625873</v>
      </c>
      <c r="Y121">
        <v>1.5874999999999999</v>
      </c>
      <c r="AA121">
        <v>0</v>
      </c>
      <c r="AB121">
        <v>222.88</v>
      </c>
      <c r="AC121">
        <v>13.5</v>
      </c>
      <c r="AD121">
        <v>0</v>
      </c>
      <c r="AE121">
        <v>0</v>
      </c>
      <c r="AF121">
        <v>31.26</v>
      </c>
      <c r="AG121">
        <v>13.5</v>
      </c>
      <c r="AH121">
        <v>0</v>
      </c>
      <c r="AI121">
        <v>1</v>
      </c>
      <c r="AJ121">
        <v>7.13</v>
      </c>
      <c r="AK121">
        <v>1</v>
      </c>
      <c r="AL121">
        <v>1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6</v>
      </c>
      <c r="AT121">
        <v>1.27</v>
      </c>
      <c r="AU121" t="s">
        <v>81</v>
      </c>
      <c r="AV121">
        <v>0</v>
      </c>
      <c r="AW121">
        <v>2</v>
      </c>
      <c r="AX121">
        <v>16631398</v>
      </c>
      <c r="AY121">
        <v>1</v>
      </c>
      <c r="AZ121">
        <v>0</v>
      </c>
      <c r="BA121">
        <v>130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Y121*Source!I68</f>
        <v>0.53657500000000002</v>
      </c>
      <c r="CY121">
        <f>AB121</f>
        <v>222.88</v>
      </c>
      <c r="CZ121">
        <f>AF121</f>
        <v>31.26</v>
      </c>
      <c r="DA121">
        <f>AJ121</f>
        <v>7.13</v>
      </c>
      <c r="DB121">
        <f>ROUND((ROUND(AT121*CZ121,2)*1.25),2)</f>
        <v>49.63</v>
      </c>
      <c r="DC121">
        <f>ROUND((ROUND(AT121*AG121,2)*1.25),2)</f>
        <v>21.44</v>
      </c>
    </row>
    <row r="122" spans="1:107" x14ac:dyDescent="0.2">
      <c r="A122">
        <f>ROW(Source!A68)</f>
        <v>68</v>
      </c>
      <c r="B122">
        <v>16630606</v>
      </c>
      <c r="C122">
        <v>16631389</v>
      </c>
      <c r="D122">
        <v>15248091</v>
      </c>
      <c r="E122">
        <v>1</v>
      </c>
      <c r="F122">
        <v>1</v>
      </c>
      <c r="G122">
        <v>1</v>
      </c>
      <c r="H122">
        <v>2</v>
      </c>
      <c r="I122" t="s">
        <v>1279</v>
      </c>
      <c r="J122" t="s">
        <v>1280</v>
      </c>
      <c r="K122" t="s">
        <v>1281</v>
      </c>
      <c r="L122">
        <v>1368</v>
      </c>
      <c r="N122">
        <v>1011</v>
      </c>
      <c r="O122" t="s">
        <v>1154</v>
      </c>
      <c r="P122" t="s">
        <v>1154</v>
      </c>
      <c r="Q122">
        <v>1</v>
      </c>
      <c r="W122">
        <v>0</v>
      </c>
      <c r="X122">
        <v>126902709</v>
      </c>
      <c r="Y122">
        <v>11.3375</v>
      </c>
      <c r="AA122">
        <v>0</v>
      </c>
      <c r="AB122">
        <v>3.57</v>
      </c>
      <c r="AC122">
        <v>0</v>
      </c>
      <c r="AD122">
        <v>0</v>
      </c>
      <c r="AE122">
        <v>0</v>
      </c>
      <c r="AF122">
        <v>0.5</v>
      </c>
      <c r="AG122">
        <v>0</v>
      </c>
      <c r="AH122">
        <v>0</v>
      </c>
      <c r="AI122">
        <v>1</v>
      </c>
      <c r="AJ122">
        <v>7.13</v>
      </c>
      <c r="AK122">
        <v>1</v>
      </c>
      <c r="AL122">
        <v>1</v>
      </c>
      <c r="AN122">
        <v>0</v>
      </c>
      <c r="AO122">
        <v>1</v>
      </c>
      <c r="AP122">
        <v>1</v>
      </c>
      <c r="AQ122">
        <v>0</v>
      </c>
      <c r="AR122">
        <v>0</v>
      </c>
      <c r="AS122" t="s">
        <v>6</v>
      </c>
      <c r="AT122">
        <v>9.07</v>
      </c>
      <c r="AU122" t="s">
        <v>81</v>
      </c>
      <c r="AV122">
        <v>0</v>
      </c>
      <c r="AW122">
        <v>2</v>
      </c>
      <c r="AX122">
        <v>16631399</v>
      </c>
      <c r="AY122">
        <v>1</v>
      </c>
      <c r="AZ122">
        <v>0</v>
      </c>
      <c r="BA122">
        <v>131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Y122*Source!I68</f>
        <v>3.8320750000000006</v>
      </c>
      <c r="CY122">
        <f>AB122</f>
        <v>3.57</v>
      </c>
      <c r="CZ122">
        <f>AF122</f>
        <v>0.5</v>
      </c>
      <c r="DA122">
        <f>AJ122</f>
        <v>7.13</v>
      </c>
      <c r="DB122">
        <f>ROUND((ROUND(AT122*CZ122,2)*1.25),2)</f>
        <v>5.68</v>
      </c>
      <c r="DC122">
        <f>ROUND((ROUND(AT122*AG122,2)*1.25),2)</f>
        <v>0</v>
      </c>
    </row>
    <row r="123" spans="1:107" x14ac:dyDescent="0.2">
      <c r="A123">
        <f>ROW(Source!A68)</f>
        <v>68</v>
      </c>
      <c r="B123">
        <v>16630606</v>
      </c>
      <c r="C123">
        <v>16631389</v>
      </c>
      <c r="D123">
        <v>15167286</v>
      </c>
      <c r="E123">
        <v>1</v>
      </c>
      <c r="F123">
        <v>1</v>
      </c>
      <c r="G123">
        <v>1</v>
      </c>
      <c r="H123">
        <v>3</v>
      </c>
      <c r="I123" t="s">
        <v>1265</v>
      </c>
      <c r="J123" t="s">
        <v>1266</v>
      </c>
      <c r="K123" t="s">
        <v>1267</v>
      </c>
      <c r="L123">
        <v>1339</v>
      </c>
      <c r="N123">
        <v>1007</v>
      </c>
      <c r="O123" t="s">
        <v>203</v>
      </c>
      <c r="P123" t="s">
        <v>203</v>
      </c>
      <c r="Q123">
        <v>1</v>
      </c>
      <c r="W123">
        <v>0</v>
      </c>
      <c r="X123">
        <v>-1660354250</v>
      </c>
      <c r="Y123">
        <v>3.5</v>
      </c>
      <c r="AA123">
        <v>17.399999999999999</v>
      </c>
      <c r="AB123">
        <v>0</v>
      </c>
      <c r="AC123">
        <v>0</v>
      </c>
      <c r="AD123">
        <v>0</v>
      </c>
      <c r="AE123">
        <v>2.44</v>
      </c>
      <c r="AF123">
        <v>0</v>
      </c>
      <c r="AG123">
        <v>0</v>
      </c>
      <c r="AH123">
        <v>0</v>
      </c>
      <c r="AI123">
        <v>7.13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6</v>
      </c>
      <c r="AT123">
        <v>3.5</v>
      </c>
      <c r="AU123" t="s">
        <v>6</v>
      </c>
      <c r="AV123">
        <v>0</v>
      </c>
      <c r="AW123">
        <v>2</v>
      </c>
      <c r="AX123">
        <v>16631400</v>
      </c>
      <c r="AY123">
        <v>1</v>
      </c>
      <c r="AZ123">
        <v>0</v>
      </c>
      <c r="BA123">
        <v>132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Y123*Source!I68</f>
        <v>1.1830000000000001</v>
      </c>
      <c r="CY123">
        <f>AA123</f>
        <v>17.399999999999999</v>
      </c>
      <c r="CZ123">
        <f>AE123</f>
        <v>2.44</v>
      </c>
      <c r="DA123">
        <f>AI123</f>
        <v>7.13</v>
      </c>
      <c r="DB123">
        <f>ROUND(ROUND(AT123*CZ123,2),2)</f>
        <v>8.5399999999999991</v>
      </c>
      <c r="DC123">
        <f>ROUND(ROUND(AT123*AG123,2),2)</f>
        <v>0</v>
      </c>
    </row>
    <row r="124" spans="1:107" x14ac:dyDescent="0.2">
      <c r="A124">
        <f>ROW(Source!A68)</f>
        <v>68</v>
      </c>
      <c r="B124">
        <v>16630606</v>
      </c>
      <c r="C124">
        <v>16631389</v>
      </c>
      <c r="D124">
        <v>15172836</v>
      </c>
      <c r="E124">
        <v>1</v>
      </c>
      <c r="F124">
        <v>1</v>
      </c>
      <c r="G124">
        <v>1</v>
      </c>
      <c r="H124">
        <v>3</v>
      </c>
      <c r="I124" t="s">
        <v>214</v>
      </c>
      <c r="J124" t="s">
        <v>216</v>
      </c>
      <c r="K124" t="s">
        <v>215</v>
      </c>
      <c r="L124">
        <v>1339</v>
      </c>
      <c r="N124">
        <v>1007</v>
      </c>
      <c r="O124" t="s">
        <v>203</v>
      </c>
      <c r="P124" t="s">
        <v>203</v>
      </c>
      <c r="Q124">
        <v>1</v>
      </c>
      <c r="W124">
        <v>0</v>
      </c>
      <c r="X124">
        <v>519185539</v>
      </c>
      <c r="Y124">
        <v>2.04</v>
      </c>
      <c r="AA124">
        <v>3706.17</v>
      </c>
      <c r="AB124">
        <v>0</v>
      </c>
      <c r="AC124">
        <v>0</v>
      </c>
      <c r="AD124">
        <v>0</v>
      </c>
      <c r="AE124">
        <v>519.79999999999995</v>
      </c>
      <c r="AF124">
        <v>0</v>
      </c>
      <c r="AG124">
        <v>0</v>
      </c>
      <c r="AH124">
        <v>0</v>
      </c>
      <c r="AI124">
        <v>7.13</v>
      </c>
      <c r="AJ124">
        <v>1</v>
      </c>
      <c r="AK124">
        <v>1</v>
      </c>
      <c r="AL124">
        <v>1</v>
      </c>
      <c r="AN124">
        <v>0</v>
      </c>
      <c r="AO124">
        <v>0</v>
      </c>
      <c r="AP124">
        <v>0</v>
      </c>
      <c r="AQ124">
        <v>0</v>
      </c>
      <c r="AR124">
        <v>0</v>
      </c>
      <c r="AS124" t="s">
        <v>6</v>
      </c>
      <c r="AT124">
        <v>2.04</v>
      </c>
      <c r="AU124" t="s">
        <v>6</v>
      </c>
      <c r="AV124">
        <v>0</v>
      </c>
      <c r="AW124">
        <v>1</v>
      </c>
      <c r="AX124">
        <v>-1</v>
      </c>
      <c r="AY124">
        <v>0</v>
      </c>
      <c r="AZ124">
        <v>0</v>
      </c>
      <c r="BA124" t="s">
        <v>6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Y124*Source!I68</f>
        <v>0.68952000000000002</v>
      </c>
      <c r="CY124">
        <f>AA124</f>
        <v>3706.17</v>
      </c>
      <c r="CZ124">
        <f>AE124</f>
        <v>519.79999999999995</v>
      </c>
      <c r="DA124">
        <f>AI124</f>
        <v>7.13</v>
      </c>
      <c r="DB124">
        <f>ROUND(ROUND(AT124*CZ124,2),2)</f>
        <v>1060.3900000000001</v>
      </c>
      <c r="DC124">
        <f>ROUND(ROUND(AT124*AG124,2),2)</f>
        <v>0</v>
      </c>
    </row>
    <row r="125" spans="1:107" x14ac:dyDescent="0.2">
      <c r="A125">
        <f>ROW(Source!A70)</f>
        <v>70</v>
      </c>
      <c r="B125">
        <v>16630606</v>
      </c>
      <c r="C125">
        <v>16631403</v>
      </c>
      <c r="D125">
        <v>15433640</v>
      </c>
      <c r="E125">
        <v>1</v>
      </c>
      <c r="F125">
        <v>1</v>
      </c>
      <c r="G125">
        <v>1</v>
      </c>
      <c r="H125">
        <v>1</v>
      </c>
      <c r="I125" t="s">
        <v>1277</v>
      </c>
      <c r="J125" t="s">
        <v>6</v>
      </c>
      <c r="K125" t="s">
        <v>1278</v>
      </c>
      <c r="L125">
        <v>1191</v>
      </c>
      <c r="N125">
        <v>1013</v>
      </c>
      <c r="O125" t="s">
        <v>1148</v>
      </c>
      <c r="P125" t="s">
        <v>1148</v>
      </c>
      <c r="Q125">
        <v>1</v>
      </c>
      <c r="W125">
        <v>0</v>
      </c>
      <c r="X125">
        <v>-1366118074</v>
      </c>
      <c r="Y125">
        <v>1.7249999999999999</v>
      </c>
      <c r="AA125">
        <v>0</v>
      </c>
      <c r="AB125">
        <v>0</v>
      </c>
      <c r="AC125">
        <v>0</v>
      </c>
      <c r="AD125">
        <v>56.61</v>
      </c>
      <c r="AE125">
        <v>0</v>
      </c>
      <c r="AF125">
        <v>0</v>
      </c>
      <c r="AG125">
        <v>0</v>
      </c>
      <c r="AH125">
        <v>7.94</v>
      </c>
      <c r="AI125">
        <v>1</v>
      </c>
      <c r="AJ125">
        <v>1</v>
      </c>
      <c r="AK125">
        <v>1</v>
      </c>
      <c r="AL125">
        <v>7.13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6</v>
      </c>
      <c r="AT125">
        <v>0.5</v>
      </c>
      <c r="AU125" t="s">
        <v>223</v>
      </c>
      <c r="AV125">
        <v>1</v>
      </c>
      <c r="AW125">
        <v>2</v>
      </c>
      <c r="AX125">
        <v>16631409</v>
      </c>
      <c r="AY125">
        <v>1</v>
      </c>
      <c r="AZ125">
        <v>0</v>
      </c>
      <c r="BA125">
        <v>134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Y125*Source!I70</f>
        <v>0.58304999999999996</v>
      </c>
      <c r="CY125">
        <f>AD125</f>
        <v>56.61</v>
      </c>
      <c r="CZ125">
        <f>AH125</f>
        <v>7.94</v>
      </c>
      <c r="DA125">
        <f>AL125</f>
        <v>7.13</v>
      </c>
      <c r="DB125">
        <f>ROUND(((ROUND(AT125*CZ125,2)*3)*1.15),2)</f>
        <v>13.7</v>
      </c>
      <c r="DC125">
        <f>ROUND(((ROUND(AT125*AG125,2)*3)*1.15),2)</f>
        <v>0</v>
      </c>
    </row>
    <row r="126" spans="1:107" x14ac:dyDescent="0.2">
      <c r="A126">
        <f>ROW(Source!A70)</f>
        <v>70</v>
      </c>
      <c r="B126">
        <v>16630606</v>
      </c>
      <c r="C126">
        <v>16631403</v>
      </c>
      <c r="D126">
        <v>15430395</v>
      </c>
      <c r="E126">
        <v>1</v>
      </c>
      <c r="F126">
        <v>1</v>
      </c>
      <c r="G126">
        <v>1</v>
      </c>
      <c r="H126">
        <v>1</v>
      </c>
      <c r="I126" t="s">
        <v>1149</v>
      </c>
      <c r="J126" t="s">
        <v>6</v>
      </c>
      <c r="K126" t="s">
        <v>1150</v>
      </c>
      <c r="L126">
        <v>1191</v>
      </c>
      <c r="N126">
        <v>1013</v>
      </c>
      <c r="O126" t="s">
        <v>1148</v>
      </c>
      <c r="P126" t="s">
        <v>1148</v>
      </c>
      <c r="Q126">
        <v>1</v>
      </c>
      <c r="W126">
        <v>0</v>
      </c>
      <c r="X126">
        <v>-1417349443</v>
      </c>
      <c r="Y126">
        <v>0.21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1</v>
      </c>
      <c r="AJ126">
        <v>1</v>
      </c>
      <c r="AK126">
        <v>7.13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6</v>
      </c>
      <c r="AT126">
        <v>0.21</v>
      </c>
      <c r="AU126" t="s">
        <v>6</v>
      </c>
      <c r="AV126">
        <v>2</v>
      </c>
      <c r="AW126">
        <v>2</v>
      </c>
      <c r="AX126">
        <v>16631410</v>
      </c>
      <c r="AY126">
        <v>1</v>
      </c>
      <c r="AZ126">
        <v>2048</v>
      </c>
      <c r="BA126">
        <v>135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Y126*Source!I70</f>
        <v>7.0980000000000001E-2</v>
      </c>
      <c r="CY126">
        <f>AD126</f>
        <v>0</v>
      </c>
      <c r="CZ126">
        <f>AH126</f>
        <v>0</v>
      </c>
      <c r="DA126">
        <f>AL126</f>
        <v>1</v>
      </c>
      <c r="DB126">
        <f>ROUND(ROUND(AT126*CZ126,2),2)</f>
        <v>0</v>
      </c>
      <c r="DC126">
        <f>ROUND(ROUND(AT126*AG126,2),2)</f>
        <v>0</v>
      </c>
    </row>
    <row r="127" spans="1:107" x14ac:dyDescent="0.2">
      <c r="A127">
        <f>ROW(Source!A70)</f>
        <v>70</v>
      </c>
      <c r="B127">
        <v>16630606</v>
      </c>
      <c r="C127">
        <v>16631403</v>
      </c>
      <c r="D127">
        <v>15247974</v>
      </c>
      <c r="E127">
        <v>1</v>
      </c>
      <c r="F127">
        <v>1</v>
      </c>
      <c r="G127">
        <v>1</v>
      </c>
      <c r="H127">
        <v>2</v>
      </c>
      <c r="I127" t="s">
        <v>1151</v>
      </c>
      <c r="J127" t="s">
        <v>1152</v>
      </c>
      <c r="K127" t="s">
        <v>1153</v>
      </c>
      <c r="L127">
        <v>1368</v>
      </c>
      <c r="N127">
        <v>1011</v>
      </c>
      <c r="O127" t="s">
        <v>1154</v>
      </c>
      <c r="P127" t="s">
        <v>1154</v>
      </c>
      <c r="Q127">
        <v>1</v>
      </c>
      <c r="W127">
        <v>0</v>
      </c>
      <c r="X127">
        <v>1188625873</v>
      </c>
      <c r="Y127">
        <v>0.78749999999999998</v>
      </c>
      <c r="AA127">
        <v>0</v>
      </c>
      <c r="AB127">
        <v>222.88</v>
      </c>
      <c r="AC127">
        <v>13.5</v>
      </c>
      <c r="AD127">
        <v>0</v>
      </c>
      <c r="AE127">
        <v>0</v>
      </c>
      <c r="AF127">
        <v>31.26</v>
      </c>
      <c r="AG127">
        <v>13.5</v>
      </c>
      <c r="AH127">
        <v>0</v>
      </c>
      <c r="AI127">
        <v>1</v>
      </c>
      <c r="AJ127">
        <v>7.13</v>
      </c>
      <c r="AK127">
        <v>1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6</v>
      </c>
      <c r="AT127">
        <v>0.21</v>
      </c>
      <c r="AU127" t="s">
        <v>222</v>
      </c>
      <c r="AV127">
        <v>0</v>
      </c>
      <c r="AW127">
        <v>2</v>
      </c>
      <c r="AX127">
        <v>16631411</v>
      </c>
      <c r="AY127">
        <v>1</v>
      </c>
      <c r="AZ127">
        <v>0</v>
      </c>
      <c r="BA127">
        <v>136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Y127*Source!I70</f>
        <v>0.26617499999999999</v>
      </c>
      <c r="CY127">
        <f>AB127</f>
        <v>222.88</v>
      </c>
      <c r="CZ127">
        <f>AF127</f>
        <v>31.26</v>
      </c>
      <c r="DA127">
        <f>AJ127</f>
        <v>7.13</v>
      </c>
      <c r="DB127">
        <f>ROUND(((ROUND(AT127*CZ127,2)*3)*1.25),2)</f>
        <v>24.6</v>
      </c>
      <c r="DC127">
        <f>ROUND(((ROUND(AT127*AG127,2)*3)*1.25),2)</f>
        <v>10.65</v>
      </c>
    </row>
    <row r="128" spans="1:107" x14ac:dyDescent="0.2">
      <c r="A128">
        <f>ROW(Source!A70)</f>
        <v>70</v>
      </c>
      <c r="B128">
        <v>16630606</v>
      </c>
      <c r="C128">
        <v>16631403</v>
      </c>
      <c r="D128">
        <v>15248091</v>
      </c>
      <c r="E128">
        <v>1</v>
      </c>
      <c r="F128">
        <v>1</v>
      </c>
      <c r="G128">
        <v>1</v>
      </c>
      <c r="H128">
        <v>2</v>
      </c>
      <c r="I128" t="s">
        <v>1279</v>
      </c>
      <c r="J128" t="s">
        <v>1280</v>
      </c>
      <c r="K128" t="s">
        <v>1281</v>
      </c>
      <c r="L128">
        <v>1368</v>
      </c>
      <c r="N128">
        <v>1011</v>
      </c>
      <c r="O128" t="s">
        <v>1154</v>
      </c>
      <c r="P128" t="s">
        <v>1154</v>
      </c>
      <c r="Q128">
        <v>1</v>
      </c>
      <c r="W128">
        <v>0</v>
      </c>
      <c r="X128">
        <v>126902709</v>
      </c>
      <c r="Y128">
        <v>8.6999999999999993</v>
      </c>
      <c r="AA128">
        <v>0</v>
      </c>
      <c r="AB128">
        <v>3.57</v>
      </c>
      <c r="AC128">
        <v>0</v>
      </c>
      <c r="AD128">
        <v>0</v>
      </c>
      <c r="AE128">
        <v>0</v>
      </c>
      <c r="AF128">
        <v>0.5</v>
      </c>
      <c r="AG128">
        <v>0</v>
      </c>
      <c r="AH128">
        <v>0</v>
      </c>
      <c r="AI128">
        <v>1</v>
      </c>
      <c r="AJ128">
        <v>7.13</v>
      </c>
      <c r="AK128">
        <v>1</v>
      </c>
      <c r="AL128">
        <v>1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6</v>
      </c>
      <c r="AT128">
        <v>2.3199999999999998</v>
      </c>
      <c r="AU128" t="s">
        <v>222</v>
      </c>
      <c r="AV128">
        <v>0</v>
      </c>
      <c r="AW128">
        <v>2</v>
      </c>
      <c r="AX128">
        <v>16631412</v>
      </c>
      <c r="AY128">
        <v>1</v>
      </c>
      <c r="AZ128">
        <v>0</v>
      </c>
      <c r="BA128">
        <v>137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Y128*Source!I70</f>
        <v>2.9405999999999999</v>
      </c>
      <c r="CY128">
        <f>AB128</f>
        <v>3.57</v>
      </c>
      <c r="CZ128">
        <f>AF128</f>
        <v>0.5</v>
      </c>
      <c r="DA128">
        <f>AJ128</f>
        <v>7.13</v>
      </c>
      <c r="DB128">
        <f>ROUND(((ROUND(AT128*CZ128,2)*3)*1.25),2)</f>
        <v>4.3499999999999996</v>
      </c>
      <c r="DC128">
        <f>ROUND(((ROUND(AT128*AG128,2)*3)*1.25),2)</f>
        <v>0</v>
      </c>
    </row>
    <row r="129" spans="1:107" x14ac:dyDescent="0.2">
      <c r="A129">
        <f>ROW(Source!A70)</f>
        <v>70</v>
      </c>
      <c r="B129">
        <v>16630606</v>
      </c>
      <c r="C129">
        <v>16631403</v>
      </c>
      <c r="D129">
        <v>15172832</v>
      </c>
      <c r="E129">
        <v>1</v>
      </c>
      <c r="F129">
        <v>1</v>
      </c>
      <c r="G129">
        <v>1</v>
      </c>
      <c r="H129">
        <v>3</v>
      </c>
      <c r="I129" t="s">
        <v>201</v>
      </c>
      <c r="J129" t="s">
        <v>204</v>
      </c>
      <c r="K129" t="s">
        <v>202</v>
      </c>
      <c r="L129">
        <v>1339</v>
      </c>
      <c r="N129">
        <v>1007</v>
      </c>
      <c r="O129" t="s">
        <v>203</v>
      </c>
      <c r="P129" t="s">
        <v>203</v>
      </c>
      <c r="Q129">
        <v>1</v>
      </c>
      <c r="W129">
        <v>0</v>
      </c>
      <c r="X129">
        <v>-1048055182</v>
      </c>
      <c r="Y129">
        <v>1.53</v>
      </c>
      <c r="AA129">
        <v>3029.39</v>
      </c>
      <c r="AB129">
        <v>0</v>
      </c>
      <c r="AC129">
        <v>0</v>
      </c>
      <c r="AD129">
        <v>0</v>
      </c>
      <c r="AE129">
        <v>424.88</v>
      </c>
      <c r="AF129">
        <v>0</v>
      </c>
      <c r="AG129">
        <v>0</v>
      </c>
      <c r="AH129">
        <v>0</v>
      </c>
      <c r="AI129">
        <v>7.13</v>
      </c>
      <c r="AJ129">
        <v>1</v>
      </c>
      <c r="AK129">
        <v>1</v>
      </c>
      <c r="AL129">
        <v>1</v>
      </c>
      <c r="AN129">
        <v>0</v>
      </c>
      <c r="AO129">
        <v>0</v>
      </c>
      <c r="AP129">
        <v>0</v>
      </c>
      <c r="AQ129">
        <v>0</v>
      </c>
      <c r="AR129">
        <v>0</v>
      </c>
      <c r="AS129" t="s">
        <v>6</v>
      </c>
      <c r="AT129">
        <v>1.53</v>
      </c>
      <c r="AU129" t="s">
        <v>6</v>
      </c>
      <c r="AV129">
        <v>0</v>
      </c>
      <c r="AW129">
        <v>1</v>
      </c>
      <c r="AX129">
        <v>-1</v>
      </c>
      <c r="AY129">
        <v>0</v>
      </c>
      <c r="AZ129">
        <v>0</v>
      </c>
      <c r="BA129" t="s">
        <v>6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Y129*Source!I70</f>
        <v>0.51714000000000004</v>
      </c>
      <c r="CY129">
        <f>AA129</f>
        <v>3029.39</v>
      </c>
      <c r="CZ129">
        <f>AE129</f>
        <v>424.88</v>
      </c>
      <c r="DA129">
        <f>AI129</f>
        <v>7.13</v>
      </c>
      <c r="DB129">
        <f>ROUND(ROUND(AT129*CZ129,2),2)</f>
        <v>650.07000000000005</v>
      </c>
      <c r="DC129">
        <f>ROUND(ROUND(AT129*AG129,2),2)</f>
        <v>0</v>
      </c>
    </row>
    <row r="130" spans="1:107" x14ac:dyDescent="0.2">
      <c r="A130">
        <f>ROW(Source!A72)</f>
        <v>72</v>
      </c>
      <c r="B130">
        <v>16630606</v>
      </c>
      <c r="C130">
        <v>16631415</v>
      </c>
      <c r="D130">
        <v>15430767</v>
      </c>
      <c r="E130">
        <v>1</v>
      </c>
      <c r="F130">
        <v>1</v>
      </c>
      <c r="G130">
        <v>1</v>
      </c>
      <c r="H130">
        <v>1</v>
      </c>
      <c r="I130" t="s">
        <v>1171</v>
      </c>
      <c r="J130" t="s">
        <v>6</v>
      </c>
      <c r="K130" t="s">
        <v>1172</v>
      </c>
      <c r="L130">
        <v>1191</v>
      </c>
      <c r="N130">
        <v>1013</v>
      </c>
      <c r="O130" t="s">
        <v>1148</v>
      </c>
      <c r="P130" t="s">
        <v>1148</v>
      </c>
      <c r="Q130">
        <v>1</v>
      </c>
      <c r="W130">
        <v>0</v>
      </c>
      <c r="X130">
        <v>-400197608</v>
      </c>
      <c r="Y130">
        <v>43.320499999999996</v>
      </c>
      <c r="AA130">
        <v>0</v>
      </c>
      <c r="AB130">
        <v>0</v>
      </c>
      <c r="AC130">
        <v>0</v>
      </c>
      <c r="AD130">
        <v>60.82</v>
      </c>
      <c r="AE130">
        <v>0</v>
      </c>
      <c r="AF130">
        <v>0</v>
      </c>
      <c r="AG130">
        <v>0</v>
      </c>
      <c r="AH130">
        <v>8.5299999999999994</v>
      </c>
      <c r="AI130">
        <v>1</v>
      </c>
      <c r="AJ130">
        <v>1</v>
      </c>
      <c r="AK130">
        <v>1</v>
      </c>
      <c r="AL130">
        <v>7.13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6</v>
      </c>
      <c r="AT130">
        <v>37.67</v>
      </c>
      <c r="AU130" t="s">
        <v>82</v>
      </c>
      <c r="AV130">
        <v>1</v>
      </c>
      <c r="AW130">
        <v>2</v>
      </c>
      <c r="AX130">
        <v>16631423</v>
      </c>
      <c r="AY130">
        <v>1</v>
      </c>
      <c r="AZ130">
        <v>0</v>
      </c>
      <c r="BA130">
        <v>139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Y130*Source!I72</f>
        <v>99.550508999999991</v>
      </c>
      <c r="CY130">
        <f>AD130</f>
        <v>60.82</v>
      </c>
      <c r="CZ130">
        <f>AH130</f>
        <v>8.5299999999999994</v>
      </c>
      <c r="DA130">
        <f>AL130</f>
        <v>7.13</v>
      </c>
      <c r="DB130">
        <f>ROUND((ROUND(AT130*CZ130,2)*1.15),2)</f>
        <v>369.53</v>
      </c>
      <c r="DC130">
        <f>ROUND((ROUND(AT130*AG130,2)*1.15),2)</f>
        <v>0</v>
      </c>
    </row>
    <row r="131" spans="1:107" x14ac:dyDescent="0.2">
      <c r="A131">
        <f>ROW(Source!A72)</f>
        <v>72</v>
      </c>
      <c r="B131">
        <v>16630606</v>
      </c>
      <c r="C131">
        <v>16631415</v>
      </c>
      <c r="D131">
        <v>15430395</v>
      </c>
      <c r="E131">
        <v>1</v>
      </c>
      <c r="F131">
        <v>1</v>
      </c>
      <c r="G131">
        <v>1</v>
      </c>
      <c r="H131">
        <v>1</v>
      </c>
      <c r="I131" t="s">
        <v>1149</v>
      </c>
      <c r="J131" t="s">
        <v>6</v>
      </c>
      <c r="K131" t="s">
        <v>1150</v>
      </c>
      <c r="L131">
        <v>1191</v>
      </c>
      <c r="N131">
        <v>1013</v>
      </c>
      <c r="O131" t="s">
        <v>1148</v>
      </c>
      <c r="P131" t="s">
        <v>1148</v>
      </c>
      <c r="Q131">
        <v>1</v>
      </c>
      <c r="W131">
        <v>0</v>
      </c>
      <c r="X131">
        <v>-1417349443</v>
      </c>
      <c r="Y131">
        <v>0.17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1</v>
      </c>
      <c r="AJ131">
        <v>1</v>
      </c>
      <c r="AK131">
        <v>7.13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6</v>
      </c>
      <c r="AT131">
        <v>0.17</v>
      </c>
      <c r="AU131" t="s">
        <v>6</v>
      </c>
      <c r="AV131">
        <v>2</v>
      </c>
      <c r="AW131">
        <v>2</v>
      </c>
      <c r="AX131">
        <v>16631424</v>
      </c>
      <c r="AY131">
        <v>1</v>
      </c>
      <c r="AZ131">
        <v>2048</v>
      </c>
      <c r="BA131">
        <v>140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Y131*Source!I72</f>
        <v>0.39066000000000006</v>
      </c>
      <c r="CY131">
        <f>AD131</f>
        <v>0</v>
      </c>
      <c r="CZ131">
        <f>AH131</f>
        <v>0</v>
      </c>
      <c r="DA131">
        <f>AL131</f>
        <v>1</v>
      </c>
      <c r="DB131">
        <f>ROUND(ROUND(AT131*CZ131,2),2)</f>
        <v>0</v>
      </c>
      <c r="DC131">
        <f>ROUND(ROUND(AT131*AG131,2),2)</f>
        <v>0</v>
      </c>
    </row>
    <row r="132" spans="1:107" x14ac:dyDescent="0.2">
      <c r="A132">
        <f>ROW(Source!A72)</f>
        <v>72</v>
      </c>
      <c r="B132">
        <v>16630606</v>
      </c>
      <c r="C132">
        <v>16631415</v>
      </c>
      <c r="D132">
        <v>15247970</v>
      </c>
      <c r="E132">
        <v>1</v>
      </c>
      <c r="F132">
        <v>1</v>
      </c>
      <c r="G132">
        <v>1</v>
      </c>
      <c r="H132">
        <v>2</v>
      </c>
      <c r="I132" t="s">
        <v>1268</v>
      </c>
      <c r="J132" t="s">
        <v>1269</v>
      </c>
      <c r="K132" t="s">
        <v>1270</v>
      </c>
      <c r="L132">
        <v>1368</v>
      </c>
      <c r="N132">
        <v>1011</v>
      </c>
      <c r="O132" t="s">
        <v>1154</v>
      </c>
      <c r="P132" t="s">
        <v>1154</v>
      </c>
      <c r="Q132">
        <v>1</v>
      </c>
      <c r="W132">
        <v>0</v>
      </c>
      <c r="X132">
        <v>368031958</v>
      </c>
      <c r="Y132">
        <v>0.16250000000000001</v>
      </c>
      <c r="AA132">
        <v>0</v>
      </c>
      <c r="AB132">
        <v>197.22</v>
      </c>
      <c r="AC132">
        <v>11.6</v>
      </c>
      <c r="AD132">
        <v>0</v>
      </c>
      <c r="AE132">
        <v>0</v>
      </c>
      <c r="AF132">
        <v>27.66</v>
      </c>
      <c r="AG132">
        <v>11.6</v>
      </c>
      <c r="AH132">
        <v>0</v>
      </c>
      <c r="AI132">
        <v>1</v>
      </c>
      <c r="AJ132">
        <v>7.13</v>
      </c>
      <c r="AK132">
        <v>1</v>
      </c>
      <c r="AL132">
        <v>1</v>
      </c>
      <c r="AN132">
        <v>0</v>
      </c>
      <c r="AO132">
        <v>1</v>
      </c>
      <c r="AP132">
        <v>1</v>
      </c>
      <c r="AQ132">
        <v>0</v>
      </c>
      <c r="AR132">
        <v>0</v>
      </c>
      <c r="AS132" t="s">
        <v>6</v>
      </c>
      <c r="AT132">
        <v>0.13</v>
      </c>
      <c r="AU132" t="s">
        <v>81</v>
      </c>
      <c r="AV132">
        <v>0</v>
      </c>
      <c r="AW132">
        <v>2</v>
      </c>
      <c r="AX132">
        <v>16631425</v>
      </c>
      <c r="AY132">
        <v>1</v>
      </c>
      <c r="AZ132">
        <v>0</v>
      </c>
      <c r="BA132">
        <v>141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Y132*Source!I72</f>
        <v>0.37342500000000001</v>
      </c>
      <c r="CY132">
        <f>AB132</f>
        <v>197.22</v>
      </c>
      <c r="CZ132">
        <f>AF132</f>
        <v>27.66</v>
      </c>
      <c r="DA132">
        <f>AJ132</f>
        <v>7.13</v>
      </c>
      <c r="DB132">
        <f>ROUND((ROUND(AT132*CZ132,2)*1.25),2)</f>
        <v>4.5</v>
      </c>
      <c r="DC132">
        <f>ROUND((ROUND(AT132*AG132,2)*1.25),2)</f>
        <v>1.89</v>
      </c>
    </row>
    <row r="133" spans="1:107" x14ac:dyDescent="0.2">
      <c r="A133">
        <f>ROW(Source!A72)</f>
        <v>72</v>
      </c>
      <c r="B133">
        <v>16630606</v>
      </c>
      <c r="C133">
        <v>16631415</v>
      </c>
      <c r="D133">
        <v>15249073</v>
      </c>
      <c r="E133">
        <v>1</v>
      </c>
      <c r="F133">
        <v>1</v>
      </c>
      <c r="G133">
        <v>1</v>
      </c>
      <c r="H133">
        <v>2</v>
      </c>
      <c r="I133" t="s">
        <v>1157</v>
      </c>
      <c r="J133" t="s">
        <v>1158</v>
      </c>
      <c r="K133" t="s">
        <v>1159</v>
      </c>
      <c r="L133">
        <v>1368</v>
      </c>
      <c r="N133">
        <v>1011</v>
      </c>
      <c r="O133" t="s">
        <v>1154</v>
      </c>
      <c r="P133" t="s">
        <v>1154</v>
      </c>
      <c r="Q133">
        <v>1</v>
      </c>
      <c r="W133">
        <v>0</v>
      </c>
      <c r="X133">
        <v>1372534845</v>
      </c>
      <c r="Y133">
        <v>0.05</v>
      </c>
      <c r="AA133">
        <v>0</v>
      </c>
      <c r="AB133">
        <v>468.51</v>
      </c>
      <c r="AC133">
        <v>11.6</v>
      </c>
      <c r="AD133">
        <v>0</v>
      </c>
      <c r="AE133">
        <v>0</v>
      </c>
      <c r="AF133">
        <v>65.709999999999994</v>
      </c>
      <c r="AG133">
        <v>11.6</v>
      </c>
      <c r="AH133">
        <v>0</v>
      </c>
      <c r="AI133">
        <v>1</v>
      </c>
      <c r="AJ133">
        <v>7.13</v>
      </c>
      <c r="AK133">
        <v>1</v>
      </c>
      <c r="AL133">
        <v>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6</v>
      </c>
      <c r="AT133">
        <v>0.04</v>
      </c>
      <c r="AU133" t="s">
        <v>81</v>
      </c>
      <c r="AV133">
        <v>0</v>
      </c>
      <c r="AW133">
        <v>2</v>
      </c>
      <c r="AX133">
        <v>16631426</v>
      </c>
      <c r="AY133">
        <v>1</v>
      </c>
      <c r="AZ133">
        <v>0</v>
      </c>
      <c r="BA133">
        <v>142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Y133*Source!I72</f>
        <v>0.1149</v>
      </c>
      <c r="CY133">
        <f>AB133</f>
        <v>468.51</v>
      </c>
      <c r="CZ133">
        <f>AF133</f>
        <v>65.709999999999994</v>
      </c>
      <c r="DA133">
        <f>AJ133</f>
        <v>7.13</v>
      </c>
      <c r="DB133">
        <f>ROUND((ROUND(AT133*CZ133,2)*1.25),2)</f>
        <v>3.29</v>
      </c>
      <c r="DC133">
        <f>ROUND((ROUND(AT133*AG133,2)*1.25),2)</f>
        <v>0.57999999999999996</v>
      </c>
    </row>
    <row r="134" spans="1:107" x14ac:dyDescent="0.2">
      <c r="A134">
        <f>ROW(Source!A72)</f>
        <v>72</v>
      </c>
      <c r="B134">
        <v>16630606</v>
      </c>
      <c r="C134">
        <v>16631415</v>
      </c>
      <c r="D134">
        <v>15167286</v>
      </c>
      <c r="E134">
        <v>1</v>
      </c>
      <c r="F134">
        <v>1</v>
      </c>
      <c r="G134">
        <v>1</v>
      </c>
      <c r="H134">
        <v>3</v>
      </c>
      <c r="I134" t="s">
        <v>1265</v>
      </c>
      <c r="J134" t="s">
        <v>1266</v>
      </c>
      <c r="K134" t="s">
        <v>1267</v>
      </c>
      <c r="L134">
        <v>1339</v>
      </c>
      <c r="N134">
        <v>1007</v>
      </c>
      <c r="O134" t="s">
        <v>203</v>
      </c>
      <c r="P134" t="s">
        <v>203</v>
      </c>
      <c r="Q134">
        <v>1</v>
      </c>
      <c r="W134">
        <v>0</v>
      </c>
      <c r="X134">
        <v>-1660354250</v>
      </c>
      <c r="Y134">
        <v>0.17399999999999999</v>
      </c>
      <c r="AA134">
        <v>17.399999999999999</v>
      </c>
      <c r="AB134">
        <v>0</v>
      </c>
      <c r="AC134">
        <v>0</v>
      </c>
      <c r="AD134">
        <v>0</v>
      </c>
      <c r="AE134">
        <v>2.44</v>
      </c>
      <c r="AF134">
        <v>0</v>
      </c>
      <c r="AG134">
        <v>0</v>
      </c>
      <c r="AH134">
        <v>0</v>
      </c>
      <c r="AI134">
        <v>7.13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6</v>
      </c>
      <c r="AT134">
        <v>0.17399999999999999</v>
      </c>
      <c r="AU134" t="s">
        <v>6</v>
      </c>
      <c r="AV134">
        <v>0</v>
      </c>
      <c r="AW134">
        <v>2</v>
      </c>
      <c r="AX134">
        <v>16631427</v>
      </c>
      <c r="AY134">
        <v>1</v>
      </c>
      <c r="AZ134">
        <v>0</v>
      </c>
      <c r="BA134">
        <v>143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Y134*Source!I72</f>
        <v>0.39985199999999999</v>
      </c>
      <c r="CY134">
        <f>AA134</f>
        <v>17.399999999999999</v>
      </c>
      <c r="CZ134">
        <f>AE134</f>
        <v>2.44</v>
      </c>
      <c r="DA134">
        <f>AI134</f>
        <v>7.13</v>
      </c>
      <c r="DB134">
        <f>ROUND(ROUND(AT134*CZ134,2),2)</f>
        <v>0.42</v>
      </c>
      <c r="DC134">
        <f>ROUND(ROUND(AT134*AG134,2),2)</f>
        <v>0</v>
      </c>
    </row>
    <row r="135" spans="1:107" x14ac:dyDescent="0.2">
      <c r="A135">
        <f>ROW(Source!A72)</f>
        <v>72</v>
      </c>
      <c r="B135">
        <v>16630606</v>
      </c>
      <c r="C135">
        <v>16631415</v>
      </c>
      <c r="D135">
        <v>15172906</v>
      </c>
      <c r="E135">
        <v>1</v>
      </c>
      <c r="F135">
        <v>1</v>
      </c>
      <c r="G135">
        <v>1</v>
      </c>
      <c r="H135">
        <v>3</v>
      </c>
      <c r="I135" t="s">
        <v>1282</v>
      </c>
      <c r="J135" t="s">
        <v>1283</v>
      </c>
      <c r="K135" t="s">
        <v>1284</v>
      </c>
      <c r="L135">
        <v>1348</v>
      </c>
      <c r="N135">
        <v>1009</v>
      </c>
      <c r="O135" t="s">
        <v>98</v>
      </c>
      <c r="P135" t="s">
        <v>98</v>
      </c>
      <c r="Q135">
        <v>1000</v>
      </c>
      <c r="W135">
        <v>0</v>
      </c>
      <c r="X135">
        <v>-2114578287</v>
      </c>
      <c r="Y135">
        <v>0.9</v>
      </c>
      <c r="AA135">
        <v>81150.59</v>
      </c>
      <c r="AB135">
        <v>0</v>
      </c>
      <c r="AC135">
        <v>0</v>
      </c>
      <c r="AD135">
        <v>0</v>
      </c>
      <c r="AE135">
        <v>11381.57</v>
      </c>
      <c r="AF135">
        <v>0</v>
      </c>
      <c r="AG135">
        <v>0</v>
      </c>
      <c r="AH135">
        <v>0</v>
      </c>
      <c r="AI135">
        <v>7.13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6</v>
      </c>
      <c r="AT135">
        <v>0.9</v>
      </c>
      <c r="AU135" t="s">
        <v>6</v>
      </c>
      <c r="AV135">
        <v>0</v>
      </c>
      <c r="AW135">
        <v>2</v>
      </c>
      <c r="AX135">
        <v>16631428</v>
      </c>
      <c r="AY135">
        <v>1</v>
      </c>
      <c r="AZ135">
        <v>0</v>
      </c>
      <c r="BA135">
        <v>144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Y135*Source!I72</f>
        <v>2.0682</v>
      </c>
      <c r="CY135">
        <f>AA135</f>
        <v>81150.59</v>
      </c>
      <c r="CZ135">
        <f>AE135</f>
        <v>11381.57</v>
      </c>
      <c r="DA135">
        <f>AI135</f>
        <v>7.13</v>
      </c>
      <c r="DB135">
        <f>ROUND(ROUND(AT135*CZ135,2),2)</f>
        <v>10243.41</v>
      </c>
      <c r="DC135">
        <f>ROUND(ROUND(AT135*AG135,2),2)</f>
        <v>0</v>
      </c>
    </row>
    <row r="136" spans="1:107" x14ac:dyDescent="0.2">
      <c r="A136">
        <f>ROW(Source!A72)</f>
        <v>72</v>
      </c>
      <c r="B136">
        <v>16630606</v>
      </c>
      <c r="C136">
        <v>16631415</v>
      </c>
      <c r="D136">
        <v>15203485</v>
      </c>
      <c r="E136">
        <v>1</v>
      </c>
      <c r="F136">
        <v>1</v>
      </c>
      <c r="G136">
        <v>1</v>
      </c>
      <c r="H136">
        <v>3</v>
      </c>
      <c r="I136" t="s">
        <v>1274</v>
      </c>
      <c r="J136" t="s">
        <v>1275</v>
      </c>
      <c r="K136" t="s">
        <v>1276</v>
      </c>
      <c r="L136">
        <v>1346</v>
      </c>
      <c r="N136">
        <v>1009</v>
      </c>
      <c r="O136" t="s">
        <v>102</v>
      </c>
      <c r="P136" t="s">
        <v>102</v>
      </c>
      <c r="Q136">
        <v>1</v>
      </c>
      <c r="W136">
        <v>0</v>
      </c>
      <c r="X136">
        <v>303141801</v>
      </c>
      <c r="Y136">
        <v>30</v>
      </c>
      <c r="AA136">
        <v>108.73</v>
      </c>
      <c r="AB136">
        <v>0</v>
      </c>
      <c r="AC136">
        <v>0</v>
      </c>
      <c r="AD136">
        <v>0</v>
      </c>
      <c r="AE136">
        <v>15.25</v>
      </c>
      <c r="AF136">
        <v>0</v>
      </c>
      <c r="AG136">
        <v>0</v>
      </c>
      <c r="AH136">
        <v>0</v>
      </c>
      <c r="AI136">
        <v>7.13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6</v>
      </c>
      <c r="AT136">
        <v>30</v>
      </c>
      <c r="AU136" t="s">
        <v>6</v>
      </c>
      <c r="AV136">
        <v>0</v>
      </c>
      <c r="AW136">
        <v>2</v>
      </c>
      <c r="AX136">
        <v>16631429</v>
      </c>
      <c r="AY136">
        <v>1</v>
      </c>
      <c r="AZ136">
        <v>0</v>
      </c>
      <c r="BA136">
        <v>145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Y136*Source!I72</f>
        <v>68.94</v>
      </c>
      <c r="CY136">
        <f>AA136</f>
        <v>108.73</v>
      </c>
      <c r="CZ136">
        <f>AE136</f>
        <v>15.25</v>
      </c>
      <c r="DA136">
        <f>AI136</f>
        <v>7.13</v>
      </c>
      <c r="DB136">
        <f>ROUND(ROUND(AT136*CZ136,2),2)</f>
        <v>457.5</v>
      </c>
      <c r="DC136">
        <f>ROUND(ROUND(AT136*AG136,2),2)</f>
        <v>0</v>
      </c>
    </row>
    <row r="137" spans="1:107" x14ac:dyDescent="0.2">
      <c r="A137">
        <f>ROW(Source!A73)</f>
        <v>73</v>
      </c>
      <c r="B137">
        <v>16630606</v>
      </c>
      <c r="C137">
        <v>16631430</v>
      </c>
      <c r="D137">
        <v>15438286</v>
      </c>
      <c r="E137">
        <v>1</v>
      </c>
      <c r="F137">
        <v>1</v>
      </c>
      <c r="G137">
        <v>1</v>
      </c>
      <c r="H137">
        <v>1</v>
      </c>
      <c r="I137" t="s">
        <v>1244</v>
      </c>
      <c r="J137" t="s">
        <v>6</v>
      </c>
      <c r="K137" t="s">
        <v>1245</v>
      </c>
      <c r="L137">
        <v>1191</v>
      </c>
      <c r="N137">
        <v>1013</v>
      </c>
      <c r="O137" t="s">
        <v>1148</v>
      </c>
      <c r="P137" t="s">
        <v>1148</v>
      </c>
      <c r="Q137">
        <v>1</v>
      </c>
      <c r="W137">
        <v>0</v>
      </c>
      <c r="X137">
        <v>-1027537862</v>
      </c>
      <c r="Y137">
        <v>7.6819999999999995</v>
      </c>
      <c r="AA137">
        <v>0</v>
      </c>
      <c r="AB137">
        <v>0</v>
      </c>
      <c r="AC137">
        <v>0</v>
      </c>
      <c r="AD137">
        <v>65.45</v>
      </c>
      <c r="AE137">
        <v>0</v>
      </c>
      <c r="AF137">
        <v>0</v>
      </c>
      <c r="AG137">
        <v>0</v>
      </c>
      <c r="AH137">
        <v>9.18</v>
      </c>
      <c r="AI137">
        <v>1</v>
      </c>
      <c r="AJ137">
        <v>1</v>
      </c>
      <c r="AK137">
        <v>1</v>
      </c>
      <c r="AL137">
        <v>7.13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6</v>
      </c>
      <c r="AT137">
        <v>6.68</v>
      </c>
      <c r="AU137" t="s">
        <v>82</v>
      </c>
      <c r="AV137">
        <v>1</v>
      </c>
      <c r="AW137">
        <v>2</v>
      </c>
      <c r="AX137">
        <v>16631444</v>
      </c>
      <c r="AY137">
        <v>1</v>
      </c>
      <c r="AZ137">
        <v>0</v>
      </c>
      <c r="BA137">
        <v>146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Y137*Source!I73</f>
        <v>15.588314399999998</v>
      </c>
      <c r="CY137">
        <f>AD137</f>
        <v>65.45</v>
      </c>
      <c r="CZ137">
        <f>AH137</f>
        <v>9.18</v>
      </c>
      <c r="DA137">
        <f>AL137</f>
        <v>7.13</v>
      </c>
      <c r="DB137">
        <f>ROUND((ROUND(AT137*CZ137,2)*1.15),2)</f>
        <v>70.52</v>
      </c>
      <c r="DC137">
        <f>ROUND((ROUND(AT137*AG137,2)*1.15),2)</f>
        <v>0</v>
      </c>
    </row>
    <row r="138" spans="1:107" x14ac:dyDescent="0.2">
      <c r="A138">
        <f>ROW(Source!A73)</f>
        <v>73</v>
      </c>
      <c r="B138">
        <v>16630606</v>
      </c>
      <c r="C138">
        <v>16631430</v>
      </c>
      <c r="D138">
        <v>15430395</v>
      </c>
      <c r="E138">
        <v>1</v>
      </c>
      <c r="F138">
        <v>1</v>
      </c>
      <c r="G138">
        <v>1</v>
      </c>
      <c r="H138">
        <v>1</v>
      </c>
      <c r="I138" t="s">
        <v>1149</v>
      </c>
      <c r="J138" t="s">
        <v>6</v>
      </c>
      <c r="K138" t="s">
        <v>1150</v>
      </c>
      <c r="L138">
        <v>1191</v>
      </c>
      <c r="N138">
        <v>1013</v>
      </c>
      <c r="O138" t="s">
        <v>1148</v>
      </c>
      <c r="P138" t="s">
        <v>1148</v>
      </c>
      <c r="Q138">
        <v>1</v>
      </c>
      <c r="W138">
        <v>0</v>
      </c>
      <c r="X138">
        <v>-1417349443</v>
      </c>
      <c r="Y138">
        <v>0.04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7.13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6</v>
      </c>
      <c r="AT138">
        <v>0.04</v>
      </c>
      <c r="AU138" t="s">
        <v>6</v>
      </c>
      <c r="AV138">
        <v>2</v>
      </c>
      <c r="AW138">
        <v>2</v>
      </c>
      <c r="AX138">
        <v>16631445</v>
      </c>
      <c r="AY138">
        <v>1</v>
      </c>
      <c r="AZ138">
        <v>2048</v>
      </c>
      <c r="BA138">
        <v>147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Y138*Source!I73</f>
        <v>8.1168000000000004E-2</v>
      </c>
      <c r="CY138">
        <f>AD138</f>
        <v>0</v>
      </c>
      <c r="CZ138">
        <f>AH138</f>
        <v>0</v>
      </c>
      <c r="DA138">
        <f>AL138</f>
        <v>1</v>
      </c>
      <c r="DB138">
        <f>ROUND(ROUND(AT138*CZ138,2),2)</f>
        <v>0</v>
      </c>
      <c r="DC138">
        <f>ROUND(ROUND(AT138*AG138,2),2)</f>
        <v>0</v>
      </c>
    </row>
    <row r="139" spans="1:107" x14ac:dyDescent="0.2">
      <c r="A139">
        <f>ROW(Source!A73)</f>
        <v>73</v>
      </c>
      <c r="B139">
        <v>16630606</v>
      </c>
      <c r="C139">
        <v>16631430</v>
      </c>
      <c r="D139">
        <v>15247974</v>
      </c>
      <c r="E139">
        <v>1</v>
      </c>
      <c r="F139">
        <v>1</v>
      </c>
      <c r="G139">
        <v>1</v>
      </c>
      <c r="H139">
        <v>2</v>
      </c>
      <c r="I139" t="s">
        <v>1151</v>
      </c>
      <c r="J139" t="s">
        <v>1152</v>
      </c>
      <c r="K139" t="s">
        <v>1153</v>
      </c>
      <c r="L139">
        <v>1368</v>
      </c>
      <c r="N139">
        <v>1011</v>
      </c>
      <c r="O139" t="s">
        <v>1154</v>
      </c>
      <c r="P139" t="s">
        <v>1154</v>
      </c>
      <c r="Q139">
        <v>1</v>
      </c>
      <c r="W139">
        <v>0</v>
      </c>
      <c r="X139">
        <v>1188625873</v>
      </c>
      <c r="Y139">
        <v>6.2500000000000003E-3</v>
      </c>
      <c r="AA139">
        <v>0</v>
      </c>
      <c r="AB139">
        <v>222.88</v>
      </c>
      <c r="AC139">
        <v>13.5</v>
      </c>
      <c r="AD139">
        <v>0</v>
      </c>
      <c r="AE139">
        <v>0</v>
      </c>
      <c r="AF139">
        <v>31.26</v>
      </c>
      <c r="AG139">
        <v>13.5</v>
      </c>
      <c r="AH139">
        <v>0</v>
      </c>
      <c r="AI139">
        <v>1</v>
      </c>
      <c r="AJ139">
        <v>7.13</v>
      </c>
      <c r="AK139">
        <v>1</v>
      </c>
      <c r="AL139">
        <v>1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6</v>
      </c>
      <c r="AT139">
        <v>5.0000000000000001E-3</v>
      </c>
      <c r="AU139" t="s">
        <v>81</v>
      </c>
      <c r="AV139">
        <v>0</v>
      </c>
      <c r="AW139">
        <v>2</v>
      </c>
      <c r="AX139">
        <v>16631446</v>
      </c>
      <c r="AY139">
        <v>1</v>
      </c>
      <c r="AZ139">
        <v>0</v>
      </c>
      <c r="BA139">
        <v>148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Y139*Source!I73</f>
        <v>1.2682499999999999E-2</v>
      </c>
      <c r="CY139">
        <f>AB139</f>
        <v>222.88</v>
      </c>
      <c r="CZ139">
        <f>AF139</f>
        <v>31.26</v>
      </c>
      <c r="DA139">
        <f>AJ139</f>
        <v>7.13</v>
      </c>
      <c r="DB139">
        <f>ROUND((ROUND(AT139*CZ139,2)*1.25),2)</f>
        <v>0.2</v>
      </c>
      <c r="DC139">
        <f>ROUND((ROUND(AT139*AG139,2)*1.25),2)</f>
        <v>0.09</v>
      </c>
    </row>
    <row r="140" spans="1:107" x14ac:dyDescent="0.2">
      <c r="A140">
        <f>ROW(Source!A73)</f>
        <v>73</v>
      </c>
      <c r="B140">
        <v>16630606</v>
      </c>
      <c r="C140">
        <v>16631430</v>
      </c>
      <c r="D140">
        <v>15249073</v>
      </c>
      <c r="E140">
        <v>1</v>
      </c>
      <c r="F140">
        <v>1</v>
      </c>
      <c r="G140">
        <v>1</v>
      </c>
      <c r="H140">
        <v>2</v>
      </c>
      <c r="I140" t="s">
        <v>1157</v>
      </c>
      <c r="J140" t="s">
        <v>1158</v>
      </c>
      <c r="K140" t="s">
        <v>1159</v>
      </c>
      <c r="L140">
        <v>1368</v>
      </c>
      <c r="N140">
        <v>1011</v>
      </c>
      <c r="O140" t="s">
        <v>1154</v>
      </c>
      <c r="P140" t="s">
        <v>1154</v>
      </c>
      <c r="Q140">
        <v>1</v>
      </c>
      <c r="W140">
        <v>0</v>
      </c>
      <c r="X140">
        <v>1372534845</v>
      </c>
      <c r="Y140">
        <v>3.7499999999999999E-2</v>
      </c>
      <c r="AA140">
        <v>0</v>
      </c>
      <c r="AB140">
        <v>468.51</v>
      </c>
      <c r="AC140">
        <v>11.6</v>
      </c>
      <c r="AD140">
        <v>0</v>
      </c>
      <c r="AE140">
        <v>0</v>
      </c>
      <c r="AF140">
        <v>65.709999999999994</v>
      </c>
      <c r="AG140">
        <v>11.6</v>
      </c>
      <c r="AH140">
        <v>0</v>
      </c>
      <c r="AI140">
        <v>1</v>
      </c>
      <c r="AJ140">
        <v>7.13</v>
      </c>
      <c r="AK140">
        <v>1</v>
      </c>
      <c r="AL140">
        <v>1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6</v>
      </c>
      <c r="AT140">
        <v>0.03</v>
      </c>
      <c r="AU140" t="s">
        <v>81</v>
      </c>
      <c r="AV140">
        <v>0</v>
      </c>
      <c r="AW140">
        <v>2</v>
      </c>
      <c r="AX140">
        <v>16631447</v>
      </c>
      <c r="AY140">
        <v>1</v>
      </c>
      <c r="AZ140">
        <v>0</v>
      </c>
      <c r="BA140">
        <v>149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Y140*Source!I73</f>
        <v>7.6094999999999996E-2</v>
      </c>
      <c r="CY140">
        <f>AB140</f>
        <v>468.51</v>
      </c>
      <c r="CZ140">
        <f>AF140</f>
        <v>65.709999999999994</v>
      </c>
      <c r="DA140">
        <f>AJ140</f>
        <v>7.13</v>
      </c>
      <c r="DB140">
        <f>ROUND((ROUND(AT140*CZ140,2)*1.25),2)</f>
        <v>2.46</v>
      </c>
      <c r="DC140">
        <f>ROUND((ROUND(AT140*AG140,2)*1.25),2)</f>
        <v>0.44</v>
      </c>
    </row>
    <row r="141" spans="1:107" x14ac:dyDescent="0.2">
      <c r="A141">
        <f>ROW(Source!A73)</f>
        <v>73</v>
      </c>
      <c r="B141">
        <v>16630606</v>
      </c>
      <c r="C141">
        <v>16631430</v>
      </c>
      <c r="D141">
        <v>15169972</v>
      </c>
      <c r="E141">
        <v>1</v>
      </c>
      <c r="F141">
        <v>1</v>
      </c>
      <c r="G141">
        <v>1</v>
      </c>
      <c r="H141">
        <v>3</v>
      </c>
      <c r="I141" t="s">
        <v>1239</v>
      </c>
      <c r="J141" t="s">
        <v>1240</v>
      </c>
      <c r="K141" t="s">
        <v>1241</v>
      </c>
      <c r="L141">
        <v>1355</v>
      </c>
      <c r="N141">
        <v>1010</v>
      </c>
      <c r="O141" t="s">
        <v>243</v>
      </c>
      <c r="P141" t="s">
        <v>243</v>
      </c>
      <c r="Q141">
        <v>100</v>
      </c>
      <c r="W141">
        <v>0</v>
      </c>
      <c r="X141">
        <v>-725528132</v>
      </c>
      <c r="Y141">
        <v>2.63</v>
      </c>
      <c r="AA141">
        <v>85.56</v>
      </c>
      <c r="AB141">
        <v>0</v>
      </c>
      <c r="AC141">
        <v>0</v>
      </c>
      <c r="AD141">
        <v>0</v>
      </c>
      <c r="AE141">
        <v>12</v>
      </c>
      <c r="AF141">
        <v>0</v>
      </c>
      <c r="AG141">
        <v>0</v>
      </c>
      <c r="AH141">
        <v>0</v>
      </c>
      <c r="AI141">
        <v>7.13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6</v>
      </c>
      <c r="AT141">
        <v>2.63</v>
      </c>
      <c r="AU141" t="s">
        <v>6</v>
      </c>
      <c r="AV141">
        <v>0</v>
      </c>
      <c r="AW141">
        <v>2</v>
      </c>
      <c r="AX141">
        <v>16631448</v>
      </c>
      <c r="AY141">
        <v>1</v>
      </c>
      <c r="AZ141">
        <v>0</v>
      </c>
      <c r="BA141">
        <v>150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Y141*Source!I73</f>
        <v>5.3367959999999997</v>
      </c>
      <c r="CY141">
        <f t="shared" ref="CY141:CY149" si="14">AA141</f>
        <v>85.56</v>
      </c>
      <c r="CZ141">
        <f t="shared" ref="CZ141:CZ149" si="15">AE141</f>
        <v>12</v>
      </c>
      <c r="DA141">
        <f t="shared" ref="DA141:DA149" si="16">AI141</f>
        <v>7.13</v>
      </c>
      <c r="DB141">
        <f t="shared" ref="DB141:DB149" si="17">ROUND(ROUND(AT141*CZ141,2),2)</f>
        <v>31.56</v>
      </c>
      <c r="DC141">
        <f t="shared" ref="DC141:DC149" si="18">ROUND(ROUND(AT141*AG141,2),2)</f>
        <v>0</v>
      </c>
    </row>
    <row r="142" spans="1:107" x14ac:dyDescent="0.2">
      <c r="A142">
        <f>ROW(Source!A73)</f>
        <v>73</v>
      </c>
      <c r="B142">
        <v>16630606</v>
      </c>
      <c r="C142">
        <v>16631430</v>
      </c>
      <c r="D142">
        <v>15170075</v>
      </c>
      <c r="E142">
        <v>1</v>
      </c>
      <c r="F142">
        <v>1</v>
      </c>
      <c r="G142">
        <v>1</v>
      </c>
      <c r="H142">
        <v>3</v>
      </c>
      <c r="I142" t="s">
        <v>1285</v>
      </c>
      <c r="J142" t="s">
        <v>1286</v>
      </c>
      <c r="K142" t="s">
        <v>1287</v>
      </c>
      <c r="L142">
        <v>1356</v>
      </c>
      <c r="N142">
        <v>1010</v>
      </c>
      <c r="O142" t="s">
        <v>278</v>
      </c>
      <c r="P142" t="s">
        <v>278</v>
      </c>
      <c r="Q142">
        <v>1000</v>
      </c>
      <c r="W142">
        <v>0</v>
      </c>
      <c r="X142">
        <v>1130533903</v>
      </c>
      <c r="Y142">
        <v>0.26300000000000001</v>
      </c>
      <c r="AA142">
        <v>1140.8</v>
      </c>
      <c r="AB142">
        <v>0</v>
      </c>
      <c r="AC142">
        <v>0</v>
      </c>
      <c r="AD142">
        <v>0</v>
      </c>
      <c r="AE142">
        <v>160</v>
      </c>
      <c r="AF142">
        <v>0</v>
      </c>
      <c r="AG142">
        <v>0</v>
      </c>
      <c r="AH142">
        <v>0</v>
      </c>
      <c r="AI142">
        <v>7.13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6</v>
      </c>
      <c r="AT142">
        <v>0.26300000000000001</v>
      </c>
      <c r="AU142" t="s">
        <v>6</v>
      </c>
      <c r="AV142">
        <v>0</v>
      </c>
      <c r="AW142">
        <v>2</v>
      </c>
      <c r="AX142">
        <v>16631449</v>
      </c>
      <c r="AY142">
        <v>1</v>
      </c>
      <c r="AZ142">
        <v>0</v>
      </c>
      <c r="BA142">
        <v>151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Y142*Source!I73</f>
        <v>0.53367960000000003</v>
      </c>
      <c r="CY142">
        <f t="shared" si="14"/>
        <v>1140.8</v>
      </c>
      <c r="CZ142">
        <f t="shared" si="15"/>
        <v>160</v>
      </c>
      <c r="DA142">
        <f t="shared" si="16"/>
        <v>7.13</v>
      </c>
      <c r="DB142">
        <f t="shared" si="17"/>
        <v>42.08</v>
      </c>
      <c r="DC142">
        <f t="shared" si="18"/>
        <v>0</v>
      </c>
    </row>
    <row r="143" spans="1:107" x14ac:dyDescent="0.2">
      <c r="A143">
        <f>ROW(Source!A73)</f>
        <v>73</v>
      </c>
      <c r="B143">
        <v>16630606</v>
      </c>
      <c r="C143">
        <v>16631430</v>
      </c>
      <c r="D143">
        <v>15162756</v>
      </c>
      <c r="E143">
        <v>17</v>
      </c>
      <c r="F143">
        <v>1</v>
      </c>
      <c r="G143">
        <v>1</v>
      </c>
      <c r="H143">
        <v>3</v>
      </c>
      <c r="I143" t="s">
        <v>234</v>
      </c>
      <c r="J143" t="s">
        <v>6</v>
      </c>
      <c r="K143" t="s">
        <v>235</v>
      </c>
      <c r="L143">
        <v>1301</v>
      </c>
      <c r="N143">
        <v>1003</v>
      </c>
      <c r="O143" t="s">
        <v>150</v>
      </c>
      <c r="P143" t="s">
        <v>150</v>
      </c>
      <c r="Q143">
        <v>1</v>
      </c>
      <c r="W143">
        <v>0</v>
      </c>
      <c r="X143">
        <v>-2049262376</v>
      </c>
      <c r="Y143">
        <v>101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7.13</v>
      </c>
      <c r="AJ143">
        <v>1</v>
      </c>
      <c r="AK143">
        <v>1</v>
      </c>
      <c r="AL143">
        <v>1</v>
      </c>
      <c r="AN143">
        <v>0</v>
      </c>
      <c r="AO143">
        <v>0</v>
      </c>
      <c r="AP143">
        <v>0</v>
      </c>
      <c r="AQ143">
        <v>0</v>
      </c>
      <c r="AR143">
        <v>0</v>
      </c>
      <c r="AS143" t="s">
        <v>6</v>
      </c>
      <c r="AT143">
        <v>101</v>
      </c>
      <c r="AU143" t="s">
        <v>6</v>
      </c>
      <c r="AV143">
        <v>0</v>
      </c>
      <c r="AW143">
        <v>2</v>
      </c>
      <c r="AX143">
        <v>16631450</v>
      </c>
      <c r="AY143">
        <v>1</v>
      </c>
      <c r="AZ143">
        <v>0</v>
      </c>
      <c r="BA143">
        <v>152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Y143*Source!I73</f>
        <v>204.94919999999999</v>
      </c>
      <c r="CY143">
        <f t="shared" si="14"/>
        <v>0</v>
      </c>
      <c r="CZ143">
        <f t="shared" si="15"/>
        <v>0</v>
      </c>
      <c r="DA143">
        <f t="shared" si="16"/>
        <v>7.13</v>
      </c>
      <c r="DB143">
        <f t="shared" si="17"/>
        <v>0</v>
      </c>
      <c r="DC143">
        <f t="shared" si="18"/>
        <v>0</v>
      </c>
    </row>
    <row r="144" spans="1:107" x14ac:dyDescent="0.2">
      <c r="A144">
        <f>ROW(Source!A73)</f>
        <v>73</v>
      </c>
      <c r="B144">
        <v>16630606</v>
      </c>
      <c r="C144">
        <v>16631430</v>
      </c>
      <c r="D144">
        <v>15197682</v>
      </c>
      <c r="E144">
        <v>1</v>
      </c>
      <c r="F144">
        <v>1</v>
      </c>
      <c r="G144">
        <v>1</v>
      </c>
      <c r="H144">
        <v>3</v>
      </c>
      <c r="I144" t="s">
        <v>237</v>
      </c>
      <c r="J144" t="s">
        <v>239</v>
      </c>
      <c r="K144" t="s">
        <v>238</v>
      </c>
      <c r="L144">
        <v>1301</v>
      </c>
      <c r="N144">
        <v>1003</v>
      </c>
      <c r="O144" t="s">
        <v>150</v>
      </c>
      <c r="P144" t="s">
        <v>150</v>
      </c>
      <c r="Q144">
        <v>1</v>
      </c>
      <c r="W144">
        <v>0</v>
      </c>
      <c r="X144">
        <v>26470480</v>
      </c>
      <c r="Y144">
        <v>101</v>
      </c>
      <c r="AA144">
        <v>87.7</v>
      </c>
      <c r="AB144">
        <v>0</v>
      </c>
      <c r="AC144">
        <v>0</v>
      </c>
      <c r="AD144">
        <v>0</v>
      </c>
      <c r="AE144">
        <v>12.3</v>
      </c>
      <c r="AF144">
        <v>0</v>
      </c>
      <c r="AG144">
        <v>0</v>
      </c>
      <c r="AH144">
        <v>0</v>
      </c>
      <c r="AI144">
        <v>7.13</v>
      </c>
      <c r="AJ144">
        <v>1</v>
      </c>
      <c r="AK144">
        <v>1</v>
      </c>
      <c r="AL144">
        <v>1</v>
      </c>
      <c r="AN144">
        <v>0</v>
      </c>
      <c r="AO144">
        <v>0</v>
      </c>
      <c r="AP144">
        <v>0</v>
      </c>
      <c r="AQ144">
        <v>0</v>
      </c>
      <c r="AR144">
        <v>0</v>
      </c>
      <c r="AS144" t="s">
        <v>6</v>
      </c>
      <c r="AT144">
        <v>101</v>
      </c>
      <c r="AU144" t="s">
        <v>6</v>
      </c>
      <c r="AV144">
        <v>0</v>
      </c>
      <c r="AW144">
        <v>1</v>
      </c>
      <c r="AX144">
        <v>-1</v>
      </c>
      <c r="AY144">
        <v>0</v>
      </c>
      <c r="AZ144">
        <v>0</v>
      </c>
      <c r="BA144" t="s">
        <v>6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Y144*Source!I73</f>
        <v>204.94919999999999</v>
      </c>
      <c r="CY144">
        <f t="shared" si="14"/>
        <v>87.7</v>
      </c>
      <c r="CZ144">
        <f t="shared" si="15"/>
        <v>12.3</v>
      </c>
      <c r="DA144">
        <f t="shared" si="16"/>
        <v>7.13</v>
      </c>
      <c r="DB144">
        <f t="shared" si="17"/>
        <v>1242.3</v>
      </c>
      <c r="DC144">
        <f t="shared" si="18"/>
        <v>0</v>
      </c>
    </row>
    <row r="145" spans="1:107" x14ac:dyDescent="0.2">
      <c r="A145">
        <f>ROW(Source!A73)</f>
        <v>73</v>
      </c>
      <c r="B145">
        <v>16630606</v>
      </c>
      <c r="C145">
        <v>16631430</v>
      </c>
      <c r="D145">
        <v>15197769</v>
      </c>
      <c r="E145">
        <v>1</v>
      </c>
      <c r="F145">
        <v>1</v>
      </c>
      <c r="G145">
        <v>1</v>
      </c>
      <c r="H145">
        <v>3</v>
      </c>
      <c r="I145" t="s">
        <v>241</v>
      </c>
      <c r="J145" t="s">
        <v>244</v>
      </c>
      <c r="K145" t="s">
        <v>242</v>
      </c>
      <c r="L145">
        <v>1355</v>
      </c>
      <c r="N145">
        <v>1010</v>
      </c>
      <c r="O145" t="s">
        <v>243</v>
      </c>
      <c r="P145" t="s">
        <v>243</v>
      </c>
      <c r="Q145">
        <v>100</v>
      </c>
      <c r="W145">
        <v>0</v>
      </c>
      <c r="X145">
        <v>766681708</v>
      </c>
      <c r="Y145">
        <v>7.8849000000000002E-2</v>
      </c>
      <c r="AA145">
        <v>720.13</v>
      </c>
      <c r="AB145">
        <v>0</v>
      </c>
      <c r="AC145">
        <v>0</v>
      </c>
      <c r="AD145">
        <v>0</v>
      </c>
      <c r="AE145">
        <v>101</v>
      </c>
      <c r="AF145">
        <v>0</v>
      </c>
      <c r="AG145">
        <v>0</v>
      </c>
      <c r="AH145">
        <v>0</v>
      </c>
      <c r="AI145">
        <v>7.13</v>
      </c>
      <c r="AJ145">
        <v>1</v>
      </c>
      <c r="AK145">
        <v>1</v>
      </c>
      <c r="AL145">
        <v>1</v>
      </c>
      <c r="AN145">
        <v>0</v>
      </c>
      <c r="AO145">
        <v>0</v>
      </c>
      <c r="AP145">
        <v>0</v>
      </c>
      <c r="AQ145">
        <v>0</v>
      </c>
      <c r="AR145">
        <v>0</v>
      </c>
      <c r="AS145" t="s">
        <v>6</v>
      </c>
      <c r="AT145">
        <v>7.8849000000000002E-2</v>
      </c>
      <c r="AU145" t="s">
        <v>6</v>
      </c>
      <c r="AV145">
        <v>0</v>
      </c>
      <c r="AW145">
        <v>1</v>
      </c>
      <c r="AX145">
        <v>-1</v>
      </c>
      <c r="AY145">
        <v>0</v>
      </c>
      <c r="AZ145">
        <v>0</v>
      </c>
      <c r="BA145" t="s">
        <v>6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Y145*Source!I73</f>
        <v>0.1600003908</v>
      </c>
      <c r="CY145">
        <f t="shared" si="14"/>
        <v>720.13</v>
      </c>
      <c r="CZ145">
        <f t="shared" si="15"/>
        <v>101</v>
      </c>
      <c r="DA145">
        <f t="shared" si="16"/>
        <v>7.13</v>
      </c>
      <c r="DB145">
        <f t="shared" si="17"/>
        <v>7.96</v>
      </c>
      <c r="DC145">
        <f t="shared" si="18"/>
        <v>0</v>
      </c>
    </row>
    <row r="146" spans="1:107" x14ac:dyDescent="0.2">
      <c r="A146">
        <f>ROW(Source!A73)</f>
        <v>73</v>
      </c>
      <c r="B146">
        <v>16630606</v>
      </c>
      <c r="C146">
        <v>16631430</v>
      </c>
      <c r="D146">
        <v>15197771</v>
      </c>
      <c r="E146">
        <v>1</v>
      </c>
      <c r="F146">
        <v>1</v>
      </c>
      <c r="G146">
        <v>1</v>
      </c>
      <c r="H146">
        <v>3</v>
      </c>
      <c r="I146" t="s">
        <v>246</v>
      </c>
      <c r="J146" t="s">
        <v>248</v>
      </c>
      <c r="K146" t="s">
        <v>247</v>
      </c>
      <c r="L146">
        <v>1355</v>
      </c>
      <c r="N146">
        <v>1010</v>
      </c>
      <c r="O146" t="s">
        <v>243</v>
      </c>
      <c r="P146" t="s">
        <v>243</v>
      </c>
      <c r="Q146">
        <v>100</v>
      </c>
      <c r="W146">
        <v>0</v>
      </c>
      <c r="X146">
        <v>191136453</v>
      </c>
      <c r="Y146">
        <v>7.8849000000000002E-2</v>
      </c>
      <c r="AA146">
        <v>720.13</v>
      </c>
      <c r="AB146">
        <v>0</v>
      </c>
      <c r="AC146">
        <v>0</v>
      </c>
      <c r="AD146">
        <v>0</v>
      </c>
      <c r="AE146">
        <v>101</v>
      </c>
      <c r="AF146">
        <v>0</v>
      </c>
      <c r="AG146">
        <v>0</v>
      </c>
      <c r="AH146">
        <v>0</v>
      </c>
      <c r="AI146">
        <v>7.13</v>
      </c>
      <c r="AJ146">
        <v>1</v>
      </c>
      <c r="AK146">
        <v>1</v>
      </c>
      <c r="AL146">
        <v>1</v>
      </c>
      <c r="AN146">
        <v>0</v>
      </c>
      <c r="AO146">
        <v>0</v>
      </c>
      <c r="AP146">
        <v>0</v>
      </c>
      <c r="AQ146">
        <v>0</v>
      </c>
      <c r="AR146">
        <v>0</v>
      </c>
      <c r="AS146" t="s">
        <v>6</v>
      </c>
      <c r="AT146">
        <v>7.8849000000000002E-2</v>
      </c>
      <c r="AU146" t="s">
        <v>6</v>
      </c>
      <c r="AV146">
        <v>0</v>
      </c>
      <c r="AW146">
        <v>1</v>
      </c>
      <c r="AX146">
        <v>-1</v>
      </c>
      <c r="AY146">
        <v>0</v>
      </c>
      <c r="AZ146">
        <v>0</v>
      </c>
      <c r="BA146" t="s">
        <v>6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Y146*Source!I73</f>
        <v>0.1600003908</v>
      </c>
      <c r="CY146">
        <f t="shared" si="14"/>
        <v>720.13</v>
      </c>
      <c r="CZ146">
        <f t="shared" si="15"/>
        <v>101</v>
      </c>
      <c r="DA146">
        <f t="shared" si="16"/>
        <v>7.13</v>
      </c>
      <c r="DB146">
        <f t="shared" si="17"/>
        <v>7.96</v>
      </c>
      <c r="DC146">
        <f t="shared" si="18"/>
        <v>0</v>
      </c>
    </row>
    <row r="147" spans="1:107" x14ac:dyDescent="0.2">
      <c r="A147">
        <f>ROW(Source!A73)</f>
        <v>73</v>
      </c>
      <c r="B147">
        <v>16630606</v>
      </c>
      <c r="C147">
        <v>16631430</v>
      </c>
      <c r="D147">
        <v>15197773</v>
      </c>
      <c r="E147">
        <v>1</v>
      </c>
      <c r="F147">
        <v>1</v>
      </c>
      <c r="G147">
        <v>1</v>
      </c>
      <c r="H147">
        <v>3</v>
      </c>
      <c r="I147" t="s">
        <v>250</v>
      </c>
      <c r="J147" t="s">
        <v>252</v>
      </c>
      <c r="K147" t="s">
        <v>251</v>
      </c>
      <c r="L147">
        <v>1355</v>
      </c>
      <c r="N147">
        <v>1010</v>
      </c>
      <c r="O147" t="s">
        <v>243</v>
      </c>
      <c r="P147" t="s">
        <v>243</v>
      </c>
      <c r="Q147">
        <v>100</v>
      </c>
      <c r="W147">
        <v>0</v>
      </c>
      <c r="X147">
        <v>1073883569</v>
      </c>
      <c r="Y147">
        <v>0.39917200000000003</v>
      </c>
      <c r="AA147">
        <v>912.64</v>
      </c>
      <c r="AB147">
        <v>0</v>
      </c>
      <c r="AC147">
        <v>0</v>
      </c>
      <c r="AD147">
        <v>0</v>
      </c>
      <c r="AE147">
        <v>128</v>
      </c>
      <c r="AF147">
        <v>0</v>
      </c>
      <c r="AG147">
        <v>0</v>
      </c>
      <c r="AH147">
        <v>0</v>
      </c>
      <c r="AI147">
        <v>7.13</v>
      </c>
      <c r="AJ147">
        <v>1</v>
      </c>
      <c r="AK147">
        <v>1</v>
      </c>
      <c r="AL147">
        <v>1</v>
      </c>
      <c r="AN147">
        <v>0</v>
      </c>
      <c r="AO147">
        <v>0</v>
      </c>
      <c r="AP147">
        <v>0</v>
      </c>
      <c r="AQ147">
        <v>0</v>
      </c>
      <c r="AR147">
        <v>0</v>
      </c>
      <c r="AS147" t="s">
        <v>6</v>
      </c>
      <c r="AT147">
        <v>0.39917200000000003</v>
      </c>
      <c r="AU147" t="s">
        <v>6</v>
      </c>
      <c r="AV147">
        <v>0</v>
      </c>
      <c r="AW147">
        <v>1</v>
      </c>
      <c r="AX147">
        <v>-1</v>
      </c>
      <c r="AY147">
        <v>0</v>
      </c>
      <c r="AZ147">
        <v>0</v>
      </c>
      <c r="BA147" t="s">
        <v>6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Y147*Source!I73</f>
        <v>0.80999982240000001</v>
      </c>
      <c r="CY147">
        <f t="shared" si="14"/>
        <v>912.64</v>
      </c>
      <c r="CZ147">
        <f t="shared" si="15"/>
        <v>128</v>
      </c>
      <c r="DA147">
        <f t="shared" si="16"/>
        <v>7.13</v>
      </c>
      <c r="DB147">
        <f t="shared" si="17"/>
        <v>51.09</v>
      </c>
      <c r="DC147">
        <f t="shared" si="18"/>
        <v>0</v>
      </c>
    </row>
    <row r="148" spans="1:107" x14ac:dyDescent="0.2">
      <c r="A148">
        <f>ROW(Source!A73)</f>
        <v>73</v>
      </c>
      <c r="B148">
        <v>16630606</v>
      </c>
      <c r="C148">
        <v>16631430</v>
      </c>
      <c r="D148">
        <v>15197775</v>
      </c>
      <c r="E148">
        <v>1</v>
      </c>
      <c r="F148">
        <v>1</v>
      </c>
      <c r="G148">
        <v>1</v>
      </c>
      <c r="H148">
        <v>3</v>
      </c>
      <c r="I148" t="s">
        <v>254</v>
      </c>
      <c r="J148" t="s">
        <v>256</v>
      </c>
      <c r="K148" t="s">
        <v>255</v>
      </c>
      <c r="L148">
        <v>1355</v>
      </c>
      <c r="N148">
        <v>1010</v>
      </c>
      <c r="O148" t="s">
        <v>243</v>
      </c>
      <c r="P148" t="s">
        <v>243</v>
      </c>
      <c r="Q148">
        <v>100</v>
      </c>
      <c r="W148">
        <v>0</v>
      </c>
      <c r="X148">
        <v>1800897042</v>
      </c>
      <c r="Y148">
        <v>6.8992999999999999E-2</v>
      </c>
      <c r="AA148">
        <v>912.64</v>
      </c>
      <c r="AB148">
        <v>0</v>
      </c>
      <c r="AC148">
        <v>0</v>
      </c>
      <c r="AD148">
        <v>0</v>
      </c>
      <c r="AE148">
        <v>128</v>
      </c>
      <c r="AF148">
        <v>0</v>
      </c>
      <c r="AG148">
        <v>0</v>
      </c>
      <c r="AH148">
        <v>0</v>
      </c>
      <c r="AI148">
        <v>7.13</v>
      </c>
      <c r="AJ148">
        <v>1</v>
      </c>
      <c r="AK148">
        <v>1</v>
      </c>
      <c r="AL148">
        <v>1</v>
      </c>
      <c r="AN148">
        <v>0</v>
      </c>
      <c r="AO148">
        <v>0</v>
      </c>
      <c r="AP148">
        <v>0</v>
      </c>
      <c r="AQ148">
        <v>0</v>
      </c>
      <c r="AR148">
        <v>0</v>
      </c>
      <c r="AS148" t="s">
        <v>6</v>
      </c>
      <c r="AT148">
        <v>6.8992999999999999E-2</v>
      </c>
      <c r="AU148" t="s">
        <v>6</v>
      </c>
      <c r="AV148">
        <v>0</v>
      </c>
      <c r="AW148">
        <v>1</v>
      </c>
      <c r="AX148">
        <v>-1</v>
      </c>
      <c r="AY148">
        <v>0</v>
      </c>
      <c r="AZ148">
        <v>0</v>
      </c>
      <c r="BA148" t="s">
        <v>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Y148*Source!I73</f>
        <v>0.1400005956</v>
      </c>
      <c r="CY148">
        <f t="shared" si="14"/>
        <v>912.64</v>
      </c>
      <c r="CZ148">
        <f t="shared" si="15"/>
        <v>128</v>
      </c>
      <c r="DA148">
        <f t="shared" si="16"/>
        <v>7.13</v>
      </c>
      <c r="DB148">
        <f t="shared" si="17"/>
        <v>8.83</v>
      </c>
      <c r="DC148">
        <f t="shared" si="18"/>
        <v>0</v>
      </c>
    </row>
    <row r="149" spans="1:107" x14ac:dyDescent="0.2">
      <c r="A149">
        <f>ROW(Source!A73)</f>
        <v>73</v>
      </c>
      <c r="B149">
        <v>16630606</v>
      </c>
      <c r="C149">
        <v>16631430</v>
      </c>
      <c r="D149">
        <v>15197777</v>
      </c>
      <c r="E149">
        <v>1</v>
      </c>
      <c r="F149">
        <v>1</v>
      </c>
      <c r="G149">
        <v>1</v>
      </c>
      <c r="H149">
        <v>3</v>
      </c>
      <c r="I149" t="s">
        <v>258</v>
      </c>
      <c r="J149" t="s">
        <v>260</v>
      </c>
      <c r="K149" t="s">
        <v>259</v>
      </c>
      <c r="L149">
        <v>1355</v>
      </c>
      <c r="N149">
        <v>1010</v>
      </c>
      <c r="O149" t="s">
        <v>243</v>
      </c>
      <c r="P149" t="s">
        <v>243</v>
      </c>
      <c r="Q149">
        <v>100</v>
      </c>
      <c r="W149">
        <v>0</v>
      </c>
      <c r="X149">
        <v>952646044</v>
      </c>
      <c r="Y149">
        <v>6.8992999999999999E-2</v>
      </c>
      <c r="AA149">
        <v>912.64</v>
      </c>
      <c r="AB149">
        <v>0</v>
      </c>
      <c r="AC149">
        <v>0</v>
      </c>
      <c r="AD149">
        <v>0</v>
      </c>
      <c r="AE149">
        <v>128</v>
      </c>
      <c r="AF149">
        <v>0</v>
      </c>
      <c r="AG149">
        <v>0</v>
      </c>
      <c r="AH149">
        <v>0</v>
      </c>
      <c r="AI149">
        <v>7.13</v>
      </c>
      <c r="AJ149">
        <v>1</v>
      </c>
      <c r="AK149">
        <v>1</v>
      </c>
      <c r="AL149">
        <v>1</v>
      </c>
      <c r="AN149">
        <v>0</v>
      </c>
      <c r="AO149">
        <v>0</v>
      </c>
      <c r="AP149">
        <v>0</v>
      </c>
      <c r="AQ149">
        <v>0</v>
      </c>
      <c r="AR149">
        <v>0</v>
      </c>
      <c r="AS149" t="s">
        <v>6</v>
      </c>
      <c r="AT149">
        <v>6.8992999999999999E-2</v>
      </c>
      <c r="AU149" t="s">
        <v>6</v>
      </c>
      <c r="AV149">
        <v>0</v>
      </c>
      <c r="AW149">
        <v>1</v>
      </c>
      <c r="AX149">
        <v>-1</v>
      </c>
      <c r="AY149">
        <v>0</v>
      </c>
      <c r="AZ149">
        <v>0</v>
      </c>
      <c r="BA149" t="s">
        <v>6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Y149*Source!I73</f>
        <v>0.1400005956</v>
      </c>
      <c r="CY149">
        <f t="shared" si="14"/>
        <v>912.64</v>
      </c>
      <c r="CZ149">
        <f t="shared" si="15"/>
        <v>128</v>
      </c>
      <c r="DA149">
        <f t="shared" si="16"/>
        <v>7.13</v>
      </c>
      <c r="DB149">
        <f t="shared" si="17"/>
        <v>8.83</v>
      </c>
      <c r="DC149">
        <f t="shared" si="18"/>
        <v>0</v>
      </c>
    </row>
    <row r="150" spans="1:107" x14ac:dyDescent="0.2">
      <c r="A150">
        <f>ROW(Source!A81)</f>
        <v>81</v>
      </c>
      <c r="B150">
        <v>16630606</v>
      </c>
      <c r="C150">
        <v>16631463</v>
      </c>
      <c r="D150">
        <v>15435695</v>
      </c>
      <c r="E150">
        <v>1</v>
      </c>
      <c r="F150">
        <v>1</v>
      </c>
      <c r="G150">
        <v>1</v>
      </c>
      <c r="H150">
        <v>1</v>
      </c>
      <c r="I150" t="s">
        <v>1288</v>
      </c>
      <c r="J150" t="s">
        <v>6</v>
      </c>
      <c r="K150" t="s">
        <v>1289</v>
      </c>
      <c r="L150">
        <v>1191</v>
      </c>
      <c r="N150">
        <v>1013</v>
      </c>
      <c r="O150" t="s">
        <v>1148</v>
      </c>
      <c r="P150" t="s">
        <v>1148</v>
      </c>
      <c r="Q150">
        <v>1</v>
      </c>
      <c r="W150">
        <v>0</v>
      </c>
      <c r="X150">
        <v>1881689430</v>
      </c>
      <c r="Y150">
        <v>31.015499999999996</v>
      </c>
      <c r="AA150">
        <v>0</v>
      </c>
      <c r="AB150">
        <v>0</v>
      </c>
      <c r="AC150">
        <v>0</v>
      </c>
      <c r="AD150">
        <v>78</v>
      </c>
      <c r="AE150">
        <v>0</v>
      </c>
      <c r="AF150">
        <v>0</v>
      </c>
      <c r="AG150">
        <v>0</v>
      </c>
      <c r="AH150">
        <v>10.94</v>
      </c>
      <c r="AI150">
        <v>1</v>
      </c>
      <c r="AJ150">
        <v>1</v>
      </c>
      <c r="AK150">
        <v>1</v>
      </c>
      <c r="AL150">
        <v>7.13</v>
      </c>
      <c r="AN150">
        <v>0</v>
      </c>
      <c r="AO150">
        <v>1</v>
      </c>
      <c r="AP150">
        <v>1</v>
      </c>
      <c r="AQ150">
        <v>0</v>
      </c>
      <c r="AR150">
        <v>0</v>
      </c>
      <c r="AS150" t="s">
        <v>6</v>
      </c>
      <c r="AT150">
        <v>26.97</v>
      </c>
      <c r="AU150" t="s">
        <v>82</v>
      </c>
      <c r="AV150">
        <v>1</v>
      </c>
      <c r="AW150">
        <v>2</v>
      </c>
      <c r="AX150">
        <v>16631476</v>
      </c>
      <c r="AY150">
        <v>1</v>
      </c>
      <c r="AZ150">
        <v>0</v>
      </c>
      <c r="BA150">
        <v>158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Y150*Source!I81</f>
        <v>12.077435699999999</v>
      </c>
      <c r="CY150">
        <f>AD150</f>
        <v>78</v>
      </c>
      <c r="CZ150">
        <f>AH150</f>
        <v>10.94</v>
      </c>
      <c r="DA150">
        <f>AL150</f>
        <v>7.13</v>
      </c>
      <c r="DB150">
        <f>ROUND((ROUND(AT150*CZ150,2)*1.15),2)</f>
        <v>339.31</v>
      </c>
      <c r="DC150">
        <f>ROUND((ROUND(AT150*AG150,2)*1.15),2)</f>
        <v>0</v>
      </c>
    </row>
    <row r="151" spans="1:107" x14ac:dyDescent="0.2">
      <c r="A151">
        <f>ROW(Source!A81)</f>
        <v>81</v>
      </c>
      <c r="B151">
        <v>16630606</v>
      </c>
      <c r="C151">
        <v>16631463</v>
      </c>
      <c r="D151">
        <v>15430395</v>
      </c>
      <c r="E151">
        <v>1</v>
      </c>
      <c r="F151">
        <v>1</v>
      </c>
      <c r="G151">
        <v>1</v>
      </c>
      <c r="H151">
        <v>1</v>
      </c>
      <c r="I151" t="s">
        <v>1149</v>
      </c>
      <c r="J151" t="s">
        <v>6</v>
      </c>
      <c r="K151" t="s">
        <v>1150</v>
      </c>
      <c r="L151">
        <v>1191</v>
      </c>
      <c r="N151">
        <v>1013</v>
      </c>
      <c r="O151" t="s">
        <v>1148</v>
      </c>
      <c r="P151" t="s">
        <v>1148</v>
      </c>
      <c r="Q151">
        <v>1</v>
      </c>
      <c r="W151">
        <v>0</v>
      </c>
      <c r="X151">
        <v>-1417349443</v>
      </c>
      <c r="Y151">
        <v>0.43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1</v>
      </c>
      <c r="AJ151">
        <v>1</v>
      </c>
      <c r="AK151">
        <v>7.13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6</v>
      </c>
      <c r="AT151">
        <v>0.43</v>
      </c>
      <c r="AU151" t="s">
        <v>6</v>
      </c>
      <c r="AV151">
        <v>2</v>
      </c>
      <c r="AW151">
        <v>2</v>
      </c>
      <c r="AX151">
        <v>16631477</v>
      </c>
      <c r="AY151">
        <v>1</v>
      </c>
      <c r="AZ151">
        <v>2048</v>
      </c>
      <c r="BA151">
        <v>159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Y151*Source!I81</f>
        <v>0.16744200000000001</v>
      </c>
      <c r="CY151">
        <f>AD151</f>
        <v>0</v>
      </c>
      <c r="CZ151">
        <f>AH151</f>
        <v>0</v>
      </c>
      <c r="DA151">
        <f>AL151</f>
        <v>1</v>
      </c>
      <c r="DB151">
        <f>ROUND(ROUND(AT151*CZ151,2),2)</f>
        <v>0</v>
      </c>
      <c r="DC151">
        <f>ROUND(ROUND(AT151*AG151,2),2)</f>
        <v>0</v>
      </c>
    </row>
    <row r="152" spans="1:107" x14ac:dyDescent="0.2">
      <c r="A152">
        <f>ROW(Source!A81)</f>
        <v>81</v>
      </c>
      <c r="B152">
        <v>16630606</v>
      </c>
      <c r="C152">
        <v>16631463</v>
      </c>
      <c r="D152">
        <v>15247974</v>
      </c>
      <c r="E152">
        <v>1</v>
      </c>
      <c r="F152">
        <v>1</v>
      </c>
      <c r="G152">
        <v>1</v>
      </c>
      <c r="H152">
        <v>2</v>
      </c>
      <c r="I152" t="s">
        <v>1151</v>
      </c>
      <c r="J152" t="s">
        <v>1152</v>
      </c>
      <c r="K152" t="s">
        <v>1153</v>
      </c>
      <c r="L152">
        <v>1368</v>
      </c>
      <c r="N152">
        <v>1011</v>
      </c>
      <c r="O152" t="s">
        <v>1154</v>
      </c>
      <c r="P152" t="s">
        <v>1154</v>
      </c>
      <c r="Q152">
        <v>1</v>
      </c>
      <c r="W152">
        <v>0</v>
      </c>
      <c r="X152">
        <v>1188625873</v>
      </c>
      <c r="Y152">
        <v>0.22499999999999998</v>
      </c>
      <c r="AA152">
        <v>0</v>
      </c>
      <c r="AB152">
        <v>222.88</v>
      </c>
      <c r="AC152">
        <v>13.5</v>
      </c>
      <c r="AD152">
        <v>0</v>
      </c>
      <c r="AE152">
        <v>0</v>
      </c>
      <c r="AF152">
        <v>31.26</v>
      </c>
      <c r="AG152">
        <v>13.5</v>
      </c>
      <c r="AH152">
        <v>0</v>
      </c>
      <c r="AI152">
        <v>1</v>
      </c>
      <c r="AJ152">
        <v>7.13</v>
      </c>
      <c r="AK152">
        <v>1</v>
      </c>
      <c r="AL152">
        <v>1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6</v>
      </c>
      <c r="AT152">
        <v>0.18</v>
      </c>
      <c r="AU152" t="s">
        <v>81</v>
      </c>
      <c r="AV152">
        <v>0</v>
      </c>
      <c r="AW152">
        <v>2</v>
      </c>
      <c r="AX152">
        <v>16631478</v>
      </c>
      <c r="AY152">
        <v>1</v>
      </c>
      <c r="AZ152">
        <v>0</v>
      </c>
      <c r="BA152">
        <v>160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Y152*Source!I81</f>
        <v>8.7614999999999998E-2</v>
      </c>
      <c r="CY152">
        <f>AB152</f>
        <v>222.88</v>
      </c>
      <c r="CZ152">
        <f>AF152</f>
        <v>31.26</v>
      </c>
      <c r="DA152">
        <f>AJ152</f>
        <v>7.13</v>
      </c>
      <c r="DB152">
        <f>ROUND((ROUND(AT152*CZ152,2)*1.25),2)</f>
        <v>7.04</v>
      </c>
      <c r="DC152">
        <f>ROUND((ROUND(AT152*AG152,2)*1.25),2)</f>
        <v>3.04</v>
      </c>
    </row>
    <row r="153" spans="1:107" x14ac:dyDescent="0.2">
      <c r="A153">
        <f>ROW(Source!A81)</f>
        <v>81</v>
      </c>
      <c r="B153">
        <v>16630606</v>
      </c>
      <c r="C153">
        <v>16631463</v>
      </c>
      <c r="D153">
        <v>15248306</v>
      </c>
      <c r="E153">
        <v>1</v>
      </c>
      <c r="F153">
        <v>1</v>
      </c>
      <c r="G153">
        <v>1</v>
      </c>
      <c r="H153">
        <v>2</v>
      </c>
      <c r="I153" t="s">
        <v>1290</v>
      </c>
      <c r="J153" t="s">
        <v>1291</v>
      </c>
      <c r="K153" t="s">
        <v>1292</v>
      </c>
      <c r="L153">
        <v>1368</v>
      </c>
      <c r="N153">
        <v>1011</v>
      </c>
      <c r="O153" t="s">
        <v>1154</v>
      </c>
      <c r="P153" t="s">
        <v>1154</v>
      </c>
      <c r="Q153">
        <v>1</v>
      </c>
      <c r="W153">
        <v>0</v>
      </c>
      <c r="X153">
        <v>520357435</v>
      </c>
      <c r="Y153">
        <v>5.4625000000000004</v>
      </c>
      <c r="AA153">
        <v>0</v>
      </c>
      <c r="AB153">
        <v>213.9</v>
      </c>
      <c r="AC153">
        <v>0</v>
      </c>
      <c r="AD153">
        <v>0</v>
      </c>
      <c r="AE153">
        <v>0</v>
      </c>
      <c r="AF153">
        <v>30</v>
      </c>
      <c r="AG153">
        <v>0</v>
      </c>
      <c r="AH153">
        <v>0</v>
      </c>
      <c r="AI153">
        <v>1</v>
      </c>
      <c r="AJ153">
        <v>7.13</v>
      </c>
      <c r="AK153">
        <v>1</v>
      </c>
      <c r="AL153">
        <v>1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6</v>
      </c>
      <c r="AT153">
        <v>4.37</v>
      </c>
      <c r="AU153" t="s">
        <v>81</v>
      </c>
      <c r="AV153">
        <v>0</v>
      </c>
      <c r="AW153">
        <v>2</v>
      </c>
      <c r="AX153">
        <v>16631479</v>
      </c>
      <c r="AY153">
        <v>1</v>
      </c>
      <c r="AZ153">
        <v>0</v>
      </c>
      <c r="BA153">
        <v>161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Y153*Source!I81</f>
        <v>2.1270975000000001</v>
      </c>
      <c r="CY153">
        <f>AB153</f>
        <v>213.9</v>
      </c>
      <c r="CZ153">
        <f>AF153</f>
        <v>30</v>
      </c>
      <c r="DA153">
        <f>AJ153</f>
        <v>7.13</v>
      </c>
      <c r="DB153">
        <f>ROUND((ROUND(AT153*CZ153,2)*1.25),2)</f>
        <v>163.88</v>
      </c>
      <c r="DC153">
        <f>ROUND((ROUND(AT153*AG153,2)*1.25),2)</f>
        <v>0</v>
      </c>
    </row>
    <row r="154" spans="1:107" x14ac:dyDescent="0.2">
      <c r="A154">
        <f>ROW(Source!A81)</f>
        <v>81</v>
      </c>
      <c r="B154">
        <v>16630606</v>
      </c>
      <c r="C154">
        <v>16631463</v>
      </c>
      <c r="D154">
        <v>15249073</v>
      </c>
      <c r="E154">
        <v>1</v>
      </c>
      <c r="F154">
        <v>1</v>
      </c>
      <c r="G154">
        <v>1</v>
      </c>
      <c r="H154">
        <v>2</v>
      </c>
      <c r="I154" t="s">
        <v>1157</v>
      </c>
      <c r="J154" t="s">
        <v>1158</v>
      </c>
      <c r="K154" t="s">
        <v>1159</v>
      </c>
      <c r="L154">
        <v>1368</v>
      </c>
      <c r="N154">
        <v>1011</v>
      </c>
      <c r="O154" t="s">
        <v>1154</v>
      </c>
      <c r="P154" t="s">
        <v>1154</v>
      </c>
      <c r="Q154">
        <v>1</v>
      </c>
      <c r="W154">
        <v>0</v>
      </c>
      <c r="X154">
        <v>1372534845</v>
      </c>
      <c r="Y154">
        <v>0.3125</v>
      </c>
      <c r="AA154">
        <v>0</v>
      </c>
      <c r="AB154">
        <v>468.51</v>
      </c>
      <c r="AC154">
        <v>11.6</v>
      </c>
      <c r="AD154">
        <v>0</v>
      </c>
      <c r="AE154">
        <v>0</v>
      </c>
      <c r="AF154">
        <v>65.709999999999994</v>
      </c>
      <c r="AG154">
        <v>11.6</v>
      </c>
      <c r="AH154">
        <v>0</v>
      </c>
      <c r="AI154">
        <v>1</v>
      </c>
      <c r="AJ154">
        <v>7.13</v>
      </c>
      <c r="AK154">
        <v>1</v>
      </c>
      <c r="AL154">
        <v>1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6</v>
      </c>
      <c r="AT154">
        <v>0.25</v>
      </c>
      <c r="AU154" t="s">
        <v>81</v>
      </c>
      <c r="AV154">
        <v>0</v>
      </c>
      <c r="AW154">
        <v>2</v>
      </c>
      <c r="AX154">
        <v>16631480</v>
      </c>
      <c r="AY154">
        <v>1</v>
      </c>
      <c r="AZ154">
        <v>0</v>
      </c>
      <c r="BA154">
        <v>162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Y154*Source!I81</f>
        <v>0.1216875</v>
      </c>
      <c r="CY154">
        <f>AB154</f>
        <v>468.51</v>
      </c>
      <c r="CZ154">
        <f>AF154</f>
        <v>65.709999999999994</v>
      </c>
      <c r="DA154">
        <f>AJ154</f>
        <v>7.13</v>
      </c>
      <c r="DB154">
        <f>ROUND((ROUND(AT154*CZ154,2)*1.25),2)</f>
        <v>20.54</v>
      </c>
      <c r="DC154">
        <f>ROUND((ROUND(AT154*AG154,2)*1.25),2)</f>
        <v>3.63</v>
      </c>
    </row>
    <row r="155" spans="1:107" x14ac:dyDescent="0.2">
      <c r="A155">
        <f>ROW(Source!A81)</f>
        <v>81</v>
      </c>
      <c r="B155">
        <v>16630606</v>
      </c>
      <c r="C155">
        <v>16631463</v>
      </c>
      <c r="D155">
        <v>15250226</v>
      </c>
      <c r="E155">
        <v>1</v>
      </c>
      <c r="F155">
        <v>1</v>
      </c>
      <c r="G155">
        <v>1</v>
      </c>
      <c r="H155">
        <v>2</v>
      </c>
      <c r="I155" t="s">
        <v>1293</v>
      </c>
      <c r="J155" t="s">
        <v>1294</v>
      </c>
      <c r="K155" t="s">
        <v>1295</v>
      </c>
      <c r="L155">
        <v>1368</v>
      </c>
      <c r="N155">
        <v>1011</v>
      </c>
      <c r="O155" t="s">
        <v>1154</v>
      </c>
      <c r="P155" t="s">
        <v>1154</v>
      </c>
      <c r="Q155">
        <v>1</v>
      </c>
      <c r="W155">
        <v>0</v>
      </c>
      <c r="X155">
        <v>-53362720</v>
      </c>
      <c r="Y155">
        <v>1.875</v>
      </c>
      <c r="AA155">
        <v>0</v>
      </c>
      <c r="AB155">
        <v>19.25</v>
      </c>
      <c r="AC155">
        <v>0</v>
      </c>
      <c r="AD155">
        <v>0</v>
      </c>
      <c r="AE155">
        <v>0</v>
      </c>
      <c r="AF155">
        <v>2.7</v>
      </c>
      <c r="AG155">
        <v>0</v>
      </c>
      <c r="AH155">
        <v>0</v>
      </c>
      <c r="AI155">
        <v>1</v>
      </c>
      <c r="AJ155">
        <v>7.13</v>
      </c>
      <c r="AK155">
        <v>1</v>
      </c>
      <c r="AL155">
        <v>1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6</v>
      </c>
      <c r="AT155">
        <v>1.5</v>
      </c>
      <c r="AU155" t="s">
        <v>81</v>
      </c>
      <c r="AV155">
        <v>0</v>
      </c>
      <c r="AW155">
        <v>2</v>
      </c>
      <c r="AX155">
        <v>16631481</v>
      </c>
      <c r="AY155">
        <v>1</v>
      </c>
      <c r="AZ155">
        <v>0</v>
      </c>
      <c r="BA155">
        <v>163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Y155*Source!I81</f>
        <v>0.73012500000000002</v>
      </c>
      <c r="CY155">
        <f>AB155</f>
        <v>19.25</v>
      </c>
      <c r="CZ155">
        <f>AF155</f>
        <v>2.7</v>
      </c>
      <c r="DA155">
        <f>AJ155</f>
        <v>7.13</v>
      </c>
      <c r="DB155">
        <f>ROUND((ROUND(AT155*CZ155,2)*1.25),2)</f>
        <v>5.0599999999999996</v>
      </c>
      <c r="DC155">
        <f>ROUND((ROUND(AT155*AG155,2)*1.25),2)</f>
        <v>0</v>
      </c>
    </row>
    <row r="156" spans="1:107" x14ac:dyDescent="0.2">
      <c r="A156">
        <f>ROW(Source!A81)</f>
        <v>81</v>
      </c>
      <c r="B156">
        <v>16630606</v>
      </c>
      <c r="C156">
        <v>16631463</v>
      </c>
      <c r="D156">
        <v>15165310</v>
      </c>
      <c r="E156">
        <v>1</v>
      </c>
      <c r="F156">
        <v>1</v>
      </c>
      <c r="G156">
        <v>1</v>
      </c>
      <c r="H156">
        <v>3</v>
      </c>
      <c r="I156" t="s">
        <v>1296</v>
      </c>
      <c r="J156" t="s">
        <v>1297</v>
      </c>
      <c r="K156" t="s">
        <v>1298</v>
      </c>
      <c r="L156">
        <v>1348</v>
      </c>
      <c r="N156">
        <v>1009</v>
      </c>
      <c r="O156" t="s">
        <v>98</v>
      </c>
      <c r="P156" t="s">
        <v>98</v>
      </c>
      <c r="Q156">
        <v>1000</v>
      </c>
      <c r="W156">
        <v>0</v>
      </c>
      <c r="X156">
        <v>-1006529954</v>
      </c>
      <c r="Y156">
        <v>8.0000000000000002E-3</v>
      </c>
      <c r="AA156">
        <v>8270.7999999999993</v>
      </c>
      <c r="AB156">
        <v>0</v>
      </c>
      <c r="AC156">
        <v>0</v>
      </c>
      <c r="AD156">
        <v>0</v>
      </c>
      <c r="AE156">
        <v>1160</v>
      </c>
      <c r="AF156">
        <v>0</v>
      </c>
      <c r="AG156">
        <v>0</v>
      </c>
      <c r="AH156">
        <v>0</v>
      </c>
      <c r="AI156">
        <v>7.13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6</v>
      </c>
      <c r="AT156">
        <v>8.0000000000000002E-3</v>
      </c>
      <c r="AU156" t="s">
        <v>6</v>
      </c>
      <c r="AV156">
        <v>0</v>
      </c>
      <c r="AW156">
        <v>2</v>
      </c>
      <c r="AX156">
        <v>16631482</v>
      </c>
      <c r="AY156">
        <v>1</v>
      </c>
      <c r="AZ156">
        <v>0</v>
      </c>
      <c r="BA156">
        <v>164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Y156*Source!I81</f>
        <v>3.1152000000000003E-3</v>
      </c>
      <c r="CY156">
        <f t="shared" ref="CY156:CY161" si="19">AA156</f>
        <v>8270.7999999999993</v>
      </c>
      <c r="CZ156">
        <f t="shared" ref="CZ156:CZ161" si="20">AE156</f>
        <v>1160</v>
      </c>
      <c r="DA156">
        <f t="shared" ref="DA156:DA161" si="21">AI156</f>
        <v>7.13</v>
      </c>
      <c r="DB156">
        <f t="shared" ref="DB156:DB161" si="22">ROUND(ROUND(AT156*CZ156,2),2)</f>
        <v>9.2799999999999994</v>
      </c>
      <c r="DC156">
        <f t="shared" ref="DC156:DC161" si="23">ROUND(ROUND(AT156*AG156,2),2)</f>
        <v>0</v>
      </c>
    </row>
    <row r="157" spans="1:107" x14ac:dyDescent="0.2">
      <c r="A157">
        <f>ROW(Source!A81)</f>
        <v>81</v>
      </c>
      <c r="B157">
        <v>16630606</v>
      </c>
      <c r="C157">
        <v>16631463</v>
      </c>
      <c r="D157">
        <v>15165346</v>
      </c>
      <c r="E157">
        <v>1</v>
      </c>
      <c r="F157">
        <v>1</v>
      </c>
      <c r="G157">
        <v>1</v>
      </c>
      <c r="H157">
        <v>3</v>
      </c>
      <c r="I157" t="s">
        <v>1299</v>
      </c>
      <c r="J157" t="s">
        <v>1300</v>
      </c>
      <c r="K157" t="s">
        <v>1301</v>
      </c>
      <c r="L157">
        <v>1348</v>
      </c>
      <c r="N157">
        <v>1009</v>
      </c>
      <c r="O157" t="s">
        <v>98</v>
      </c>
      <c r="P157" t="s">
        <v>98</v>
      </c>
      <c r="Q157">
        <v>1000</v>
      </c>
      <c r="W157">
        <v>0</v>
      </c>
      <c r="X157">
        <v>243290531</v>
      </c>
      <c r="Y157">
        <v>1.9E-2</v>
      </c>
      <c r="AA157">
        <v>10876.82</v>
      </c>
      <c r="AB157">
        <v>0</v>
      </c>
      <c r="AC157">
        <v>0</v>
      </c>
      <c r="AD157">
        <v>0</v>
      </c>
      <c r="AE157">
        <v>1525.5</v>
      </c>
      <c r="AF157">
        <v>0</v>
      </c>
      <c r="AG157">
        <v>0</v>
      </c>
      <c r="AH157">
        <v>0</v>
      </c>
      <c r="AI157">
        <v>7.13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6</v>
      </c>
      <c r="AT157">
        <v>1.9E-2</v>
      </c>
      <c r="AU157" t="s">
        <v>6</v>
      </c>
      <c r="AV157">
        <v>0</v>
      </c>
      <c r="AW157">
        <v>2</v>
      </c>
      <c r="AX157">
        <v>16631483</v>
      </c>
      <c r="AY157">
        <v>1</v>
      </c>
      <c r="AZ157">
        <v>0</v>
      </c>
      <c r="BA157">
        <v>165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Y157*Source!I81</f>
        <v>7.3986E-3</v>
      </c>
      <c r="CY157">
        <f t="shared" si="19"/>
        <v>10876.82</v>
      </c>
      <c r="CZ157">
        <f t="shared" si="20"/>
        <v>1525.5</v>
      </c>
      <c r="DA157">
        <f t="shared" si="21"/>
        <v>7.13</v>
      </c>
      <c r="DB157">
        <f t="shared" si="22"/>
        <v>28.98</v>
      </c>
      <c r="DC157">
        <f t="shared" si="23"/>
        <v>0</v>
      </c>
    </row>
    <row r="158" spans="1:107" x14ac:dyDescent="0.2">
      <c r="A158">
        <f>ROW(Source!A81)</f>
        <v>81</v>
      </c>
      <c r="B158">
        <v>16630606</v>
      </c>
      <c r="C158">
        <v>16631463</v>
      </c>
      <c r="D158">
        <v>15165348</v>
      </c>
      <c r="E158">
        <v>1</v>
      </c>
      <c r="F158">
        <v>1</v>
      </c>
      <c r="G158">
        <v>1</v>
      </c>
      <c r="H158">
        <v>3</v>
      </c>
      <c r="I158" t="s">
        <v>1302</v>
      </c>
      <c r="J158" t="s">
        <v>1303</v>
      </c>
      <c r="K158" t="s">
        <v>1304</v>
      </c>
      <c r="L158">
        <v>1348</v>
      </c>
      <c r="N158">
        <v>1009</v>
      </c>
      <c r="O158" t="s">
        <v>98</v>
      </c>
      <c r="P158" t="s">
        <v>98</v>
      </c>
      <c r="Q158">
        <v>1000</v>
      </c>
      <c r="W158">
        <v>0</v>
      </c>
      <c r="X158">
        <v>110322092</v>
      </c>
      <c r="Y158">
        <v>0.157</v>
      </c>
      <c r="AA158">
        <v>9861.5</v>
      </c>
      <c r="AB158">
        <v>0</v>
      </c>
      <c r="AC158">
        <v>0</v>
      </c>
      <c r="AD158">
        <v>0</v>
      </c>
      <c r="AE158">
        <v>1383.1</v>
      </c>
      <c r="AF158">
        <v>0</v>
      </c>
      <c r="AG158">
        <v>0</v>
      </c>
      <c r="AH158">
        <v>0</v>
      </c>
      <c r="AI158">
        <v>7.13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6</v>
      </c>
      <c r="AT158">
        <v>0.157</v>
      </c>
      <c r="AU158" t="s">
        <v>6</v>
      </c>
      <c r="AV158">
        <v>0</v>
      </c>
      <c r="AW158">
        <v>2</v>
      </c>
      <c r="AX158">
        <v>16631484</v>
      </c>
      <c r="AY158">
        <v>1</v>
      </c>
      <c r="AZ158">
        <v>0</v>
      </c>
      <c r="BA158">
        <v>166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Y158*Source!I81</f>
        <v>6.1135800000000004E-2</v>
      </c>
      <c r="CY158">
        <f t="shared" si="19"/>
        <v>9861.5</v>
      </c>
      <c r="CZ158">
        <f t="shared" si="20"/>
        <v>1383.1</v>
      </c>
      <c r="DA158">
        <f t="shared" si="21"/>
        <v>7.13</v>
      </c>
      <c r="DB158">
        <f t="shared" si="22"/>
        <v>217.15</v>
      </c>
      <c r="DC158">
        <f t="shared" si="23"/>
        <v>0</v>
      </c>
    </row>
    <row r="159" spans="1:107" x14ac:dyDescent="0.2">
      <c r="A159">
        <f>ROW(Source!A81)</f>
        <v>81</v>
      </c>
      <c r="B159">
        <v>16630606</v>
      </c>
      <c r="C159">
        <v>16631463</v>
      </c>
      <c r="D159">
        <v>15165532</v>
      </c>
      <c r="E159">
        <v>1</v>
      </c>
      <c r="F159">
        <v>1</v>
      </c>
      <c r="G159">
        <v>1</v>
      </c>
      <c r="H159">
        <v>3</v>
      </c>
      <c r="I159" t="s">
        <v>1305</v>
      </c>
      <c r="J159" t="s">
        <v>1306</v>
      </c>
      <c r="K159" t="s">
        <v>1307</v>
      </c>
      <c r="L159">
        <v>1348</v>
      </c>
      <c r="N159">
        <v>1009</v>
      </c>
      <c r="O159" t="s">
        <v>98</v>
      </c>
      <c r="P159" t="s">
        <v>98</v>
      </c>
      <c r="Q159">
        <v>1000</v>
      </c>
      <c r="W159">
        <v>0</v>
      </c>
      <c r="X159">
        <v>-1414849288</v>
      </c>
      <c r="Y159">
        <v>5.7000000000000002E-2</v>
      </c>
      <c r="AA159">
        <v>43805.29</v>
      </c>
      <c r="AB159">
        <v>0</v>
      </c>
      <c r="AC159">
        <v>0</v>
      </c>
      <c r="AD159">
        <v>0</v>
      </c>
      <c r="AE159">
        <v>6143.8</v>
      </c>
      <c r="AF159">
        <v>0</v>
      </c>
      <c r="AG159">
        <v>0</v>
      </c>
      <c r="AH159">
        <v>0</v>
      </c>
      <c r="AI159">
        <v>7.13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6</v>
      </c>
      <c r="AT159">
        <v>5.7000000000000002E-2</v>
      </c>
      <c r="AU159" t="s">
        <v>6</v>
      </c>
      <c r="AV159">
        <v>0</v>
      </c>
      <c r="AW159">
        <v>2</v>
      </c>
      <c r="AX159">
        <v>16631485</v>
      </c>
      <c r="AY159">
        <v>1</v>
      </c>
      <c r="AZ159">
        <v>0</v>
      </c>
      <c r="BA159">
        <v>167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Y159*Source!I81</f>
        <v>2.2195800000000002E-2</v>
      </c>
      <c r="CY159">
        <f t="shared" si="19"/>
        <v>43805.29</v>
      </c>
      <c r="CZ159">
        <f t="shared" si="20"/>
        <v>6143.8</v>
      </c>
      <c r="DA159">
        <f t="shared" si="21"/>
        <v>7.13</v>
      </c>
      <c r="DB159">
        <f t="shared" si="22"/>
        <v>350.2</v>
      </c>
      <c r="DC159">
        <f t="shared" si="23"/>
        <v>0</v>
      </c>
    </row>
    <row r="160" spans="1:107" x14ac:dyDescent="0.2">
      <c r="A160">
        <f>ROW(Source!A81)</f>
        <v>81</v>
      </c>
      <c r="B160">
        <v>16630606</v>
      </c>
      <c r="C160">
        <v>16631463</v>
      </c>
      <c r="D160">
        <v>15167803</v>
      </c>
      <c r="E160">
        <v>1</v>
      </c>
      <c r="F160">
        <v>1</v>
      </c>
      <c r="G160">
        <v>1</v>
      </c>
      <c r="H160">
        <v>3</v>
      </c>
      <c r="I160" t="s">
        <v>1308</v>
      </c>
      <c r="J160" t="s">
        <v>1309</v>
      </c>
      <c r="K160" t="s">
        <v>1310</v>
      </c>
      <c r="L160">
        <v>1348</v>
      </c>
      <c r="N160">
        <v>1009</v>
      </c>
      <c r="O160" t="s">
        <v>98</v>
      </c>
      <c r="P160" t="s">
        <v>98</v>
      </c>
      <c r="Q160">
        <v>1000</v>
      </c>
      <c r="W160">
        <v>0</v>
      </c>
      <c r="X160">
        <v>-956606579</v>
      </c>
      <c r="Y160">
        <v>0.125</v>
      </c>
      <c r="AA160">
        <v>4911.1400000000003</v>
      </c>
      <c r="AB160">
        <v>0</v>
      </c>
      <c r="AC160">
        <v>0</v>
      </c>
      <c r="AD160">
        <v>0</v>
      </c>
      <c r="AE160">
        <v>688.8</v>
      </c>
      <c r="AF160">
        <v>0</v>
      </c>
      <c r="AG160">
        <v>0</v>
      </c>
      <c r="AH160">
        <v>0</v>
      </c>
      <c r="AI160">
        <v>7.13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6</v>
      </c>
      <c r="AT160">
        <v>0.125</v>
      </c>
      <c r="AU160" t="s">
        <v>6</v>
      </c>
      <c r="AV160">
        <v>0</v>
      </c>
      <c r="AW160">
        <v>2</v>
      </c>
      <c r="AX160">
        <v>16631486</v>
      </c>
      <c r="AY160">
        <v>1</v>
      </c>
      <c r="AZ160">
        <v>0</v>
      </c>
      <c r="BA160">
        <v>168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Y160*Source!I81</f>
        <v>4.8675000000000003E-2</v>
      </c>
      <c r="CY160">
        <f t="shared" si="19"/>
        <v>4911.1400000000003</v>
      </c>
      <c r="CZ160">
        <f t="shared" si="20"/>
        <v>688.8</v>
      </c>
      <c r="DA160">
        <f t="shared" si="21"/>
        <v>7.13</v>
      </c>
      <c r="DB160">
        <f t="shared" si="22"/>
        <v>86.1</v>
      </c>
      <c r="DC160">
        <f t="shared" si="23"/>
        <v>0</v>
      </c>
    </row>
    <row r="161" spans="1:107" x14ac:dyDescent="0.2">
      <c r="A161">
        <f>ROW(Source!A81)</f>
        <v>81</v>
      </c>
      <c r="B161">
        <v>16630606</v>
      </c>
      <c r="C161">
        <v>16631463</v>
      </c>
      <c r="D161">
        <v>15171018</v>
      </c>
      <c r="E161">
        <v>1</v>
      </c>
      <c r="F161">
        <v>1</v>
      </c>
      <c r="G161">
        <v>1</v>
      </c>
      <c r="H161">
        <v>3</v>
      </c>
      <c r="I161" t="s">
        <v>1204</v>
      </c>
      <c r="J161" t="s">
        <v>1205</v>
      </c>
      <c r="K161" t="s">
        <v>1206</v>
      </c>
      <c r="L161">
        <v>1346</v>
      </c>
      <c r="N161">
        <v>1009</v>
      </c>
      <c r="O161" t="s">
        <v>102</v>
      </c>
      <c r="P161" t="s">
        <v>102</v>
      </c>
      <c r="Q161">
        <v>1</v>
      </c>
      <c r="W161">
        <v>0</v>
      </c>
      <c r="X161">
        <v>813963326</v>
      </c>
      <c r="Y161">
        <v>0.5</v>
      </c>
      <c r="AA161">
        <v>12.98</v>
      </c>
      <c r="AB161">
        <v>0</v>
      </c>
      <c r="AC161">
        <v>0</v>
      </c>
      <c r="AD161">
        <v>0</v>
      </c>
      <c r="AE161">
        <v>1.82</v>
      </c>
      <c r="AF161">
        <v>0</v>
      </c>
      <c r="AG161">
        <v>0</v>
      </c>
      <c r="AH161">
        <v>0</v>
      </c>
      <c r="AI161">
        <v>7.13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6</v>
      </c>
      <c r="AT161">
        <v>0.5</v>
      </c>
      <c r="AU161" t="s">
        <v>6</v>
      </c>
      <c r="AV161">
        <v>0</v>
      </c>
      <c r="AW161">
        <v>2</v>
      </c>
      <c r="AX161">
        <v>16631487</v>
      </c>
      <c r="AY161">
        <v>1</v>
      </c>
      <c r="AZ161">
        <v>0</v>
      </c>
      <c r="BA161">
        <v>169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Y161*Source!I81</f>
        <v>0.19470000000000001</v>
      </c>
      <c r="CY161">
        <f t="shared" si="19"/>
        <v>12.98</v>
      </c>
      <c r="CZ161">
        <f t="shared" si="20"/>
        <v>1.82</v>
      </c>
      <c r="DA161">
        <f t="shared" si="21"/>
        <v>7.13</v>
      </c>
      <c r="DB161">
        <f t="shared" si="22"/>
        <v>0.91</v>
      </c>
      <c r="DC161">
        <f t="shared" si="23"/>
        <v>0</v>
      </c>
    </row>
    <row r="162" spans="1:107" x14ac:dyDescent="0.2">
      <c r="A162">
        <f>ROW(Source!A82)</f>
        <v>82</v>
      </c>
      <c r="B162">
        <v>16630606</v>
      </c>
      <c r="C162">
        <v>16631488</v>
      </c>
      <c r="D162">
        <v>15435721</v>
      </c>
      <c r="E162">
        <v>1</v>
      </c>
      <c r="F162">
        <v>1</v>
      </c>
      <c r="G162">
        <v>1</v>
      </c>
      <c r="H162">
        <v>1</v>
      </c>
      <c r="I162" t="s">
        <v>1311</v>
      </c>
      <c r="J162" t="s">
        <v>6</v>
      </c>
      <c r="K162" t="s">
        <v>1312</v>
      </c>
      <c r="L162">
        <v>1191</v>
      </c>
      <c r="N162">
        <v>1013</v>
      </c>
      <c r="O162" t="s">
        <v>1148</v>
      </c>
      <c r="P162" t="s">
        <v>1148</v>
      </c>
      <c r="Q162">
        <v>1</v>
      </c>
      <c r="W162">
        <v>0</v>
      </c>
      <c r="X162">
        <v>1983201532</v>
      </c>
      <c r="Y162">
        <v>24.38</v>
      </c>
      <c r="AA162">
        <v>0</v>
      </c>
      <c r="AB162">
        <v>0</v>
      </c>
      <c r="AC162">
        <v>0</v>
      </c>
      <c r="AD162">
        <v>67.81</v>
      </c>
      <c r="AE162">
        <v>0</v>
      </c>
      <c r="AF162">
        <v>0</v>
      </c>
      <c r="AG162">
        <v>0</v>
      </c>
      <c r="AH162">
        <v>9.51</v>
      </c>
      <c r="AI162">
        <v>1</v>
      </c>
      <c r="AJ162">
        <v>1</v>
      </c>
      <c r="AK162">
        <v>1</v>
      </c>
      <c r="AL162">
        <v>7.13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6</v>
      </c>
      <c r="AT162">
        <v>21.2</v>
      </c>
      <c r="AU162" t="s">
        <v>82</v>
      </c>
      <c r="AV162">
        <v>1</v>
      </c>
      <c r="AW162">
        <v>2</v>
      </c>
      <c r="AX162">
        <v>16631497</v>
      </c>
      <c r="AY162">
        <v>1</v>
      </c>
      <c r="AZ162">
        <v>0</v>
      </c>
      <c r="BA162">
        <v>170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Y162*Source!I82</f>
        <v>5.1344279999999998</v>
      </c>
      <c r="CY162">
        <f>AD162</f>
        <v>67.81</v>
      </c>
      <c r="CZ162">
        <f>AH162</f>
        <v>9.51</v>
      </c>
      <c r="DA162">
        <f>AL162</f>
        <v>7.13</v>
      </c>
      <c r="DB162">
        <f>ROUND((ROUND(AT162*CZ162,2)*1.15),2)</f>
        <v>231.85</v>
      </c>
      <c r="DC162">
        <f>ROUND((ROUND(AT162*AG162,2)*1.15),2)</f>
        <v>0</v>
      </c>
    </row>
    <row r="163" spans="1:107" x14ac:dyDescent="0.2">
      <c r="A163">
        <f>ROW(Source!A82)</f>
        <v>82</v>
      </c>
      <c r="B163">
        <v>16630606</v>
      </c>
      <c r="C163">
        <v>16631488</v>
      </c>
      <c r="D163">
        <v>15430395</v>
      </c>
      <c r="E163">
        <v>1</v>
      </c>
      <c r="F163">
        <v>1</v>
      </c>
      <c r="G163">
        <v>1</v>
      </c>
      <c r="H163">
        <v>1</v>
      </c>
      <c r="I163" t="s">
        <v>1149</v>
      </c>
      <c r="J163" t="s">
        <v>6</v>
      </c>
      <c r="K163" t="s">
        <v>1150</v>
      </c>
      <c r="L163">
        <v>1191</v>
      </c>
      <c r="N163">
        <v>1013</v>
      </c>
      <c r="O163" t="s">
        <v>1148</v>
      </c>
      <c r="P163" t="s">
        <v>1148</v>
      </c>
      <c r="Q163">
        <v>1</v>
      </c>
      <c r="W163">
        <v>0</v>
      </c>
      <c r="X163">
        <v>-1417349443</v>
      </c>
      <c r="Y163">
        <v>0.2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7.13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6</v>
      </c>
      <c r="AT163">
        <v>0.2</v>
      </c>
      <c r="AU163" t="s">
        <v>6</v>
      </c>
      <c r="AV163">
        <v>2</v>
      </c>
      <c r="AW163">
        <v>2</v>
      </c>
      <c r="AX163">
        <v>16631498</v>
      </c>
      <c r="AY163">
        <v>1</v>
      </c>
      <c r="AZ163">
        <v>2048</v>
      </c>
      <c r="BA163">
        <v>171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Y163*Source!I82</f>
        <v>4.2120000000000005E-2</v>
      </c>
      <c r="CY163">
        <f>AD163</f>
        <v>0</v>
      </c>
      <c r="CZ163">
        <f>AH163</f>
        <v>0</v>
      </c>
      <c r="DA163">
        <f>AL163</f>
        <v>1</v>
      </c>
      <c r="DB163">
        <f>ROUND(ROUND(AT163*CZ163,2),2)</f>
        <v>0</v>
      </c>
      <c r="DC163">
        <f>ROUND(ROUND(AT163*AG163,2),2)</f>
        <v>0</v>
      </c>
    </row>
    <row r="164" spans="1:107" x14ac:dyDescent="0.2">
      <c r="A164">
        <f>ROW(Source!A82)</f>
        <v>82</v>
      </c>
      <c r="B164">
        <v>16630606</v>
      </c>
      <c r="C164">
        <v>16631488</v>
      </c>
      <c r="D164">
        <v>15248306</v>
      </c>
      <c r="E164">
        <v>1</v>
      </c>
      <c r="F164">
        <v>1</v>
      </c>
      <c r="G164">
        <v>1</v>
      </c>
      <c r="H164">
        <v>2</v>
      </c>
      <c r="I164" t="s">
        <v>1290</v>
      </c>
      <c r="J164" t="s">
        <v>1291</v>
      </c>
      <c r="K164" t="s">
        <v>1292</v>
      </c>
      <c r="L164">
        <v>1368</v>
      </c>
      <c r="N164">
        <v>1011</v>
      </c>
      <c r="O164" t="s">
        <v>1154</v>
      </c>
      <c r="P164" t="s">
        <v>1154</v>
      </c>
      <c r="Q164">
        <v>1</v>
      </c>
      <c r="W164">
        <v>0</v>
      </c>
      <c r="X164">
        <v>520357435</v>
      </c>
      <c r="Y164">
        <v>2.4375</v>
      </c>
      <c r="AA164">
        <v>0</v>
      </c>
      <c r="AB164">
        <v>213.9</v>
      </c>
      <c r="AC164">
        <v>0</v>
      </c>
      <c r="AD164">
        <v>0</v>
      </c>
      <c r="AE164">
        <v>0</v>
      </c>
      <c r="AF164">
        <v>30</v>
      </c>
      <c r="AG164">
        <v>0</v>
      </c>
      <c r="AH164">
        <v>0</v>
      </c>
      <c r="AI164">
        <v>1</v>
      </c>
      <c r="AJ164">
        <v>7.13</v>
      </c>
      <c r="AK164">
        <v>1</v>
      </c>
      <c r="AL164">
        <v>1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6</v>
      </c>
      <c r="AT164">
        <v>1.95</v>
      </c>
      <c r="AU164" t="s">
        <v>81</v>
      </c>
      <c r="AV164">
        <v>0</v>
      </c>
      <c r="AW164">
        <v>2</v>
      </c>
      <c r="AX164">
        <v>16631499</v>
      </c>
      <c r="AY164">
        <v>1</v>
      </c>
      <c r="AZ164">
        <v>0</v>
      </c>
      <c r="BA164">
        <v>172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Y164*Source!I82</f>
        <v>0.5133375</v>
      </c>
      <c r="CY164">
        <f>AB164</f>
        <v>213.9</v>
      </c>
      <c r="CZ164">
        <f>AF164</f>
        <v>30</v>
      </c>
      <c r="DA164">
        <f>AJ164</f>
        <v>7.13</v>
      </c>
      <c r="DB164">
        <f>ROUND((ROUND(AT164*CZ164,2)*1.25),2)</f>
        <v>73.13</v>
      </c>
      <c r="DC164">
        <f>ROUND((ROUND(AT164*AG164,2)*1.25),2)</f>
        <v>0</v>
      </c>
    </row>
    <row r="165" spans="1:107" x14ac:dyDescent="0.2">
      <c r="A165">
        <f>ROW(Source!A82)</f>
        <v>82</v>
      </c>
      <c r="B165">
        <v>16630606</v>
      </c>
      <c r="C165">
        <v>16631488</v>
      </c>
      <c r="D165">
        <v>15249073</v>
      </c>
      <c r="E165">
        <v>1</v>
      </c>
      <c r="F165">
        <v>1</v>
      </c>
      <c r="G165">
        <v>1</v>
      </c>
      <c r="H165">
        <v>2</v>
      </c>
      <c r="I165" t="s">
        <v>1157</v>
      </c>
      <c r="J165" t="s">
        <v>1158</v>
      </c>
      <c r="K165" t="s">
        <v>1159</v>
      </c>
      <c r="L165">
        <v>1368</v>
      </c>
      <c r="N165">
        <v>1011</v>
      </c>
      <c r="O165" t="s">
        <v>1154</v>
      </c>
      <c r="P165" t="s">
        <v>1154</v>
      </c>
      <c r="Q165">
        <v>1</v>
      </c>
      <c r="W165">
        <v>0</v>
      </c>
      <c r="X165">
        <v>1372534845</v>
      </c>
      <c r="Y165">
        <v>0.25</v>
      </c>
      <c r="AA165">
        <v>0</v>
      </c>
      <c r="AB165">
        <v>468.51</v>
      </c>
      <c r="AC165">
        <v>11.6</v>
      </c>
      <c r="AD165">
        <v>0</v>
      </c>
      <c r="AE165">
        <v>0</v>
      </c>
      <c r="AF165">
        <v>65.709999999999994</v>
      </c>
      <c r="AG165">
        <v>11.6</v>
      </c>
      <c r="AH165">
        <v>0</v>
      </c>
      <c r="AI165">
        <v>1</v>
      </c>
      <c r="AJ165">
        <v>7.13</v>
      </c>
      <c r="AK165">
        <v>1</v>
      </c>
      <c r="AL165">
        <v>1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6</v>
      </c>
      <c r="AT165">
        <v>0.2</v>
      </c>
      <c r="AU165" t="s">
        <v>81</v>
      </c>
      <c r="AV165">
        <v>0</v>
      </c>
      <c r="AW165">
        <v>2</v>
      </c>
      <c r="AX165">
        <v>16631500</v>
      </c>
      <c r="AY165">
        <v>1</v>
      </c>
      <c r="AZ165">
        <v>0</v>
      </c>
      <c r="BA165">
        <v>173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Y165*Source!I82</f>
        <v>5.2650000000000002E-2</v>
      </c>
      <c r="CY165">
        <f>AB165</f>
        <v>468.51</v>
      </c>
      <c r="CZ165">
        <f>AF165</f>
        <v>65.709999999999994</v>
      </c>
      <c r="DA165">
        <f>AJ165</f>
        <v>7.13</v>
      </c>
      <c r="DB165">
        <f>ROUND((ROUND(AT165*CZ165,2)*1.25),2)</f>
        <v>16.43</v>
      </c>
      <c r="DC165">
        <f>ROUND((ROUND(AT165*AG165,2)*1.25),2)</f>
        <v>2.9</v>
      </c>
    </row>
    <row r="166" spans="1:107" x14ac:dyDescent="0.2">
      <c r="A166">
        <f>ROW(Source!A82)</f>
        <v>82</v>
      </c>
      <c r="B166">
        <v>16630606</v>
      </c>
      <c r="C166">
        <v>16631488</v>
      </c>
      <c r="D166">
        <v>15165348</v>
      </c>
      <c r="E166">
        <v>1</v>
      </c>
      <c r="F166">
        <v>1</v>
      </c>
      <c r="G166">
        <v>1</v>
      </c>
      <c r="H166">
        <v>3</v>
      </c>
      <c r="I166" t="s">
        <v>1302</v>
      </c>
      <c r="J166" t="s">
        <v>1303</v>
      </c>
      <c r="K166" t="s">
        <v>1304</v>
      </c>
      <c r="L166">
        <v>1348</v>
      </c>
      <c r="N166">
        <v>1009</v>
      </c>
      <c r="O166" t="s">
        <v>98</v>
      </c>
      <c r="P166" t="s">
        <v>98</v>
      </c>
      <c r="Q166">
        <v>1000</v>
      </c>
      <c r="W166">
        <v>0</v>
      </c>
      <c r="X166">
        <v>110322092</v>
      </c>
      <c r="Y166">
        <v>1.6E-2</v>
      </c>
      <c r="AA166">
        <v>9861.5</v>
      </c>
      <c r="AB166">
        <v>0</v>
      </c>
      <c r="AC166">
        <v>0</v>
      </c>
      <c r="AD166">
        <v>0</v>
      </c>
      <c r="AE166">
        <v>1383.1</v>
      </c>
      <c r="AF166">
        <v>0</v>
      </c>
      <c r="AG166">
        <v>0</v>
      </c>
      <c r="AH166">
        <v>0</v>
      </c>
      <c r="AI166">
        <v>7.13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6</v>
      </c>
      <c r="AT166">
        <v>1.6E-2</v>
      </c>
      <c r="AU166" t="s">
        <v>6</v>
      </c>
      <c r="AV166">
        <v>0</v>
      </c>
      <c r="AW166">
        <v>2</v>
      </c>
      <c r="AX166">
        <v>16631501</v>
      </c>
      <c r="AY166">
        <v>1</v>
      </c>
      <c r="AZ166">
        <v>0</v>
      </c>
      <c r="BA166">
        <v>174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Y166*Source!I82</f>
        <v>3.3696000000000004E-3</v>
      </c>
      <c r="CY166">
        <f>AA166</f>
        <v>9861.5</v>
      </c>
      <c r="CZ166">
        <f>AE166</f>
        <v>1383.1</v>
      </c>
      <c r="DA166">
        <f>AI166</f>
        <v>7.13</v>
      </c>
      <c r="DB166">
        <f>ROUND(ROUND(AT166*CZ166,2),2)</f>
        <v>22.13</v>
      </c>
      <c r="DC166">
        <f>ROUND(ROUND(AT166*AG166,2),2)</f>
        <v>0</v>
      </c>
    </row>
    <row r="167" spans="1:107" x14ac:dyDescent="0.2">
      <c r="A167">
        <f>ROW(Source!A82)</f>
        <v>82</v>
      </c>
      <c r="B167">
        <v>16630606</v>
      </c>
      <c r="C167">
        <v>16631488</v>
      </c>
      <c r="D167">
        <v>15165390</v>
      </c>
      <c r="E167">
        <v>1</v>
      </c>
      <c r="F167">
        <v>1</v>
      </c>
      <c r="G167">
        <v>1</v>
      </c>
      <c r="H167">
        <v>3</v>
      </c>
      <c r="I167" t="s">
        <v>1313</v>
      </c>
      <c r="J167" t="s">
        <v>1314</v>
      </c>
      <c r="K167" t="s">
        <v>1315</v>
      </c>
      <c r="L167">
        <v>1348</v>
      </c>
      <c r="N167">
        <v>1009</v>
      </c>
      <c r="O167" t="s">
        <v>98</v>
      </c>
      <c r="P167" t="s">
        <v>98</v>
      </c>
      <c r="Q167">
        <v>1000</v>
      </c>
      <c r="W167">
        <v>0</v>
      </c>
      <c r="X167">
        <v>-967072784</v>
      </c>
      <c r="Y167">
        <v>0.24</v>
      </c>
      <c r="AA167">
        <v>24170.7</v>
      </c>
      <c r="AB167">
        <v>0</v>
      </c>
      <c r="AC167">
        <v>0</v>
      </c>
      <c r="AD167">
        <v>0</v>
      </c>
      <c r="AE167">
        <v>3390</v>
      </c>
      <c r="AF167">
        <v>0</v>
      </c>
      <c r="AG167">
        <v>0</v>
      </c>
      <c r="AH167">
        <v>0</v>
      </c>
      <c r="AI167">
        <v>7.13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6</v>
      </c>
      <c r="AT167">
        <v>0.24</v>
      </c>
      <c r="AU167" t="s">
        <v>6</v>
      </c>
      <c r="AV167">
        <v>0</v>
      </c>
      <c r="AW167">
        <v>2</v>
      </c>
      <c r="AX167">
        <v>16631502</v>
      </c>
      <c r="AY167">
        <v>1</v>
      </c>
      <c r="AZ167">
        <v>0</v>
      </c>
      <c r="BA167">
        <v>175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Y167*Source!I82</f>
        <v>5.0543999999999999E-2</v>
      </c>
      <c r="CY167">
        <f>AA167</f>
        <v>24170.7</v>
      </c>
      <c r="CZ167">
        <f>AE167</f>
        <v>3390</v>
      </c>
      <c r="DA167">
        <f>AI167</f>
        <v>7.13</v>
      </c>
      <c r="DB167">
        <f>ROUND(ROUND(AT167*CZ167,2),2)</f>
        <v>813.6</v>
      </c>
      <c r="DC167">
        <f>ROUND(ROUND(AT167*AG167,2),2)</f>
        <v>0</v>
      </c>
    </row>
    <row r="168" spans="1:107" x14ac:dyDescent="0.2">
      <c r="A168">
        <f>ROW(Source!A82)</f>
        <v>82</v>
      </c>
      <c r="B168">
        <v>16630606</v>
      </c>
      <c r="C168">
        <v>16631488</v>
      </c>
      <c r="D168">
        <v>15165541</v>
      </c>
      <c r="E168">
        <v>1</v>
      </c>
      <c r="F168">
        <v>1</v>
      </c>
      <c r="G168">
        <v>1</v>
      </c>
      <c r="H168">
        <v>3</v>
      </c>
      <c r="I168" t="s">
        <v>1316</v>
      </c>
      <c r="J168" t="s">
        <v>1317</v>
      </c>
      <c r="K168" t="s">
        <v>1318</v>
      </c>
      <c r="L168">
        <v>1348</v>
      </c>
      <c r="N168">
        <v>1009</v>
      </c>
      <c r="O168" t="s">
        <v>98</v>
      </c>
      <c r="P168" t="s">
        <v>98</v>
      </c>
      <c r="Q168">
        <v>1000</v>
      </c>
      <c r="W168">
        <v>0</v>
      </c>
      <c r="X168">
        <v>-1709508773</v>
      </c>
      <c r="Y168">
        <v>2.4E-2</v>
      </c>
      <c r="AA168">
        <v>18587.2</v>
      </c>
      <c r="AB168">
        <v>0</v>
      </c>
      <c r="AC168">
        <v>0</v>
      </c>
      <c r="AD168">
        <v>0</v>
      </c>
      <c r="AE168">
        <v>2606.9</v>
      </c>
      <c r="AF168">
        <v>0</v>
      </c>
      <c r="AG168">
        <v>0</v>
      </c>
      <c r="AH168">
        <v>0</v>
      </c>
      <c r="AI168">
        <v>7.13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6</v>
      </c>
      <c r="AT168">
        <v>2.4E-2</v>
      </c>
      <c r="AU168" t="s">
        <v>6</v>
      </c>
      <c r="AV168">
        <v>0</v>
      </c>
      <c r="AW168">
        <v>2</v>
      </c>
      <c r="AX168">
        <v>16631503</v>
      </c>
      <c r="AY168">
        <v>1</v>
      </c>
      <c r="AZ168">
        <v>0</v>
      </c>
      <c r="BA168">
        <v>176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Y168*Source!I82</f>
        <v>5.0544000000000006E-3</v>
      </c>
      <c r="CY168">
        <f>AA168</f>
        <v>18587.2</v>
      </c>
      <c r="CZ168">
        <f>AE168</f>
        <v>2606.9</v>
      </c>
      <c r="DA168">
        <f>AI168</f>
        <v>7.13</v>
      </c>
      <c r="DB168">
        <f>ROUND(ROUND(AT168*CZ168,2),2)</f>
        <v>62.57</v>
      </c>
      <c r="DC168">
        <f>ROUND(ROUND(AT168*AG168,2),2)</f>
        <v>0</v>
      </c>
    </row>
    <row r="169" spans="1:107" x14ac:dyDescent="0.2">
      <c r="A169">
        <f>ROW(Source!A82)</f>
        <v>82</v>
      </c>
      <c r="B169">
        <v>16630606</v>
      </c>
      <c r="C169">
        <v>16631488</v>
      </c>
      <c r="D169">
        <v>15171018</v>
      </c>
      <c r="E169">
        <v>1</v>
      </c>
      <c r="F169">
        <v>1</v>
      </c>
      <c r="G169">
        <v>1</v>
      </c>
      <c r="H169">
        <v>3</v>
      </c>
      <c r="I169" t="s">
        <v>1204</v>
      </c>
      <c r="J169" t="s">
        <v>1205</v>
      </c>
      <c r="K169" t="s">
        <v>1206</v>
      </c>
      <c r="L169">
        <v>1346</v>
      </c>
      <c r="N169">
        <v>1009</v>
      </c>
      <c r="O169" t="s">
        <v>102</v>
      </c>
      <c r="P169" t="s">
        <v>102</v>
      </c>
      <c r="Q169">
        <v>1</v>
      </c>
      <c r="W169">
        <v>0</v>
      </c>
      <c r="X169">
        <v>813963326</v>
      </c>
      <c r="Y169">
        <v>0.1</v>
      </c>
      <c r="AA169">
        <v>12.98</v>
      </c>
      <c r="AB169">
        <v>0</v>
      </c>
      <c r="AC169">
        <v>0</v>
      </c>
      <c r="AD169">
        <v>0</v>
      </c>
      <c r="AE169">
        <v>1.82</v>
      </c>
      <c r="AF169">
        <v>0</v>
      </c>
      <c r="AG169">
        <v>0</v>
      </c>
      <c r="AH169">
        <v>0</v>
      </c>
      <c r="AI169">
        <v>7.13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6</v>
      </c>
      <c r="AT169">
        <v>0.1</v>
      </c>
      <c r="AU169" t="s">
        <v>6</v>
      </c>
      <c r="AV169">
        <v>0</v>
      </c>
      <c r="AW169">
        <v>2</v>
      </c>
      <c r="AX169">
        <v>16631504</v>
      </c>
      <c r="AY169">
        <v>1</v>
      </c>
      <c r="AZ169">
        <v>0</v>
      </c>
      <c r="BA169">
        <v>177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Y169*Source!I82</f>
        <v>2.1060000000000002E-2</v>
      </c>
      <c r="CY169">
        <f>AA169</f>
        <v>12.98</v>
      </c>
      <c r="CZ169">
        <f>AE169</f>
        <v>1.82</v>
      </c>
      <c r="DA169">
        <f>AI169</f>
        <v>7.13</v>
      </c>
      <c r="DB169">
        <f>ROUND(ROUND(AT169*CZ169,2),2)</f>
        <v>0.18</v>
      </c>
      <c r="DC169">
        <f>ROUND(ROUND(AT169*AG169,2),2)</f>
        <v>0</v>
      </c>
    </row>
    <row r="170" spans="1:107" x14ac:dyDescent="0.2">
      <c r="A170">
        <f>ROW(Source!A83)</f>
        <v>83</v>
      </c>
      <c r="B170">
        <v>16630606</v>
      </c>
      <c r="C170">
        <v>16631505</v>
      </c>
      <c r="D170">
        <v>15432356</v>
      </c>
      <c r="E170">
        <v>1</v>
      </c>
      <c r="F170">
        <v>1</v>
      </c>
      <c r="G170">
        <v>1</v>
      </c>
      <c r="H170">
        <v>1</v>
      </c>
      <c r="I170" t="s">
        <v>1319</v>
      </c>
      <c r="J170" t="s">
        <v>6</v>
      </c>
      <c r="K170" t="s">
        <v>1320</v>
      </c>
      <c r="L170">
        <v>1191</v>
      </c>
      <c r="N170">
        <v>1013</v>
      </c>
      <c r="O170" t="s">
        <v>1148</v>
      </c>
      <c r="P170" t="s">
        <v>1148</v>
      </c>
      <c r="Q170">
        <v>1</v>
      </c>
      <c r="W170">
        <v>0</v>
      </c>
      <c r="X170">
        <v>1850719656</v>
      </c>
      <c r="Y170">
        <v>5.8074999999999992</v>
      </c>
      <c r="AA170">
        <v>0</v>
      </c>
      <c r="AB170">
        <v>0</v>
      </c>
      <c r="AC170">
        <v>0</v>
      </c>
      <c r="AD170">
        <v>59.25</v>
      </c>
      <c r="AE170">
        <v>0</v>
      </c>
      <c r="AF170">
        <v>0</v>
      </c>
      <c r="AG170">
        <v>0</v>
      </c>
      <c r="AH170">
        <v>8.31</v>
      </c>
      <c r="AI170">
        <v>1</v>
      </c>
      <c r="AJ170">
        <v>1</v>
      </c>
      <c r="AK170">
        <v>1</v>
      </c>
      <c r="AL170">
        <v>7.13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6</v>
      </c>
      <c r="AT170">
        <v>5.05</v>
      </c>
      <c r="AU170" t="s">
        <v>82</v>
      </c>
      <c r="AV170">
        <v>1</v>
      </c>
      <c r="AW170">
        <v>2</v>
      </c>
      <c r="AX170">
        <v>16631513</v>
      </c>
      <c r="AY170">
        <v>1</v>
      </c>
      <c r="AZ170">
        <v>0</v>
      </c>
      <c r="BA170">
        <v>178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Y170*Source!I83</f>
        <v>3.8910249999999995</v>
      </c>
      <c r="CY170">
        <f>AD170</f>
        <v>59.25</v>
      </c>
      <c r="CZ170">
        <f>AH170</f>
        <v>8.31</v>
      </c>
      <c r="DA170">
        <f>AL170</f>
        <v>7.13</v>
      </c>
      <c r="DB170">
        <f>ROUND((ROUND(AT170*CZ170,2)*1.15),2)</f>
        <v>48.27</v>
      </c>
      <c r="DC170">
        <f>ROUND((ROUND(AT170*AG170,2)*1.15),2)</f>
        <v>0</v>
      </c>
    </row>
    <row r="171" spans="1:107" x14ac:dyDescent="0.2">
      <c r="A171">
        <f>ROW(Source!A83)</f>
        <v>83</v>
      </c>
      <c r="B171">
        <v>16630606</v>
      </c>
      <c r="C171">
        <v>16631505</v>
      </c>
      <c r="D171">
        <v>15430395</v>
      </c>
      <c r="E171">
        <v>1</v>
      </c>
      <c r="F171">
        <v>1</v>
      </c>
      <c r="G171">
        <v>1</v>
      </c>
      <c r="H171">
        <v>1</v>
      </c>
      <c r="I171" t="s">
        <v>1149</v>
      </c>
      <c r="J171" t="s">
        <v>6</v>
      </c>
      <c r="K171" t="s">
        <v>1150</v>
      </c>
      <c r="L171">
        <v>1191</v>
      </c>
      <c r="N171">
        <v>1013</v>
      </c>
      <c r="O171" t="s">
        <v>1148</v>
      </c>
      <c r="P171" t="s">
        <v>1148</v>
      </c>
      <c r="Q171">
        <v>1</v>
      </c>
      <c r="W171">
        <v>0</v>
      </c>
      <c r="X171">
        <v>-1417349443</v>
      </c>
      <c r="Y171">
        <v>0.35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7.13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6</v>
      </c>
      <c r="AT171">
        <v>0.35</v>
      </c>
      <c r="AU171" t="s">
        <v>6</v>
      </c>
      <c r="AV171">
        <v>2</v>
      </c>
      <c r="AW171">
        <v>2</v>
      </c>
      <c r="AX171">
        <v>16631514</v>
      </c>
      <c r="AY171">
        <v>1</v>
      </c>
      <c r="AZ171">
        <v>2048</v>
      </c>
      <c r="BA171">
        <v>179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Y171*Source!I83</f>
        <v>0.23449999999999999</v>
      </c>
      <c r="CY171">
        <f>AD171</f>
        <v>0</v>
      </c>
      <c r="CZ171">
        <f>AH171</f>
        <v>0</v>
      </c>
      <c r="DA171">
        <f>AL171</f>
        <v>1</v>
      </c>
      <c r="DB171">
        <f>ROUND(ROUND(AT171*CZ171,2),2)</f>
        <v>0</v>
      </c>
      <c r="DC171">
        <f>ROUND(ROUND(AT171*AG171,2),2)</f>
        <v>0</v>
      </c>
    </row>
    <row r="172" spans="1:107" x14ac:dyDescent="0.2">
      <c r="A172">
        <f>ROW(Source!A83)</f>
        <v>83</v>
      </c>
      <c r="B172">
        <v>16630606</v>
      </c>
      <c r="C172">
        <v>16631505</v>
      </c>
      <c r="D172">
        <v>15247578</v>
      </c>
      <c r="E172">
        <v>1</v>
      </c>
      <c r="F172">
        <v>1</v>
      </c>
      <c r="G172">
        <v>1</v>
      </c>
      <c r="H172">
        <v>2</v>
      </c>
      <c r="I172" t="s">
        <v>1246</v>
      </c>
      <c r="J172" t="s">
        <v>1247</v>
      </c>
      <c r="K172" t="s">
        <v>1248</v>
      </c>
      <c r="L172">
        <v>1368</v>
      </c>
      <c r="N172">
        <v>1011</v>
      </c>
      <c r="O172" t="s">
        <v>1154</v>
      </c>
      <c r="P172" t="s">
        <v>1154</v>
      </c>
      <c r="Q172">
        <v>1</v>
      </c>
      <c r="W172">
        <v>0</v>
      </c>
      <c r="X172">
        <v>-1460065968</v>
      </c>
      <c r="Y172">
        <v>0.4375</v>
      </c>
      <c r="AA172">
        <v>0</v>
      </c>
      <c r="AB172">
        <v>616.03</v>
      </c>
      <c r="AC172">
        <v>13.5</v>
      </c>
      <c r="AD172">
        <v>0</v>
      </c>
      <c r="AE172">
        <v>0</v>
      </c>
      <c r="AF172">
        <v>86.4</v>
      </c>
      <c r="AG172">
        <v>13.5</v>
      </c>
      <c r="AH172">
        <v>0</v>
      </c>
      <c r="AI172">
        <v>1</v>
      </c>
      <c r="AJ172">
        <v>7.13</v>
      </c>
      <c r="AK172">
        <v>1</v>
      </c>
      <c r="AL172">
        <v>1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6</v>
      </c>
      <c r="AT172">
        <v>0.35</v>
      </c>
      <c r="AU172" t="s">
        <v>81</v>
      </c>
      <c r="AV172">
        <v>0</v>
      </c>
      <c r="AW172">
        <v>2</v>
      </c>
      <c r="AX172">
        <v>16631515</v>
      </c>
      <c r="AY172">
        <v>1</v>
      </c>
      <c r="AZ172">
        <v>0</v>
      </c>
      <c r="BA172">
        <v>180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Y172*Source!I83</f>
        <v>0.29312500000000002</v>
      </c>
      <c r="CY172">
        <f>AB172</f>
        <v>616.03</v>
      </c>
      <c r="CZ172">
        <f>AF172</f>
        <v>86.4</v>
      </c>
      <c r="DA172">
        <f>AJ172</f>
        <v>7.13</v>
      </c>
      <c r="DB172">
        <f>ROUND((ROUND(AT172*CZ172,2)*1.25),2)</f>
        <v>37.799999999999997</v>
      </c>
      <c r="DC172">
        <f>ROUND((ROUND(AT172*AG172,2)*1.25),2)</f>
        <v>5.91</v>
      </c>
    </row>
    <row r="173" spans="1:107" x14ac:dyDescent="0.2">
      <c r="A173">
        <f>ROW(Source!A83)</f>
        <v>83</v>
      </c>
      <c r="B173">
        <v>16630606</v>
      </c>
      <c r="C173">
        <v>16631505</v>
      </c>
      <c r="D173">
        <v>15167286</v>
      </c>
      <c r="E173">
        <v>1</v>
      </c>
      <c r="F173">
        <v>1</v>
      </c>
      <c r="G173">
        <v>1</v>
      </c>
      <c r="H173">
        <v>3</v>
      </c>
      <c r="I173" t="s">
        <v>1265</v>
      </c>
      <c r="J173" t="s">
        <v>1266</v>
      </c>
      <c r="K173" t="s">
        <v>1267</v>
      </c>
      <c r="L173">
        <v>1339</v>
      </c>
      <c r="N173">
        <v>1007</v>
      </c>
      <c r="O173" t="s">
        <v>203</v>
      </c>
      <c r="P173" t="s">
        <v>203</v>
      </c>
      <c r="Q173">
        <v>1</v>
      </c>
      <c r="W173">
        <v>0</v>
      </c>
      <c r="X173">
        <v>-1660354250</v>
      </c>
      <c r="Y173">
        <v>0.44</v>
      </c>
      <c r="AA173">
        <v>17.399999999999999</v>
      </c>
      <c r="AB173">
        <v>0</v>
      </c>
      <c r="AC173">
        <v>0</v>
      </c>
      <c r="AD173">
        <v>0</v>
      </c>
      <c r="AE173">
        <v>2.44</v>
      </c>
      <c r="AF173">
        <v>0</v>
      </c>
      <c r="AG173">
        <v>0</v>
      </c>
      <c r="AH173">
        <v>0</v>
      </c>
      <c r="AI173">
        <v>7.13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6</v>
      </c>
      <c r="AT173">
        <v>0.44</v>
      </c>
      <c r="AU173" t="s">
        <v>6</v>
      </c>
      <c r="AV173">
        <v>0</v>
      </c>
      <c r="AW173">
        <v>2</v>
      </c>
      <c r="AX173">
        <v>16631516</v>
      </c>
      <c r="AY173">
        <v>1</v>
      </c>
      <c r="AZ173">
        <v>0</v>
      </c>
      <c r="BA173">
        <v>181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Y173*Source!I83</f>
        <v>0.29480000000000001</v>
      </c>
      <c r="CY173">
        <f>AA173</f>
        <v>17.399999999999999</v>
      </c>
      <c r="CZ173">
        <f>AE173</f>
        <v>2.44</v>
      </c>
      <c r="DA173">
        <f>AI173</f>
        <v>7.13</v>
      </c>
      <c r="DB173">
        <f>ROUND(ROUND(AT173*CZ173,2),2)</f>
        <v>1.07</v>
      </c>
      <c r="DC173">
        <f>ROUND(ROUND(AT173*AG173,2),2)</f>
        <v>0</v>
      </c>
    </row>
    <row r="174" spans="1:107" x14ac:dyDescent="0.2">
      <c r="A174">
        <f>ROW(Source!A83)</f>
        <v>83</v>
      </c>
      <c r="B174">
        <v>16630606</v>
      </c>
      <c r="C174">
        <v>16631505</v>
      </c>
      <c r="D174">
        <v>15172868</v>
      </c>
      <c r="E174">
        <v>1</v>
      </c>
      <c r="F174">
        <v>1</v>
      </c>
      <c r="G174">
        <v>1</v>
      </c>
      <c r="H174">
        <v>3</v>
      </c>
      <c r="I174" t="s">
        <v>1321</v>
      </c>
      <c r="J174" t="s">
        <v>1322</v>
      </c>
      <c r="K174" t="s">
        <v>1323</v>
      </c>
      <c r="L174">
        <v>1339</v>
      </c>
      <c r="N174">
        <v>1007</v>
      </c>
      <c r="O174" t="s">
        <v>203</v>
      </c>
      <c r="P174" t="s">
        <v>203</v>
      </c>
      <c r="Q174">
        <v>1</v>
      </c>
      <c r="W174">
        <v>0</v>
      </c>
      <c r="X174">
        <v>-861814431</v>
      </c>
      <c r="Y174">
        <v>0.23400000000000001</v>
      </c>
      <c r="AA174">
        <v>3706.17</v>
      </c>
      <c r="AB174">
        <v>0</v>
      </c>
      <c r="AC174">
        <v>0</v>
      </c>
      <c r="AD174">
        <v>0</v>
      </c>
      <c r="AE174">
        <v>519.79999999999995</v>
      </c>
      <c r="AF174">
        <v>0</v>
      </c>
      <c r="AG174">
        <v>0</v>
      </c>
      <c r="AH174">
        <v>0</v>
      </c>
      <c r="AI174">
        <v>7.13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6</v>
      </c>
      <c r="AT174">
        <v>0.23400000000000001</v>
      </c>
      <c r="AU174" t="s">
        <v>6</v>
      </c>
      <c r="AV174">
        <v>0</v>
      </c>
      <c r="AW174">
        <v>2</v>
      </c>
      <c r="AX174">
        <v>16631517</v>
      </c>
      <c r="AY174">
        <v>1</v>
      </c>
      <c r="AZ174">
        <v>0</v>
      </c>
      <c r="BA174">
        <v>182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Y174*Source!I83</f>
        <v>0.15678000000000003</v>
      </c>
      <c r="CY174">
        <f>AA174</f>
        <v>3706.17</v>
      </c>
      <c r="CZ174">
        <f>AE174</f>
        <v>519.79999999999995</v>
      </c>
      <c r="DA174">
        <f>AI174</f>
        <v>7.13</v>
      </c>
      <c r="DB174">
        <f>ROUND(ROUND(AT174*CZ174,2),2)</f>
        <v>121.63</v>
      </c>
      <c r="DC174">
        <f>ROUND(ROUND(AT174*AG174,2),2)</f>
        <v>0</v>
      </c>
    </row>
    <row r="175" spans="1:107" x14ac:dyDescent="0.2">
      <c r="A175">
        <f>ROW(Source!A83)</f>
        <v>83</v>
      </c>
      <c r="B175">
        <v>16630606</v>
      </c>
      <c r="C175">
        <v>16631505</v>
      </c>
      <c r="D175">
        <v>15186886</v>
      </c>
      <c r="E175">
        <v>1</v>
      </c>
      <c r="F175">
        <v>1</v>
      </c>
      <c r="G175">
        <v>1</v>
      </c>
      <c r="H175">
        <v>3</v>
      </c>
      <c r="I175" t="s">
        <v>276</v>
      </c>
      <c r="J175" t="s">
        <v>279</v>
      </c>
      <c r="K175" t="s">
        <v>277</v>
      </c>
      <c r="L175">
        <v>1356</v>
      </c>
      <c r="N175">
        <v>1010</v>
      </c>
      <c r="O175" t="s">
        <v>278</v>
      </c>
      <c r="P175" t="s">
        <v>278</v>
      </c>
      <c r="Q175">
        <v>1000</v>
      </c>
      <c r="W175">
        <v>0</v>
      </c>
      <c r="X175">
        <v>1593203468</v>
      </c>
      <c r="Y175">
        <v>0.39500000000000002</v>
      </c>
      <c r="AA175">
        <v>13422.8</v>
      </c>
      <c r="AB175">
        <v>0</v>
      </c>
      <c r="AC175">
        <v>0</v>
      </c>
      <c r="AD175">
        <v>0</v>
      </c>
      <c r="AE175">
        <v>1882.58</v>
      </c>
      <c r="AF175">
        <v>0</v>
      </c>
      <c r="AG175">
        <v>0</v>
      </c>
      <c r="AH175">
        <v>0</v>
      </c>
      <c r="AI175">
        <v>7.13</v>
      </c>
      <c r="AJ175">
        <v>1</v>
      </c>
      <c r="AK175">
        <v>1</v>
      </c>
      <c r="AL175">
        <v>1</v>
      </c>
      <c r="AN175">
        <v>0</v>
      </c>
      <c r="AO175">
        <v>0</v>
      </c>
      <c r="AP175">
        <v>0</v>
      </c>
      <c r="AQ175">
        <v>0</v>
      </c>
      <c r="AR175">
        <v>0</v>
      </c>
      <c r="AS175" t="s">
        <v>6</v>
      </c>
      <c r="AT175">
        <v>0.39500000000000002</v>
      </c>
      <c r="AU175" t="s">
        <v>6</v>
      </c>
      <c r="AV175">
        <v>0</v>
      </c>
      <c r="AW175">
        <v>1</v>
      </c>
      <c r="AX175">
        <v>-1</v>
      </c>
      <c r="AY175">
        <v>0</v>
      </c>
      <c r="AZ175">
        <v>0</v>
      </c>
      <c r="BA175" t="s">
        <v>6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Y175*Source!I83</f>
        <v>0.26465000000000005</v>
      </c>
      <c r="CY175">
        <f>AA175</f>
        <v>13422.8</v>
      </c>
      <c r="CZ175">
        <f>AE175</f>
        <v>1882.58</v>
      </c>
      <c r="DA175">
        <f>AI175</f>
        <v>7.13</v>
      </c>
      <c r="DB175">
        <f>ROUND(ROUND(AT175*CZ175,2),2)</f>
        <v>743.62</v>
      </c>
      <c r="DC175">
        <f>ROUND(ROUND(AT175*AG175,2),2)</f>
        <v>0</v>
      </c>
    </row>
    <row r="176" spans="1:107" x14ac:dyDescent="0.2">
      <c r="A176">
        <f>ROW(Source!A83)</f>
        <v>83</v>
      </c>
      <c r="B176">
        <v>16630606</v>
      </c>
      <c r="C176">
        <v>16631505</v>
      </c>
      <c r="D176">
        <v>15195823</v>
      </c>
      <c r="E176">
        <v>1</v>
      </c>
      <c r="F176">
        <v>1</v>
      </c>
      <c r="G176">
        <v>1</v>
      </c>
      <c r="H176">
        <v>3</v>
      </c>
      <c r="I176" t="s">
        <v>1324</v>
      </c>
      <c r="J176" t="s">
        <v>1325</v>
      </c>
      <c r="K176" t="s">
        <v>1326</v>
      </c>
      <c r="L176">
        <v>1339</v>
      </c>
      <c r="N176">
        <v>1007</v>
      </c>
      <c r="O176" t="s">
        <v>203</v>
      </c>
      <c r="P176" t="s">
        <v>203</v>
      </c>
      <c r="Q176">
        <v>1</v>
      </c>
      <c r="W176">
        <v>0</v>
      </c>
      <c r="X176">
        <v>1443343806</v>
      </c>
      <c r="Y176">
        <v>5.0000000000000001E-4</v>
      </c>
      <c r="AA176">
        <v>7529.28</v>
      </c>
      <c r="AB176">
        <v>0</v>
      </c>
      <c r="AC176">
        <v>0</v>
      </c>
      <c r="AD176">
        <v>0</v>
      </c>
      <c r="AE176">
        <v>1056</v>
      </c>
      <c r="AF176">
        <v>0</v>
      </c>
      <c r="AG176">
        <v>0</v>
      </c>
      <c r="AH176">
        <v>0</v>
      </c>
      <c r="AI176">
        <v>7.13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6</v>
      </c>
      <c r="AT176">
        <v>5.0000000000000001E-4</v>
      </c>
      <c r="AU176" t="s">
        <v>6</v>
      </c>
      <c r="AV176">
        <v>0</v>
      </c>
      <c r="AW176">
        <v>2</v>
      </c>
      <c r="AX176">
        <v>16631519</v>
      </c>
      <c r="AY176">
        <v>1</v>
      </c>
      <c r="AZ176">
        <v>0</v>
      </c>
      <c r="BA176">
        <v>184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Y176*Source!I83</f>
        <v>3.3500000000000001E-4</v>
      </c>
      <c r="CY176">
        <f>AA176</f>
        <v>7529.28</v>
      </c>
      <c r="CZ176">
        <f>AE176</f>
        <v>1056</v>
      </c>
      <c r="DA176">
        <f>AI176</f>
        <v>7.13</v>
      </c>
      <c r="DB176">
        <f>ROUND(ROUND(AT176*CZ176,2),2)</f>
        <v>0.53</v>
      </c>
      <c r="DC176">
        <f>ROUND(ROUND(AT176*AG176,2),2)</f>
        <v>0</v>
      </c>
    </row>
    <row r="177" spans="1:107" x14ac:dyDescent="0.2">
      <c r="A177">
        <f>ROW(Source!A85)</f>
        <v>85</v>
      </c>
      <c r="B177">
        <v>16630606</v>
      </c>
      <c r="C177">
        <v>16631521</v>
      </c>
      <c r="D177">
        <v>15432356</v>
      </c>
      <c r="E177">
        <v>1</v>
      </c>
      <c r="F177">
        <v>1</v>
      </c>
      <c r="G177">
        <v>1</v>
      </c>
      <c r="H177">
        <v>1</v>
      </c>
      <c r="I177" t="s">
        <v>1319</v>
      </c>
      <c r="J177" t="s">
        <v>6</v>
      </c>
      <c r="K177" t="s">
        <v>1320</v>
      </c>
      <c r="L177">
        <v>1191</v>
      </c>
      <c r="N177">
        <v>1013</v>
      </c>
      <c r="O177" t="s">
        <v>1148</v>
      </c>
      <c r="P177" t="s">
        <v>1148</v>
      </c>
      <c r="Q177">
        <v>1</v>
      </c>
      <c r="W177">
        <v>0</v>
      </c>
      <c r="X177">
        <v>1850719656</v>
      </c>
      <c r="Y177">
        <v>36.121499999999997</v>
      </c>
      <c r="AA177">
        <v>0</v>
      </c>
      <c r="AB177">
        <v>0</v>
      </c>
      <c r="AC177">
        <v>0</v>
      </c>
      <c r="AD177">
        <v>59.25</v>
      </c>
      <c r="AE177">
        <v>0</v>
      </c>
      <c r="AF177">
        <v>0</v>
      </c>
      <c r="AG177">
        <v>0</v>
      </c>
      <c r="AH177">
        <v>8.31</v>
      </c>
      <c r="AI177">
        <v>1</v>
      </c>
      <c r="AJ177">
        <v>1</v>
      </c>
      <c r="AK177">
        <v>1</v>
      </c>
      <c r="AL177">
        <v>7.13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6</v>
      </c>
      <c r="AT177">
        <v>31.41</v>
      </c>
      <c r="AU177" t="s">
        <v>82</v>
      </c>
      <c r="AV177">
        <v>1</v>
      </c>
      <c r="AW177">
        <v>2</v>
      </c>
      <c r="AX177">
        <v>16631529</v>
      </c>
      <c r="AY177">
        <v>1</v>
      </c>
      <c r="AZ177">
        <v>0</v>
      </c>
      <c r="BA177">
        <v>185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Y177*Source!I85</f>
        <v>69.606130499999992</v>
      </c>
      <c r="CY177">
        <f>AD177</f>
        <v>59.25</v>
      </c>
      <c r="CZ177">
        <f>AH177</f>
        <v>8.31</v>
      </c>
      <c r="DA177">
        <f>AL177</f>
        <v>7.13</v>
      </c>
      <c r="DB177">
        <f>ROUND((ROUND(AT177*CZ177,2)*1.15),2)</f>
        <v>300.17</v>
      </c>
      <c r="DC177">
        <f>ROUND((ROUND(AT177*AG177,2)*1.15),2)</f>
        <v>0</v>
      </c>
    </row>
    <row r="178" spans="1:107" x14ac:dyDescent="0.2">
      <c r="A178">
        <f>ROW(Source!A85)</f>
        <v>85</v>
      </c>
      <c r="B178">
        <v>16630606</v>
      </c>
      <c r="C178">
        <v>16631521</v>
      </c>
      <c r="D178">
        <v>15430395</v>
      </c>
      <c r="E178">
        <v>1</v>
      </c>
      <c r="F178">
        <v>1</v>
      </c>
      <c r="G178">
        <v>1</v>
      </c>
      <c r="H178">
        <v>1</v>
      </c>
      <c r="I178" t="s">
        <v>1149</v>
      </c>
      <c r="J178" t="s">
        <v>6</v>
      </c>
      <c r="K178" t="s">
        <v>1150</v>
      </c>
      <c r="L178">
        <v>1191</v>
      </c>
      <c r="N178">
        <v>1013</v>
      </c>
      <c r="O178" t="s">
        <v>1148</v>
      </c>
      <c r="P178" t="s">
        <v>1148</v>
      </c>
      <c r="Q178">
        <v>1</v>
      </c>
      <c r="W178">
        <v>0</v>
      </c>
      <c r="X178">
        <v>-1417349443</v>
      </c>
      <c r="Y178">
        <v>0.82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1</v>
      </c>
      <c r="AJ178">
        <v>1</v>
      </c>
      <c r="AK178">
        <v>7.13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6</v>
      </c>
      <c r="AT178">
        <v>0.82</v>
      </c>
      <c r="AU178" t="s">
        <v>6</v>
      </c>
      <c r="AV178">
        <v>2</v>
      </c>
      <c r="AW178">
        <v>2</v>
      </c>
      <c r="AX178">
        <v>16631530</v>
      </c>
      <c r="AY178">
        <v>1</v>
      </c>
      <c r="AZ178">
        <v>2048</v>
      </c>
      <c r="BA178">
        <v>186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Y178*Source!I85</f>
        <v>1.5801399999999999</v>
      </c>
      <c r="CY178">
        <f>AD178</f>
        <v>0</v>
      </c>
      <c r="CZ178">
        <f>AH178</f>
        <v>0</v>
      </c>
      <c r="DA178">
        <f>AL178</f>
        <v>1</v>
      </c>
      <c r="DB178">
        <f>ROUND(ROUND(AT178*CZ178,2),2)</f>
        <v>0</v>
      </c>
      <c r="DC178">
        <f>ROUND(ROUND(AT178*AG178,2),2)</f>
        <v>0</v>
      </c>
    </row>
    <row r="179" spans="1:107" x14ac:dyDescent="0.2">
      <c r="A179">
        <f>ROW(Source!A85)</f>
        <v>85</v>
      </c>
      <c r="B179">
        <v>16630606</v>
      </c>
      <c r="C179">
        <v>16631521</v>
      </c>
      <c r="D179">
        <v>15247974</v>
      </c>
      <c r="E179">
        <v>1</v>
      </c>
      <c r="F179">
        <v>1</v>
      </c>
      <c r="G179">
        <v>1</v>
      </c>
      <c r="H179">
        <v>2</v>
      </c>
      <c r="I179" t="s">
        <v>1151</v>
      </c>
      <c r="J179" t="s">
        <v>1152</v>
      </c>
      <c r="K179" t="s">
        <v>1153</v>
      </c>
      <c r="L179">
        <v>1368</v>
      </c>
      <c r="N179">
        <v>1011</v>
      </c>
      <c r="O179" t="s">
        <v>1154</v>
      </c>
      <c r="P179" t="s">
        <v>1154</v>
      </c>
      <c r="Q179">
        <v>1</v>
      </c>
      <c r="W179">
        <v>0</v>
      </c>
      <c r="X179">
        <v>1188625873</v>
      </c>
      <c r="Y179">
        <v>0.42500000000000004</v>
      </c>
      <c r="AA179">
        <v>0</v>
      </c>
      <c r="AB179">
        <v>222.88</v>
      </c>
      <c r="AC179">
        <v>13.5</v>
      </c>
      <c r="AD179">
        <v>0</v>
      </c>
      <c r="AE179">
        <v>0</v>
      </c>
      <c r="AF179">
        <v>31.26</v>
      </c>
      <c r="AG179">
        <v>13.5</v>
      </c>
      <c r="AH179">
        <v>0</v>
      </c>
      <c r="AI179">
        <v>1</v>
      </c>
      <c r="AJ179">
        <v>7.13</v>
      </c>
      <c r="AK179">
        <v>1</v>
      </c>
      <c r="AL179">
        <v>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6</v>
      </c>
      <c r="AT179">
        <v>0.34</v>
      </c>
      <c r="AU179" t="s">
        <v>81</v>
      </c>
      <c r="AV179">
        <v>0</v>
      </c>
      <c r="AW179">
        <v>2</v>
      </c>
      <c r="AX179">
        <v>16631531</v>
      </c>
      <c r="AY179">
        <v>1</v>
      </c>
      <c r="AZ179">
        <v>0</v>
      </c>
      <c r="BA179">
        <v>187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Y179*Source!I85</f>
        <v>0.81897500000000012</v>
      </c>
      <c r="CY179">
        <f>AB179</f>
        <v>222.88</v>
      </c>
      <c r="CZ179">
        <f>AF179</f>
        <v>31.26</v>
      </c>
      <c r="DA179">
        <f>AJ179</f>
        <v>7.13</v>
      </c>
      <c r="DB179">
        <f>ROUND((ROUND(AT179*CZ179,2)*1.25),2)</f>
        <v>13.29</v>
      </c>
      <c r="DC179">
        <f>ROUND((ROUND(AT179*AG179,2)*1.25),2)</f>
        <v>5.74</v>
      </c>
    </row>
    <row r="180" spans="1:107" x14ac:dyDescent="0.2">
      <c r="A180">
        <f>ROW(Source!A85)</f>
        <v>85</v>
      </c>
      <c r="B180">
        <v>16630606</v>
      </c>
      <c r="C180">
        <v>16631521</v>
      </c>
      <c r="D180">
        <v>15249073</v>
      </c>
      <c r="E180">
        <v>1</v>
      </c>
      <c r="F180">
        <v>1</v>
      </c>
      <c r="G180">
        <v>1</v>
      </c>
      <c r="H180">
        <v>2</v>
      </c>
      <c r="I180" t="s">
        <v>1157</v>
      </c>
      <c r="J180" t="s">
        <v>1158</v>
      </c>
      <c r="K180" t="s">
        <v>1159</v>
      </c>
      <c r="L180">
        <v>1368</v>
      </c>
      <c r="N180">
        <v>1011</v>
      </c>
      <c r="O180" t="s">
        <v>1154</v>
      </c>
      <c r="P180" t="s">
        <v>1154</v>
      </c>
      <c r="Q180">
        <v>1</v>
      </c>
      <c r="W180">
        <v>0</v>
      </c>
      <c r="X180">
        <v>1372534845</v>
      </c>
      <c r="Y180">
        <v>0.6</v>
      </c>
      <c r="AA180">
        <v>0</v>
      </c>
      <c r="AB180">
        <v>468.51</v>
      </c>
      <c r="AC180">
        <v>11.6</v>
      </c>
      <c r="AD180">
        <v>0</v>
      </c>
      <c r="AE180">
        <v>0</v>
      </c>
      <c r="AF180">
        <v>65.709999999999994</v>
      </c>
      <c r="AG180">
        <v>11.6</v>
      </c>
      <c r="AH180">
        <v>0</v>
      </c>
      <c r="AI180">
        <v>1</v>
      </c>
      <c r="AJ180">
        <v>7.13</v>
      </c>
      <c r="AK180">
        <v>1</v>
      </c>
      <c r="AL180">
        <v>1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6</v>
      </c>
      <c r="AT180">
        <v>0.48</v>
      </c>
      <c r="AU180" t="s">
        <v>81</v>
      </c>
      <c r="AV180">
        <v>0</v>
      </c>
      <c r="AW180">
        <v>2</v>
      </c>
      <c r="AX180">
        <v>16631532</v>
      </c>
      <c r="AY180">
        <v>1</v>
      </c>
      <c r="AZ180">
        <v>0</v>
      </c>
      <c r="BA180">
        <v>188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Y180*Source!I85</f>
        <v>1.1561999999999999</v>
      </c>
      <c r="CY180">
        <f>AB180</f>
        <v>468.51</v>
      </c>
      <c r="CZ180">
        <f>AF180</f>
        <v>65.709999999999994</v>
      </c>
      <c r="DA180">
        <f>AJ180</f>
        <v>7.13</v>
      </c>
      <c r="DB180">
        <f>ROUND((ROUND(AT180*CZ180,2)*1.25),2)</f>
        <v>39.43</v>
      </c>
      <c r="DC180">
        <f>ROUND((ROUND(AT180*AG180,2)*1.25),2)</f>
        <v>6.96</v>
      </c>
    </row>
    <row r="181" spans="1:107" x14ac:dyDescent="0.2">
      <c r="A181">
        <f>ROW(Source!A85)</f>
        <v>85</v>
      </c>
      <c r="B181">
        <v>16630606</v>
      </c>
      <c r="C181">
        <v>16631521</v>
      </c>
      <c r="D181">
        <v>15250178</v>
      </c>
      <c r="E181">
        <v>1</v>
      </c>
      <c r="F181">
        <v>1</v>
      </c>
      <c r="G181">
        <v>1</v>
      </c>
      <c r="H181">
        <v>2</v>
      </c>
      <c r="I181" t="s">
        <v>1327</v>
      </c>
      <c r="J181" t="s">
        <v>1328</v>
      </c>
      <c r="K181" t="s">
        <v>1329</v>
      </c>
      <c r="L181">
        <v>1368</v>
      </c>
      <c r="N181">
        <v>1011</v>
      </c>
      <c r="O181" t="s">
        <v>1154</v>
      </c>
      <c r="P181" t="s">
        <v>1154</v>
      </c>
      <c r="Q181">
        <v>1</v>
      </c>
      <c r="W181">
        <v>0</v>
      </c>
      <c r="X181">
        <v>151647450</v>
      </c>
      <c r="Y181">
        <v>6.625</v>
      </c>
      <c r="AA181">
        <v>0</v>
      </c>
      <c r="AB181">
        <v>24.24</v>
      </c>
      <c r="AC181">
        <v>0</v>
      </c>
      <c r="AD181">
        <v>0</v>
      </c>
      <c r="AE181">
        <v>0</v>
      </c>
      <c r="AF181">
        <v>3.4</v>
      </c>
      <c r="AG181">
        <v>0</v>
      </c>
      <c r="AH181">
        <v>0</v>
      </c>
      <c r="AI181">
        <v>1</v>
      </c>
      <c r="AJ181">
        <v>7.13</v>
      </c>
      <c r="AK181">
        <v>1</v>
      </c>
      <c r="AL181">
        <v>1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6</v>
      </c>
      <c r="AT181">
        <v>5.3</v>
      </c>
      <c r="AU181" t="s">
        <v>81</v>
      </c>
      <c r="AV181">
        <v>0</v>
      </c>
      <c r="AW181">
        <v>2</v>
      </c>
      <c r="AX181">
        <v>16631533</v>
      </c>
      <c r="AY181">
        <v>1</v>
      </c>
      <c r="AZ181">
        <v>0</v>
      </c>
      <c r="BA181">
        <v>189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Y181*Source!I85</f>
        <v>12.766375</v>
      </c>
      <c r="CY181">
        <f>AB181</f>
        <v>24.24</v>
      </c>
      <c r="CZ181">
        <f>AF181</f>
        <v>3.4</v>
      </c>
      <c r="DA181">
        <f>AJ181</f>
        <v>7.13</v>
      </c>
      <c r="DB181">
        <f>ROUND((ROUND(AT181*CZ181,2)*1.25),2)</f>
        <v>22.53</v>
      </c>
      <c r="DC181">
        <f>ROUND((ROUND(AT181*AG181,2)*1.25),2)</f>
        <v>0</v>
      </c>
    </row>
    <row r="182" spans="1:107" x14ac:dyDescent="0.2">
      <c r="A182">
        <f>ROW(Source!A85)</f>
        <v>85</v>
      </c>
      <c r="B182">
        <v>16630606</v>
      </c>
      <c r="C182">
        <v>16631521</v>
      </c>
      <c r="D182">
        <v>15167024</v>
      </c>
      <c r="E182">
        <v>1</v>
      </c>
      <c r="F182">
        <v>1</v>
      </c>
      <c r="G182">
        <v>1</v>
      </c>
      <c r="H182">
        <v>3</v>
      </c>
      <c r="I182" t="s">
        <v>289</v>
      </c>
      <c r="J182" t="s">
        <v>291</v>
      </c>
      <c r="K182" t="s">
        <v>290</v>
      </c>
      <c r="L182">
        <v>1327</v>
      </c>
      <c r="N182">
        <v>1005</v>
      </c>
      <c r="O182" t="s">
        <v>87</v>
      </c>
      <c r="P182" t="s">
        <v>87</v>
      </c>
      <c r="Q182">
        <v>1</v>
      </c>
      <c r="W182">
        <v>0</v>
      </c>
      <c r="X182">
        <v>203687903</v>
      </c>
      <c r="Y182">
        <v>102</v>
      </c>
      <c r="AA182">
        <v>1292.8800000000001</v>
      </c>
      <c r="AB182">
        <v>0</v>
      </c>
      <c r="AC182">
        <v>0</v>
      </c>
      <c r="AD182">
        <v>0</v>
      </c>
      <c r="AE182">
        <v>181.33</v>
      </c>
      <c r="AF182">
        <v>0</v>
      </c>
      <c r="AG182">
        <v>0</v>
      </c>
      <c r="AH182">
        <v>0</v>
      </c>
      <c r="AI182">
        <v>7.13</v>
      </c>
      <c r="AJ182">
        <v>1</v>
      </c>
      <c r="AK182">
        <v>1</v>
      </c>
      <c r="AL182">
        <v>1</v>
      </c>
      <c r="AN182">
        <v>0</v>
      </c>
      <c r="AO182">
        <v>0</v>
      </c>
      <c r="AP182">
        <v>0</v>
      </c>
      <c r="AQ182">
        <v>0</v>
      </c>
      <c r="AR182">
        <v>0</v>
      </c>
      <c r="AS182" t="s">
        <v>6</v>
      </c>
      <c r="AT182">
        <v>102</v>
      </c>
      <c r="AU182" t="s">
        <v>6</v>
      </c>
      <c r="AV182">
        <v>0</v>
      </c>
      <c r="AW182">
        <v>1</v>
      </c>
      <c r="AX182">
        <v>-1</v>
      </c>
      <c r="AY182">
        <v>0</v>
      </c>
      <c r="AZ182">
        <v>0</v>
      </c>
      <c r="BA182" t="s">
        <v>6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Y182*Source!I85</f>
        <v>196.554</v>
      </c>
      <c r="CY182">
        <f>AA182</f>
        <v>1292.8800000000001</v>
      </c>
      <c r="CZ182">
        <f>AE182</f>
        <v>181.33</v>
      </c>
      <c r="DA182">
        <f>AI182</f>
        <v>7.13</v>
      </c>
      <c r="DB182">
        <f>ROUND(ROUND(AT182*CZ182,2),2)</f>
        <v>18495.66</v>
      </c>
      <c r="DC182">
        <f>ROUND(ROUND(AT182*AG182,2),2)</f>
        <v>0</v>
      </c>
    </row>
    <row r="183" spans="1:107" x14ac:dyDescent="0.2">
      <c r="A183">
        <f>ROW(Source!A85)</f>
        <v>85</v>
      </c>
      <c r="B183">
        <v>16630606</v>
      </c>
      <c r="C183">
        <v>16631521</v>
      </c>
      <c r="D183">
        <v>15167684</v>
      </c>
      <c r="E183">
        <v>1</v>
      </c>
      <c r="F183">
        <v>1</v>
      </c>
      <c r="G183">
        <v>1</v>
      </c>
      <c r="H183">
        <v>3</v>
      </c>
      <c r="I183" t="s">
        <v>285</v>
      </c>
      <c r="J183" t="s">
        <v>287</v>
      </c>
      <c r="K183" t="s">
        <v>286</v>
      </c>
      <c r="L183">
        <v>1308</v>
      </c>
      <c r="N183">
        <v>1003</v>
      </c>
      <c r="O183" t="s">
        <v>57</v>
      </c>
      <c r="P183" t="s">
        <v>57</v>
      </c>
      <c r="Q183">
        <v>100</v>
      </c>
      <c r="W183">
        <v>0</v>
      </c>
      <c r="X183">
        <v>-1119837873</v>
      </c>
      <c r="Y183">
        <v>0.68</v>
      </c>
      <c r="AA183">
        <v>708.72</v>
      </c>
      <c r="AB183">
        <v>0</v>
      </c>
      <c r="AC183">
        <v>0</v>
      </c>
      <c r="AD183">
        <v>0</v>
      </c>
      <c r="AE183">
        <v>99.4</v>
      </c>
      <c r="AF183">
        <v>0</v>
      </c>
      <c r="AG183">
        <v>0</v>
      </c>
      <c r="AH183">
        <v>0</v>
      </c>
      <c r="AI183">
        <v>7.13</v>
      </c>
      <c r="AJ183">
        <v>1</v>
      </c>
      <c r="AK183">
        <v>1</v>
      </c>
      <c r="AL183">
        <v>1</v>
      </c>
      <c r="AN183">
        <v>0</v>
      </c>
      <c r="AO183">
        <v>0</v>
      </c>
      <c r="AP183">
        <v>0</v>
      </c>
      <c r="AQ183">
        <v>0</v>
      </c>
      <c r="AR183">
        <v>0</v>
      </c>
      <c r="AS183" t="s">
        <v>6</v>
      </c>
      <c r="AT183">
        <v>0.68</v>
      </c>
      <c r="AU183" t="s">
        <v>6</v>
      </c>
      <c r="AV183">
        <v>0</v>
      </c>
      <c r="AW183">
        <v>1</v>
      </c>
      <c r="AX183">
        <v>-1</v>
      </c>
      <c r="AY183">
        <v>0</v>
      </c>
      <c r="AZ183">
        <v>0</v>
      </c>
      <c r="BA183" t="s">
        <v>6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Y183*Source!I85</f>
        <v>1.3103600000000002</v>
      </c>
      <c r="CY183">
        <f>AA183</f>
        <v>708.72</v>
      </c>
      <c r="CZ183">
        <f>AE183</f>
        <v>99.4</v>
      </c>
      <c r="DA183">
        <f>AI183</f>
        <v>7.13</v>
      </c>
      <c r="DB183">
        <f>ROUND(ROUND(AT183*CZ183,2),2)</f>
        <v>67.59</v>
      </c>
      <c r="DC183">
        <f>ROUND(ROUND(AT183*AG183,2),2)</f>
        <v>0</v>
      </c>
    </row>
    <row r="184" spans="1:107" x14ac:dyDescent="0.2">
      <c r="A184">
        <f>ROW(Source!A88)</f>
        <v>88</v>
      </c>
      <c r="B184">
        <v>16630606</v>
      </c>
      <c r="C184">
        <v>16631538</v>
      </c>
      <c r="D184">
        <v>15436014</v>
      </c>
      <c r="E184">
        <v>1</v>
      </c>
      <c r="F184">
        <v>1</v>
      </c>
      <c r="G184">
        <v>1</v>
      </c>
      <c r="H184">
        <v>1</v>
      </c>
      <c r="I184" t="s">
        <v>1181</v>
      </c>
      <c r="J184" t="s">
        <v>6</v>
      </c>
      <c r="K184" t="s">
        <v>1182</v>
      </c>
      <c r="L184">
        <v>1191</v>
      </c>
      <c r="N184">
        <v>1013</v>
      </c>
      <c r="O184" t="s">
        <v>1148</v>
      </c>
      <c r="P184" t="s">
        <v>1148</v>
      </c>
      <c r="Q184">
        <v>1</v>
      </c>
      <c r="W184">
        <v>0</v>
      </c>
      <c r="X184">
        <v>-784637506</v>
      </c>
      <c r="Y184">
        <v>137.74699999999999</v>
      </c>
      <c r="AA184">
        <v>0</v>
      </c>
      <c r="AB184">
        <v>0</v>
      </c>
      <c r="AC184">
        <v>0</v>
      </c>
      <c r="AD184">
        <v>62.32</v>
      </c>
      <c r="AE184">
        <v>0</v>
      </c>
      <c r="AF184">
        <v>0</v>
      </c>
      <c r="AG184">
        <v>0</v>
      </c>
      <c r="AH184">
        <v>8.74</v>
      </c>
      <c r="AI184">
        <v>1</v>
      </c>
      <c r="AJ184">
        <v>1</v>
      </c>
      <c r="AK184">
        <v>1</v>
      </c>
      <c r="AL184">
        <v>7.13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6</v>
      </c>
      <c r="AT184">
        <v>119.78</v>
      </c>
      <c r="AU184" t="s">
        <v>82</v>
      </c>
      <c r="AV184">
        <v>1</v>
      </c>
      <c r="AW184">
        <v>2</v>
      </c>
      <c r="AX184">
        <v>16631548</v>
      </c>
      <c r="AY184">
        <v>1</v>
      </c>
      <c r="AZ184">
        <v>0</v>
      </c>
      <c r="BA184">
        <v>192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Y184*Source!I88</f>
        <v>46.558485999999995</v>
      </c>
      <c r="CY184">
        <f>AD184</f>
        <v>62.32</v>
      </c>
      <c r="CZ184">
        <f>AH184</f>
        <v>8.74</v>
      </c>
      <c r="DA184">
        <f>AL184</f>
        <v>7.13</v>
      </c>
      <c r="DB184">
        <f>ROUND((ROUND(AT184*CZ184,2)*1.15),2)</f>
        <v>1203.9100000000001</v>
      </c>
      <c r="DC184">
        <f>ROUND((ROUND(AT184*AG184,2)*1.15),2)</f>
        <v>0</v>
      </c>
    </row>
    <row r="185" spans="1:107" x14ac:dyDescent="0.2">
      <c r="A185">
        <f>ROW(Source!A88)</f>
        <v>88</v>
      </c>
      <c r="B185">
        <v>16630606</v>
      </c>
      <c r="C185">
        <v>16631538</v>
      </c>
      <c r="D185">
        <v>15430395</v>
      </c>
      <c r="E185">
        <v>1</v>
      </c>
      <c r="F185">
        <v>1</v>
      </c>
      <c r="G185">
        <v>1</v>
      </c>
      <c r="H185">
        <v>1</v>
      </c>
      <c r="I185" t="s">
        <v>1149</v>
      </c>
      <c r="J185" t="s">
        <v>6</v>
      </c>
      <c r="K185" t="s">
        <v>1150</v>
      </c>
      <c r="L185">
        <v>1191</v>
      </c>
      <c r="N185">
        <v>1013</v>
      </c>
      <c r="O185" t="s">
        <v>1148</v>
      </c>
      <c r="P185" t="s">
        <v>1148</v>
      </c>
      <c r="Q185">
        <v>1</v>
      </c>
      <c r="W185">
        <v>0</v>
      </c>
      <c r="X185">
        <v>-1417349443</v>
      </c>
      <c r="Y185">
        <v>2.94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1</v>
      </c>
      <c r="AJ185">
        <v>1</v>
      </c>
      <c r="AK185">
        <v>7.13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6</v>
      </c>
      <c r="AT185">
        <v>2.94</v>
      </c>
      <c r="AU185" t="s">
        <v>6</v>
      </c>
      <c r="AV185">
        <v>2</v>
      </c>
      <c r="AW185">
        <v>2</v>
      </c>
      <c r="AX185">
        <v>16631549</v>
      </c>
      <c r="AY185">
        <v>1</v>
      </c>
      <c r="AZ185">
        <v>2048</v>
      </c>
      <c r="BA185">
        <v>193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Y185*Source!I88</f>
        <v>0.99372000000000005</v>
      </c>
      <c r="CY185">
        <f>AD185</f>
        <v>0</v>
      </c>
      <c r="CZ185">
        <f>AH185</f>
        <v>0</v>
      </c>
      <c r="DA185">
        <f>AL185</f>
        <v>1</v>
      </c>
      <c r="DB185">
        <f>ROUND(ROUND(AT185*CZ185,2),2)</f>
        <v>0</v>
      </c>
      <c r="DC185">
        <f>ROUND(ROUND(AT185*AG185,2),2)</f>
        <v>0</v>
      </c>
    </row>
    <row r="186" spans="1:107" x14ac:dyDescent="0.2">
      <c r="A186">
        <f>ROW(Source!A88)</f>
        <v>88</v>
      </c>
      <c r="B186">
        <v>16630606</v>
      </c>
      <c r="C186">
        <v>16631538</v>
      </c>
      <c r="D186">
        <v>15247905</v>
      </c>
      <c r="E186">
        <v>1</v>
      </c>
      <c r="F186">
        <v>1</v>
      </c>
      <c r="G186">
        <v>1</v>
      </c>
      <c r="H186">
        <v>2</v>
      </c>
      <c r="I186" t="s">
        <v>1330</v>
      </c>
      <c r="J186" t="s">
        <v>1331</v>
      </c>
      <c r="K186" t="s">
        <v>1332</v>
      </c>
      <c r="L186">
        <v>1368</v>
      </c>
      <c r="N186">
        <v>1011</v>
      </c>
      <c r="O186" t="s">
        <v>1154</v>
      </c>
      <c r="P186" t="s">
        <v>1154</v>
      </c>
      <c r="Q186">
        <v>1</v>
      </c>
      <c r="W186">
        <v>0</v>
      </c>
      <c r="X186">
        <v>1225731627</v>
      </c>
      <c r="Y186">
        <v>0.44999999999999996</v>
      </c>
      <c r="AA186">
        <v>0</v>
      </c>
      <c r="AB186">
        <v>641.63</v>
      </c>
      <c r="AC186">
        <v>10.06</v>
      </c>
      <c r="AD186">
        <v>0</v>
      </c>
      <c r="AE186">
        <v>0</v>
      </c>
      <c r="AF186">
        <v>89.99</v>
      </c>
      <c r="AG186">
        <v>10.06</v>
      </c>
      <c r="AH186">
        <v>0</v>
      </c>
      <c r="AI186">
        <v>1</v>
      </c>
      <c r="AJ186">
        <v>7.13</v>
      </c>
      <c r="AK186">
        <v>1</v>
      </c>
      <c r="AL186">
        <v>1</v>
      </c>
      <c r="AN186">
        <v>0</v>
      </c>
      <c r="AO186">
        <v>1</v>
      </c>
      <c r="AP186">
        <v>1</v>
      </c>
      <c r="AQ186">
        <v>0</v>
      </c>
      <c r="AR186">
        <v>0</v>
      </c>
      <c r="AS186" t="s">
        <v>6</v>
      </c>
      <c r="AT186">
        <v>0.36</v>
      </c>
      <c r="AU186" t="s">
        <v>81</v>
      </c>
      <c r="AV186">
        <v>0</v>
      </c>
      <c r="AW186">
        <v>2</v>
      </c>
      <c r="AX186">
        <v>16631550</v>
      </c>
      <c r="AY186">
        <v>1</v>
      </c>
      <c r="AZ186">
        <v>0</v>
      </c>
      <c r="BA186">
        <v>194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Y186*Source!I88</f>
        <v>0.15209999999999999</v>
      </c>
      <c r="CY186">
        <f>AB186</f>
        <v>641.63</v>
      </c>
      <c r="CZ186">
        <f>AF186</f>
        <v>89.99</v>
      </c>
      <c r="DA186">
        <f>AJ186</f>
        <v>7.13</v>
      </c>
      <c r="DB186">
        <f>ROUND((ROUND(AT186*CZ186,2)*1.25),2)</f>
        <v>40.5</v>
      </c>
      <c r="DC186">
        <f>ROUND((ROUND(AT186*AG186,2)*1.25),2)</f>
        <v>4.53</v>
      </c>
    </row>
    <row r="187" spans="1:107" x14ac:dyDescent="0.2">
      <c r="A187">
        <f>ROW(Source!A88)</f>
        <v>88</v>
      </c>
      <c r="B187">
        <v>16630606</v>
      </c>
      <c r="C187">
        <v>16631538</v>
      </c>
      <c r="D187">
        <v>15247974</v>
      </c>
      <c r="E187">
        <v>1</v>
      </c>
      <c r="F187">
        <v>1</v>
      </c>
      <c r="G187">
        <v>1</v>
      </c>
      <c r="H187">
        <v>2</v>
      </c>
      <c r="I187" t="s">
        <v>1151</v>
      </c>
      <c r="J187" t="s">
        <v>1152</v>
      </c>
      <c r="K187" t="s">
        <v>1153</v>
      </c>
      <c r="L187">
        <v>1368</v>
      </c>
      <c r="N187">
        <v>1011</v>
      </c>
      <c r="O187" t="s">
        <v>1154</v>
      </c>
      <c r="P187" t="s">
        <v>1154</v>
      </c>
      <c r="Q187">
        <v>1</v>
      </c>
      <c r="W187">
        <v>0</v>
      </c>
      <c r="X187">
        <v>1188625873</v>
      </c>
      <c r="Y187">
        <v>2.875</v>
      </c>
      <c r="AA187">
        <v>0</v>
      </c>
      <c r="AB187">
        <v>222.88</v>
      </c>
      <c r="AC187">
        <v>13.5</v>
      </c>
      <c r="AD187">
        <v>0</v>
      </c>
      <c r="AE187">
        <v>0</v>
      </c>
      <c r="AF187">
        <v>31.26</v>
      </c>
      <c r="AG187">
        <v>13.5</v>
      </c>
      <c r="AH187">
        <v>0</v>
      </c>
      <c r="AI187">
        <v>1</v>
      </c>
      <c r="AJ187">
        <v>7.13</v>
      </c>
      <c r="AK187">
        <v>1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6</v>
      </c>
      <c r="AT187">
        <v>2.2999999999999998</v>
      </c>
      <c r="AU187" t="s">
        <v>81</v>
      </c>
      <c r="AV187">
        <v>0</v>
      </c>
      <c r="AW187">
        <v>2</v>
      </c>
      <c r="AX187">
        <v>16631551</v>
      </c>
      <c r="AY187">
        <v>1</v>
      </c>
      <c r="AZ187">
        <v>0</v>
      </c>
      <c r="BA187">
        <v>195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Y187*Source!I88</f>
        <v>0.97175000000000011</v>
      </c>
      <c r="CY187">
        <f>AB187</f>
        <v>222.88</v>
      </c>
      <c r="CZ187">
        <f>AF187</f>
        <v>31.26</v>
      </c>
      <c r="DA187">
        <f>AJ187</f>
        <v>7.13</v>
      </c>
      <c r="DB187">
        <f>ROUND((ROUND(AT187*CZ187,2)*1.25),2)</f>
        <v>89.88</v>
      </c>
      <c r="DC187">
        <f>ROUND((ROUND(AT187*AG187,2)*1.25),2)</f>
        <v>38.81</v>
      </c>
    </row>
    <row r="188" spans="1:107" x14ac:dyDescent="0.2">
      <c r="A188">
        <f>ROW(Source!A88)</f>
        <v>88</v>
      </c>
      <c r="B188">
        <v>16630606</v>
      </c>
      <c r="C188">
        <v>16631538</v>
      </c>
      <c r="D188">
        <v>15249073</v>
      </c>
      <c r="E188">
        <v>1</v>
      </c>
      <c r="F188">
        <v>1</v>
      </c>
      <c r="G188">
        <v>1</v>
      </c>
      <c r="H188">
        <v>2</v>
      </c>
      <c r="I188" t="s">
        <v>1157</v>
      </c>
      <c r="J188" t="s">
        <v>1158</v>
      </c>
      <c r="K188" t="s">
        <v>1159</v>
      </c>
      <c r="L188">
        <v>1368</v>
      </c>
      <c r="N188">
        <v>1011</v>
      </c>
      <c r="O188" t="s">
        <v>1154</v>
      </c>
      <c r="P188" t="s">
        <v>1154</v>
      </c>
      <c r="Q188">
        <v>1</v>
      </c>
      <c r="W188">
        <v>0</v>
      </c>
      <c r="X188">
        <v>1372534845</v>
      </c>
      <c r="Y188">
        <v>0.35000000000000003</v>
      </c>
      <c r="AA188">
        <v>0</v>
      </c>
      <c r="AB188">
        <v>468.51</v>
      </c>
      <c r="AC188">
        <v>11.6</v>
      </c>
      <c r="AD188">
        <v>0</v>
      </c>
      <c r="AE188">
        <v>0</v>
      </c>
      <c r="AF188">
        <v>65.709999999999994</v>
      </c>
      <c r="AG188">
        <v>11.6</v>
      </c>
      <c r="AH188">
        <v>0</v>
      </c>
      <c r="AI188">
        <v>1</v>
      </c>
      <c r="AJ188">
        <v>7.13</v>
      </c>
      <c r="AK188">
        <v>1</v>
      </c>
      <c r="AL188">
        <v>1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6</v>
      </c>
      <c r="AT188">
        <v>0.28000000000000003</v>
      </c>
      <c r="AU188" t="s">
        <v>81</v>
      </c>
      <c r="AV188">
        <v>0</v>
      </c>
      <c r="AW188">
        <v>2</v>
      </c>
      <c r="AX188">
        <v>16631552</v>
      </c>
      <c r="AY188">
        <v>1</v>
      </c>
      <c r="AZ188">
        <v>0</v>
      </c>
      <c r="BA188">
        <v>196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Y188*Source!I88</f>
        <v>0.11830000000000002</v>
      </c>
      <c r="CY188">
        <f>AB188</f>
        <v>468.51</v>
      </c>
      <c r="CZ188">
        <f>AF188</f>
        <v>65.709999999999994</v>
      </c>
      <c r="DA188">
        <f>AJ188</f>
        <v>7.13</v>
      </c>
      <c r="DB188">
        <f>ROUND((ROUND(AT188*CZ188,2)*1.25),2)</f>
        <v>23</v>
      </c>
      <c r="DC188">
        <f>ROUND((ROUND(AT188*AG188,2)*1.25),2)</f>
        <v>4.0599999999999996</v>
      </c>
    </row>
    <row r="189" spans="1:107" x14ac:dyDescent="0.2">
      <c r="A189">
        <f>ROW(Source!A88)</f>
        <v>88</v>
      </c>
      <c r="B189">
        <v>16630606</v>
      </c>
      <c r="C189">
        <v>16631538</v>
      </c>
      <c r="D189">
        <v>15167286</v>
      </c>
      <c r="E189">
        <v>1</v>
      </c>
      <c r="F189">
        <v>1</v>
      </c>
      <c r="G189">
        <v>1</v>
      </c>
      <c r="H189">
        <v>3</v>
      </c>
      <c r="I189" t="s">
        <v>1265</v>
      </c>
      <c r="J189" t="s">
        <v>1266</v>
      </c>
      <c r="K189" t="s">
        <v>1267</v>
      </c>
      <c r="L189">
        <v>1339</v>
      </c>
      <c r="N189">
        <v>1007</v>
      </c>
      <c r="O189" t="s">
        <v>203</v>
      </c>
      <c r="P189" t="s">
        <v>203</v>
      </c>
      <c r="Q189">
        <v>1</v>
      </c>
      <c r="W189">
        <v>0</v>
      </c>
      <c r="X189">
        <v>-1660354250</v>
      </c>
      <c r="Y189">
        <v>3.85</v>
      </c>
      <c r="AA189">
        <v>17.399999999999999</v>
      </c>
      <c r="AB189">
        <v>0</v>
      </c>
      <c r="AC189">
        <v>0</v>
      </c>
      <c r="AD189">
        <v>0</v>
      </c>
      <c r="AE189">
        <v>2.44</v>
      </c>
      <c r="AF189">
        <v>0</v>
      </c>
      <c r="AG189">
        <v>0</v>
      </c>
      <c r="AH189">
        <v>0</v>
      </c>
      <c r="AI189">
        <v>7.13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6</v>
      </c>
      <c r="AT189">
        <v>3.85</v>
      </c>
      <c r="AU189" t="s">
        <v>6</v>
      </c>
      <c r="AV189">
        <v>0</v>
      </c>
      <c r="AW189">
        <v>2</v>
      </c>
      <c r="AX189">
        <v>16631553</v>
      </c>
      <c r="AY189">
        <v>1</v>
      </c>
      <c r="AZ189">
        <v>0</v>
      </c>
      <c r="BA189">
        <v>197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Y189*Source!I88</f>
        <v>1.3013000000000001</v>
      </c>
      <c r="CY189">
        <f>AA189</f>
        <v>17.399999999999999</v>
      </c>
      <c r="CZ189">
        <f>AE189</f>
        <v>2.44</v>
      </c>
      <c r="DA189">
        <f>AI189</f>
        <v>7.13</v>
      </c>
      <c r="DB189">
        <f>ROUND(ROUND(AT189*CZ189,2),2)</f>
        <v>9.39</v>
      </c>
      <c r="DC189">
        <f>ROUND(ROUND(AT189*AG189,2),2)</f>
        <v>0</v>
      </c>
    </row>
    <row r="190" spans="1:107" x14ac:dyDescent="0.2">
      <c r="A190">
        <f>ROW(Source!A88)</f>
        <v>88</v>
      </c>
      <c r="B190">
        <v>16630606</v>
      </c>
      <c r="C190">
        <v>16631538</v>
      </c>
      <c r="D190">
        <v>15167962</v>
      </c>
      <c r="E190">
        <v>1</v>
      </c>
      <c r="F190">
        <v>1</v>
      </c>
      <c r="G190">
        <v>1</v>
      </c>
      <c r="H190">
        <v>3</v>
      </c>
      <c r="I190" t="s">
        <v>1333</v>
      </c>
      <c r="J190" t="s">
        <v>1334</v>
      </c>
      <c r="K190" t="s">
        <v>1335</v>
      </c>
      <c r="L190">
        <v>1339</v>
      </c>
      <c r="N190">
        <v>1007</v>
      </c>
      <c r="O190" t="s">
        <v>203</v>
      </c>
      <c r="P190" t="s">
        <v>203</v>
      </c>
      <c r="Q190">
        <v>1</v>
      </c>
      <c r="W190">
        <v>0</v>
      </c>
      <c r="X190">
        <v>114057443</v>
      </c>
      <c r="Y190">
        <v>3.06</v>
      </c>
      <c r="AA190">
        <v>248.98</v>
      </c>
      <c r="AB190">
        <v>0</v>
      </c>
      <c r="AC190">
        <v>0</v>
      </c>
      <c r="AD190">
        <v>0</v>
      </c>
      <c r="AE190">
        <v>34.92</v>
      </c>
      <c r="AF190">
        <v>0</v>
      </c>
      <c r="AG190">
        <v>0</v>
      </c>
      <c r="AH190">
        <v>0</v>
      </c>
      <c r="AI190">
        <v>7.13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6</v>
      </c>
      <c r="AT190">
        <v>3.06</v>
      </c>
      <c r="AU190" t="s">
        <v>6</v>
      </c>
      <c r="AV190">
        <v>0</v>
      </c>
      <c r="AW190">
        <v>2</v>
      </c>
      <c r="AX190">
        <v>16631554</v>
      </c>
      <c r="AY190">
        <v>1</v>
      </c>
      <c r="AZ190">
        <v>0</v>
      </c>
      <c r="BA190">
        <v>198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Y190*Source!I88</f>
        <v>1.0342800000000001</v>
      </c>
      <c r="CY190">
        <f>AA190</f>
        <v>248.98</v>
      </c>
      <c r="CZ190">
        <f>AE190</f>
        <v>34.92</v>
      </c>
      <c r="DA190">
        <f>AI190</f>
        <v>7.13</v>
      </c>
      <c r="DB190">
        <f>ROUND(ROUND(AT190*CZ190,2),2)</f>
        <v>106.86</v>
      </c>
      <c r="DC190">
        <f>ROUND(ROUND(AT190*AG190,2),2)</f>
        <v>0</v>
      </c>
    </row>
    <row r="191" spans="1:107" x14ac:dyDescent="0.2">
      <c r="A191">
        <f>ROW(Source!A88)</f>
        <v>88</v>
      </c>
      <c r="B191">
        <v>16630606</v>
      </c>
      <c r="C191">
        <v>16631538</v>
      </c>
      <c r="D191">
        <v>15187044</v>
      </c>
      <c r="E191">
        <v>1</v>
      </c>
      <c r="F191">
        <v>1</v>
      </c>
      <c r="G191">
        <v>1</v>
      </c>
      <c r="H191">
        <v>3</v>
      </c>
      <c r="I191" t="s">
        <v>1336</v>
      </c>
      <c r="J191" t="s">
        <v>1337</v>
      </c>
      <c r="K191" t="s">
        <v>1338</v>
      </c>
      <c r="L191">
        <v>1327</v>
      </c>
      <c r="N191">
        <v>1005</v>
      </c>
      <c r="O191" t="s">
        <v>87</v>
      </c>
      <c r="P191" t="s">
        <v>87</v>
      </c>
      <c r="Q191">
        <v>1</v>
      </c>
      <c r="W191">
        <v>0</v>
      </c>
      <c r="X191">
        <v>380867059</v>
      </c>
      <c r="Y191">
        <v>102</v>
      </c>
      <c r="AA191">
        <v>483.41</v>
      </c>
      <c r="AB191">
        <v>0</v>
      </c>
      <c r="AC191">
        <v>0</v>
      </c>
      <c r="AD191">
        <v>0</v>
      </c>
      <c r="AE191">
        <v>67.8</v>
      </c>
      <c r="AF191">
        <v>0</v>
      </c>
      <c r="AG191">
        <v>0</v>
      </c>
      <c r="AH191">
        <v>0</v>
      </c>
      <c r="AI191">
        <v>7.13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6</v>
      </c>
      <c r="AT191">
        <v>102</v>
      </c>
      <c r="AU191" t="s">
        <v>6</v>
      </c>
      <c r="AV191">
        <v>0</v>
      </c>
      <c r="AW191">
        <v>2</v>
      </c>
      <c r="AX191">
        <v>16631556</v>
      </c>
      <c r="AY191">
        <v>1</v>
      </c>
      <c r="AZ191">
        <v>0</v>
      </c>
      <c r="BA191">
        <v>200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Y191*Source!I88</f>
        <v>34.475999999999999</v>
      </c>
      <c r="CY191">
        <f>AA191</f>
        <v>483.41</v>
      </c>
      <c r="CZ191">
        <f>AE191</f>
        <v>67.8</v>
      </c>
      <c r="DA191">
        <f>AI191</f>
        <v>7.13</v>
      </c>
      <c r="DB191">
        <f>ROUND(ROUND(AT191*CZ191,2),2)</f>
        <v>6915.6</v>
      </c>
      <c r="DC191">
        <f>ROUND(ROUND(AT191*AG191,2),2)</f>
        <v>0</v>
      </c>
    </row>
    <row r="192" spans="1:107" x14ac:dyDescent="0.2">
      <c r="A192">
        <f>ROW(Source!A88)</f>
        <v>88</v>
      </c>
      <c r="B192">
        <v>16630606</v>
      </c>
      <c r="C192">
        <v>16631538</v>
      </c>
      <c r="D192">
        <v>15202597</v>
      </c>
      <c r="E192">
        <v>1</v>
      </c>
      <c r="F192">
        <v>1</v>
      </c>
      <c r="G192">
        <v>1</v>
      </c>
      <c r="H192">
        <v>3</v>
      </c>
      <c r="I192" t="s">
        <v>297</v>
      </c>
      <c r="J192" t="s">
        <v>299</v>
      </c>
      <c r="K192" t="s">
        <v>298</v>
      </c>
      <c r="L192">
        <v>1346</v>
      </c>
      <c r="N192">
        <v>1009</v>
      </c>
      <c r="O192" t="s">
        <v>102</v>
      </c>
      <c r="P192" t="s">
        <v>102</v>
      </c>
      <c r="Q192">
        <v>1</v>
      </c>
      <c r="W192">
        <v>0</v>
      </c>
      <c r="X192">
        <v>830044740</v>
      </c>
      <c r="Y192">
        <v>360</v>
      </c>
      <c r="AA192">
        <v>26.31</v>
      </c>
      <c r="AB192">
        <v>0</v>
      </c>
      <c r="AC192">
        <v>0</v>
      </c>
      <c r="AD192">
        <v>0</v>
      </c>
      <c r="AE192">
        <v>3.69</v>
      </c>
      <c r="AF192">
        <v>0</v>
      </c>
      <c r="AG192">
        <v>0</v>
      </c>
      <c r="AH192">
        <v>0</v>
      </c>
      <c r="AI192">
        <v>7.13</v>
      </c>
      <c r="AJ192">
        <v>1</v>
      </c>
      <c r="AK192">
        <v>1</v>
      </c>
      <c r="AL192">
        <v>1</v>
      </c>
      <c r="AN192">
        <v>0</v>
      </c>
      <c r="AO192">
        <v>0</v>
      </c>
      <c r="AP192">
        <v>0</v>
      </c>
      <c r="AQ192">
        <v>0</v>
      </c>
      <c r="AR192">
        <v>0</v>
      </c>
      <c r="AS192" t="s">
        <v>6</v>
      </c>
      <c r="AT192">
        <v>360</v>
      </c>
      <c r="AU192" t="s">
        <v>6</v>
      </c>
      <c r="AV192">
        <v>0</v>
      </c>
      <c r="AW192">
        <v>1</v>
      </c>
      <c r="AX192">
        <v>-1</v>
      </c>
      <c r="AY192">
        <v>0</v>
      </c>
      <c r="AZ192">
        <v>0</v>
      </c>
      <c r="BA192" t="s">
        <v>6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Y192*Source!I88</f>
        <v>121.68</v>
      </c>
      <c r="CY192">
        <f>AA192</f>
        <v>26.31</v>
      </c>
      <c r="CZ192">
        <f>AE192</f>
        <v>3.69</v>
      </c>
      <c r="DA192">
        <f>AI192</f>
        <v>7.13</v>
      </c>
      <c r="DB192">
        <f>ROUND(ROUND(AT192*CZ192,2),2)</f>
        <v>1328.4</v>
      </c>
      <c r="DC192">
        <f>ROUND(ROUND(AT192*AG192,2),2)</f>
        <v>0</v>
      </c>
    </row>
    <row r="193" spans="1:107" x14ac:dyDescent="0.2">
      <c r="A193">
        <f>ROW(Source!A90)</f>
        <v>90</v>
      </c>
      <c r="B193">
        <v>16630606</v>
      </c>
      <c r="C193">
        <v>16631558</v>
      </c>
      <c r="D193">
        <v>15436014</v>
      </c>
      <c r="E193">
        <v>1</v>
      </c>
      <c r="F193">
        <v>1</v>
      </c>
      <c r="G193">
        <v>1</v>
      </c>
      <c r="H193">
        <v>1</v>
      </c>
      <c r="I193" t="s">
        <v>1181</v>
      </c>
      <c r="J193" t="s">
        <v>6</v>
      </c>
      <c r="K193" t="s">
        <v>1182</v>
      </c>
      <c r="L193">
        <v>1191</v>
      </c>
      <c r="N193">
        <v>1013</v>
      </c>
      <c r="O193" t="s">
        <v>1148</v>
      </c>
      <c r="P193" t="s">
        <v>1148</v>
      </c>
      <c r="Q193">
        <v>1</v>
      </c>
      <c r="W193">
        <v>0</v>
      </c>
      <c r="X193">
        <v>-784637506</v>
      </c>
      <c r="Y193">
        <v>356.983</v>
      </c>
      <c r="AA193">
        <v>0</v>
      </c>
      <c r="AB193">
        <v>0</v>
      </c>
      <c r="AC193">
        <v>0</v>
      </c>
      <c r="AD193">
        <v>62.32</v>
      </c>
      <c r="AE193">
        <v>0</v>
      </c>
      <c r="AF193">
        <v>0</v>
      </c>
      <c r="AG193">
        <v>0</v>
      </c>
      <c r="AH193">
        <v>8.74</v>
      </c>
      <c r="AI193">
        <v>1</v>
      </c>
      <c r="AJ193">
        <v>1</v>
      </c>
      <c r="AK193">
        <v>1</v>
      </c>
      <c r="AL193">
        <v>7.13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6</v>
      </c>
      <c r="AT193">
        <v>310.42</v>
      </c>
      <c r="AU193" t="s">
        <v>82</v>
      </c>
      <c r="AV193">
        <v>1</v>
      </c>
      <c r="AW193">
        <v>2</v>
      </c>
      <c r="AX193">
        <v>16631569</v>
      </c>
      <c r="AY193">
        <v>1</v>
      </c>
      <c r="AZ193">
        <v>0</v>
      </c>
      <c r="BA193">
        <v>201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Y193*Source!I90</f>
        <v>132.44069300000001</v>
      </c>
      <c r="CY193">
        <f>AD193</f>
        <v>62.32</v>
      </c>
      <c r="CZ193">
        <f>AH193</f>
        <v>8.74</v>
      </c>
      <c r="DA193">
        <f>AL193</f>
        <v>7.13</v>
      </c>
      <c r="DB193">
        <f>ROUND((ROUND(AT193*CZ193,2)*1.15),2)</f>
        <v>3120.03</v>
      </c>
      <c r="DC193">
        <f>ROUND((ROUND(AT193*AG193,2)*1.15),2)</f>
        <v>0</v>
      </c>
    </row>
    <row r="194" spans="1:107" x14ac:dyDescent="0.2">
      <c r="A194">
        <f>ROW(Source!A90)</f>
        <v>90</v>
      </c>
      <c r="B194">
        <v>16630606</v>
      </c>
      <c r="C194">
        <v>16631558</v>
      </c>
      <c r="D194">
        <v>15430395</v>
      </c>
      <c r="E194">
        <v>1</v>
      </c>
      <c r="F194">
        <v>1</v>
      </c>
      <c r="G194">
        <v>1</v>
      </c>
      <c r="H194">
        <v>1</v>
      </c>
      <c r="I194" t="s">
        <v>1149</v>
      </c>
      <c r="J194" t="s">
        <v>6</v>
      </c>
      <c r="K194" t="s">
        <v>1150</v>
      </c>
      <c r="L194">
        <v>1191</v>
      </c>
      <c r="N194">
        <v>1013</v>
      </c>
      <c r="O194" t="s">
        <v>1148</v>
      </c>
      <c r="P194" t="s">
        <v>1148</v>
      </c>
      <c r="Q194">
        <v>1</v>
      </c>
      <c r="W194">
        <v>0</v>
      </c>
      <c r="X194">
        <v>-1417349443</v>
      </c>
      <c r="Y194">
        <v>1.73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1</v>
      </c>
      <c r="AJ194">
        <v>1</v>
      </c>
      <c r="AK194">
        <v>7.13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6</v>
      </c>
      <c r="AT194">
        <v>1.73</v>
      </c>
      <c r="AU194" t="s">
        <v>6</v>
      </c>
      <c r="AV194">
        <v>2</v>
      </c>
      <c r="AW194">
        <v>2</v>
      </c>
      <c r="AX194">
        <v>16631570</v>
      </c>
      <c r="AY194">
        <v>1</v>
      </c>
      <c r="AZ194">
        <v>2048</v>
      </c>
      <c r="BA194">
        <v>202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Y194*Source!I90</f>
        <v>0.64183000000000001</v>
      </c>
      <c r="CY194">
        <f>AD194</f>
        <v>0</v>
      </c>
      <c r="CZ194">
        <f>AH194</f>
        <v>0</v>
      </c>
      <c r="DA194">
        <f>AL194</f>
        <v>1</v>
      </c>
      <c r="DB194">
        <f>ROUND(ROUND(AT194*CZ194,2),2)</f>
        <v>0</v>
      </c>
      <c r="DC194">
        <f>ROUND(ROUND(AT194*AG194,2),2)</f>
        <v>0</v>
      </c>
    </row>
    <row r="195" spans="1:107" x14ac:dyDescent="0.2">
      <c r="A195">
        <f>ROW(Source!A90)</f>
        <v>90</v>
      </c>
      <c r="B195">
        <v>16630606</v>
      </c>
      <c r="C195">
        <v>16631558</v>
      </c>
      <c r="D195">
        <v>15247576</v>
      </c>
      <c r="E195">
        <v>1</v>
      </c>
      <c r="F195">
        <v>1</v>
      </c>
      <c r="G195">
        <v>1</v>
      </c>
      <c r="H195">
        <v>2</v>
      </c>
      <c r="I195" t="s">
        <v>1339</v>
      </c>
      <c r="J195" t="s">
        <v>1340</v>
      </c>
      <c r="K195" t="s">
        <v>1341</v>
      </c>
      <c r="L195">
        <v>1368</v>
      </c>
      <c r="N195">
        <v>1011</v>
      </c>
      <c r="O195" t="s">
        <v>1154</v>
      </c>
      <c r="P195" t="s">
        <v>1154</v>
      </c>
      <c r="Q195">
        <v>1</v>
      </c>
      <c r="W195">
        <v>0</v>
      </c>
      <c r="X195">
        <v>257150282</v>
      </c>
      <c r="Y195">
        <v>2.5000000000000001E-2</v>
      </c>
      <c r="AA195">
        <v>0</v>
      </c>
      <c r="AB195">
        <v>594.86</v>
      </c>
      <c r="AC195">
        <v>13.5</v>
      </c>
      <c r="AD195">
        <v>0</v>
      </c>
      <c r="AE195">
        <v>0</v>
      </c>
      <c r="AF195">
        <v>83.43</v>
      </c>
      <c r="AG195">
        <v>13.5</v>
      </c>
      <c r="AH195">
        <v>0</v>
      </c>
      <c r="AI195">
        <v>1</v>
      </c>
      <c r="AJ195">
        <v>7.13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6</v>
      </c>
      <c r="AT195">
        <v>0.02</v>
      </c>
      <c r="AU195" t="s">
        <v>81</v>
      </c>
      <c r="AV195">
        <v>0</v>
      </c>
      <c r="AW195">
        <v>2</v>
      </c>
      <c r="AX195">
        <v>16631571</v>
      </c>
      <c r="AY195">
        <v>1</v>
      </c>
      <c r="AZ195">
        <v>0</v>
      </c>
      <c r="BA195">
        <v>203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Y195*Source!I90</f>
        <v>9.2750000000000003E-3</v>
      </c>
      <c r="CY195">
        <f>AB195</f>
        <v>594.86</v>
      </c>
      <c r="CZ195">
        <f>AF195</f>
        <v>83.43</v>
      </c>
      <c r="DA195">
        <f>AJ195</f>
        <v>7.13</v>
      </c>
      <c r="DB195">
        <f>ROUND((ROUND(AT195*CZ195,2)*1.25),2)</f>
        <v>2.09</v>
      </c>
      <c r="DC195">
        <f>ROUND((ROUND(AT195*AG195,2)*1.25),2)</f>
        <v>0.34</v>
      </c>
    </row>
    <row r="196" spans="1:107" x14ac:dyDescent="0.2">
      <c r="A196">
        <f>ROW(Source!A90)</f>
        <v>90</v>
      </c>
      <c r="B196">
        <v>16630606</v>
      </c>
      <c r="C196">
        <v>16631558</v>
      </c>
      <c r="D196">
        <v>15247678</v>
      </c>
      <c r="E196">
        <v>1</v>
      </c>
      <c r="F196">
        <v>1</v>
      </c>
      <c r="G196">
        <v>1</v>
      </c>
      <c r="H196">
        <v>2</v>
      </c>
      <c r="I196" t="s">
        <v>1342</v>
      </c>
      <c r="J196" t="s">
        <v>1343</v>
      </c>
      <c r="K196" t="s">
        <v>1344</v>
      </c>
      <c r="L196">
        <v>1368</v>
      </c>
      <c r="N196">
        <v>1011</v>
      </c>
      <c r="O196" t="s">
        <v>1154</v>
      </c>
      <c r="P196" t="s">
        <v>1154</v>
      </c>
      <c r="Q196">
        <v>1</v>
      </c>
      <c r="W196">
        <v>0</v>
      </c>
      <c r="X196">
        <v>1330025190</v>
      </c>
      <c r="Y196">
        <v>1.2500000000000001E-2</v>
      </c>
      <c r="AA196">
        <v>0</v>
      </c>
      <c r="AB196">
        <v>627.51</v>
      </c>
      <c r="AC196">
        <v>11.6</v>
      </c>
      <c r="AD196">
        <v>0</v>
      </c>
      <c r="AE196">
        <v>0</v>
      </c>
      <c r="AF196">
        <v>88.01</v>
      </c>
      <c r="AG196">
        <v>11.6</v>
      </c>
      <c r="AH196">
        <v>0</v>
      </c>
      <c r="AI196">
        <v>1</v>
      </c>
      <c r="AJ196">
        <v>7.13</v>
      </c>
      <c r="AK196">
        <v>1</v>
      </c>
      <c r="AL196">
        <v>1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6</v>
      </c>
      <c r="AT196">
        <v>0.01</v>
      </c>
      <c r="AU196" t="s">
        <v>81</v>
      </c>
      <c r="AV196">
        <v>0</v>
      </c>
      <c r="AW196">
        <v>2</v>
      </c>
      <c r="AX196">
        <v>16631572</v>
      </c>
      <c r="AY196">
        <v>1</v>
      </c>
      <c r="AZ196">
        <v>0</v>
      </c>
      <c r="BA196">
        <v>204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Y196*Source!I90</f>
        <v>4.6375000000000001E-3</v>
      </c>
      <c r="CY196">
        <f>AB196</f>
        <v>627.51</v>
      </c>
      <c r="CZ196">
        <f>AF196</f>
        <v>88.01</v>
      </c>
      <c r="DA196">
        <f>AJ196</f>
        <v>7.13</v>
      </c>
      <c r="DB196">
        <f>ROUND((ROUND(AT196*CZ196,2)*1.25),2)</f>
        <v>1.1000000000000001</v>
      </c>
      <c r="DC196">
        <f>ROUND((ROUND(AT196*AG196,2)*1.25),2)</f>
        <v>0.15</v>
      </c>
    </row>
    <row r="197" spans="1:107" x14ac:dyDescent="0.2">
      <c r="A197">
        <f>ROW(Source!A90)</f>
        <v>90</v>
      </c>
      <c r="B197">
        <v>16630606</v>
      </c>
      <c r="C197">
        <v>16631558</v>
      </c>
      <c r="D197">
        <v>15248143</v>
      </c>
      <c r="E197">
        <v>1</v>
      </c>
      <c r="F197">
        <v>1</v>
      </c>
      <c r="G197">
        <v>1</v>
      </c>
      <c r="H197">
        <v>2</v>
      </c>
      <c r="I197" t="s">
        <v>1345</v>
      </c>
      <c r="J197" t="s">
        <v>1346</v>
      </c>
      <c r="K197" t="s">
        <v>1347</v>
      </c>
      <c r="L197">
        <v>1368</v>
      </c>
      <c r="N197">
        <v>1011</v>
      </c>
      <c r="O197" t="s">
        <v>1154</v>
      </c>
      <c r="P197" t="s">
        <v>1154</v>
      </c>
      <c r="Q197">
        <v>1</v>
      </c>
      <c r="W197">
        <v>0</v>
      </c>
      <c r="X197">
        <v>983187852</v>
      </c>
      <c r="Y197">
        <v>2.1124999999999998</v>
      </c>
      <c r="AA197">
        <v>0</v>
      </c>
      <c r="AB197">
        <v>88.34</v>
      </c>
      <c r="AC197">
        <v>10.06</v>
      </c>
      <c r="AD197">
        <v>0</v>
      </c>
      <c r="AE197">
        <v>0</v>
      </c>
      <c r="AF197">
        <v>12.39</v>
      </c>
      <c r="AG197">
        <v>10.06</v>
      </c>
      <c r="AH197">
        <v>0</v>
      </c>
      <c r="AI197">
        <v>1</v>
      </c>
      <c r="AJ197">
        <v>7.13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6</v>
      </c>
      <c r="AT197">
        <v>1.69</v>
      </c>
      <c r="AU197" t="s">
        <v>81</v>
      </c>
      <c r="AV197">
        <v>0</v>
      </c>
      <c r="AW197">
        <v>2</v>
      </c>
      <c r="AX197">
        <v>16631573</v>
      </c>
      <c r="AY197">
        <v>1</v>
      </c>
      <c r="AZ197">
        <v>0</v>
      </c>
      <c r="BA197">
        <v>205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Y197*Source!I90</f>
        <v>0.78373749999999998</v>
      </c>
      <c r="CY197">
        <f>AB197</f>
        <v>88.34</v>
      </c>
      <c r="CZ197">
        <f>AF197</f>
        <v>12.39</v>
      </c>
      <c r="DA197">
        <f>AJ197</f>
        <v>7.13</v>
      </c>
      <c r="DB197">
        <f>ROUND((ROUND(AT197*CZ197,2)*1.25),2)</f>
        <v>26.18</v>
      </c>
      <c r="DC197">
        <f>ROUND((ROUND(AT197*AG197,2)*1.25),2)</f>
        <v>21.25</v>
      </c>
    </row>
    <row r="198" spans="1:107" x14ac:dyDescent="0.2">
      <c r="A198">
        <f>ROW(Source!A90)</f>
        <v>90</v>
      </c>
      <c r="B198">
        <v>16630606</v>
      </c>
      <c r="C198">
        <v>16631558</v>
      </c>
      <c r="D198">
        <v>15249073</v>
      </c>
      <c r="E198">
        <v>1</v>
      </c>
      <c r="F198">
        <v>1</v>
      </c>
      <c r="G198">
        <v>1</v>
      </c>
      <c r="H198">
        <v>2</v>
      </c>
      <c r="I198" t="s">
        <v>1157</v>
      </c>
      <c r="J198" t="s">
        <v>1158</v>
      </c>
      <c r="K198" t="s">
        <v>1159</v>
      </c>
      <c r="L198">
        <v>1368</v>
      </c>
      <c r="N198">
        <v>1011</v>
      </c>
      <c r="O198" t="s">
        <v>1154</v>
      </c>
      <c r="P198" t="s">
        <v>1154</v>
      </c>
      <c r="Q198">
        <v>1</v>
      </c>
      <c r="W198">
        <v>0</v>
      </c>
      <c r="X198">
        <v>1372534845</v>
      </c>
      <c r="Y198">
        <v>1.2500000000000001E-2</v>
      </c>
      <c r="AA198">
        <v>0</v>
      </c>
      <c r="AB198">
        <v>468.51</v>
      </c>
      <c r="AC198">
        <v>11.6</v>
      </c>
      <c r="AD198">
        <v>0</v>
      </c>
      <c r="AE198">
        <v>0</v>
      </c>
      <c r="AF198">
        <v>65.709999999999994</v>
      </c>
      <c r="AG198">
        <v>11.6</v>
      </c>
      <c r="AH198">
        <v>0</v>
      </c>
      <c r="AI198">
        <v>1</v>
      </c>
      <c r="AJ198">
        <v>7.13</v>
      </c>
      <c r="AK198">
        <v>1</v>
      </c>
      <c r="AL198">
        <v>1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6</v>
      </c>
      <c r="AT198">
        <v>0.01</v>
      </c>
      <c r="AU198" t="s">
        <v>81</v>
      </c>
      <c r="AV198">
        <v>0</v>
      </c>
      <c r="AW198">
        <v>2</v>
      </c>
      <c r="AX198">
        <v>16631574</v>
      </c>
      <c r="AY198">
        <v>1</v>
      </c>
      <c r="AZ198">
        <v>0</v>
      </c>
      <c r="BA198">
        <v>206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Y198*Source!I90</f>
        <v>4.6375000000000001E-3</v>
      </c>
      <c r="CY198">
        <f>AB198</f>
        <v>468.51</v>
      </c>
      <c r="CZ198">
        <f>AF198</f>
        <v>65.709999999999994</v>
      </c>
      <c r="DA198">
        <f>AJ198</f>
        <v>7.13</v>
      </c>
      <c r="DB198">
        <f>ROUND((ROUND(AT198*CZ198,2)*1.25),2)</f>
        <v>0.83</v>
      </c>
      <c r="DC198">
        <f>ROUND((ROUND(AT198*AG198,2)*1.25),2)</f>
        <v>0.15</v>
      </c>
    </row>
    <row r="199" spans="1:107" x14ac:dyDescent="0.2">
      <c r="A199">
        <f>ROW(Source!A90)</f>
        <v>90</v>
      </c>
      <c r="B199">
        <v>16630606</v>
      </c>
      <c r="C199">
        <v>16631558</v>
      </c>
      <c r="D199">
        <v>15167286</v>
      </c>
      <c r="E199">
        <v>1</v>
      </c>
      <c r="F199">
        <v>1</v>
      </c>
      <c r="G199">
        <v>1</v>
      </c>
      <c r="H199">
        <v>3</v>
      </c>
      <c r="I199" t="s">
        <v>1265</v>
      </c>
      <c r="J199" t="s">
        <v>1266</v>
      </c>
      <c r="K199" t="s">
        <v>1267</v>
      </c>
      <c r="L199">
        <v>1339</v>
      </c>
      <c r="N199">
        <v>1007</v>
      </c>
      <c r="O199" t="s">
        <v>203</v>
      </c>
      <c r="P199" t="s">
        <v>203</v>
      </c>
      <c r="Q199">
        <v>1</v>
      </c>
      <c r="W199">
        <v>0</v>
      </c>
      <c r="X199">
        <v>-1660354250</v>
      </c>
      <c r="Y199">
        <v>0.44</v>
      </c>
      <c r="AA199">
        <v>17.399999999999999</v>
      </c>
      <c r="AB199">
        <v>0</v>
      </c>
      <c r="AC199">
        <v>0</v>
      </c>
      <c r="AD199">
        <v>0</v>
      </c>
      <c r="AE199">
        <v>2.44</v>
      </c>
      <c r="AF199">
        <v>0</v>
      </c>
      <c r="AG199">
        <v>0</v>
      </c>
      <c r="AH199">
        <v>0</v>
      </c>
      <c r="AI199">
        <v>7.13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6</v>
      </c>
      <c r="AT199">
        <v>0.44</v>
      </c>
      <c r="AU199" t="s">
        <v>6</v>
      </c>
      <c r="AV199">
        <v>0</v>
      </c>
      <c r="AW199">
        <v>2</v>
      </c>
      <c r="AX199">
        <v>16631575</v>
      </c>
      <c r="AY199">
        <v>1</v>
      </c>
      <c r="AZ199">
        <v>0</v>
      </c>
      <c r="BA199">
        <v>207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Y199*Source!I90</f>
        <v>0.16324</v>
      </c>
      <c r="CY199">
        <f>AA199</f>
        <v>17.399999999999999</v>
      </c>
      <c r="CZ199">
        <f>AE199</f>
        <v>2.44</v>
      </c>
      <c r="DA199">
        <f>AI199</f>
        <v>7.13</v>
      </c>
      <c r="DB199">
        <f>ROUND(ROUND(AT199*CZ199,2),2)</f>
        <v>1.07</v>
      </c>
      <c r="DC199">
        <f>ROUND(ROUND(AT199*AG199,2),2)</f>
        <v>0</v>
      </c>
    </row>
    <row r="200" spans="1:107" x14ac:dyDescent="0.2">
      <c r="A200">
        <f>ROW(Source!A90)</f>
        <v>90</v>
      </c>
      <c r="B200">
        <v>16630606</v>
      </c>
      <c r="C200">
        <v>16631558</v>
      </c>
      <c r="D200">
        <v>15173044</v>
      </c>
      <c r="E200">
        <v>1</v>
      </c>
      <c r="F200">
        <v>1</v>
      </c>
      <c r="G200">
        <v>1</v>
      </c>
      <c r="H200">
        <v>3</v>
      </c>
      <c r="I200" t="s">
        <v>1348</v>
      </c>
      <c r="J200" t="s">
        <v>1349</v>
      </c>
      <c r="K200" t="s">
        <v>1350</v>
      </c>
      <c r="L200">
        <v>1348</v>
      </c>
      <c r="N200">
        <v>1009</v>
      </c>
      <c r="O200" t="s">
        <v>98</v>
      </c>
      <c r="P200" t="s">
        <v>98</v>
      </c>
      <c r="Q200">
        <v>1000</v>
      </c>
      <c r="W200">
        <v>0</v>
      </c>
      <c r="X200">
        <v>2108657288</v>
      </c>
      <c r="Y200">
        <v>1.2999999999999999E-2</v>
      </c>
      <c r="AA200">
        <v>46437.69</v>
      </c>
      <c r="AB200">
        <v>0</v>
      </c>
      <c r="AC200">
        <v>0</v>
      </c>
      <c r="AD200">
        <v>0</v>
      </c>
      <c r="AE200">
        <v>6513</v>
      </c>
      <c r="AF200">
        <v>0</v>
      </c>
      <c r="AG200">
        <v>0</v>
      </c>
      <c r="AH200">
        <v>0</v>
      </c>
      <c r="AI200">
        <v>7.13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6</v>
      </c>
      <c r="AT200">
        <v>1.2999999999999999E-2</v>
      </c>
      <c r="AU200" t="s">
        <v>6</v>
      </c>
      <c r="AV200">
        <v>0</v>
      </c>
      <c r="AW200">
        <v>2</v>
      </c>
      <c r="AX200">
        <v>16631576</v>
      </c>
      <c r="AY200">
        <v>1</v>
      </c>
      <c r="AZ200">
        <v>0</v>
      </c>
      <c r="BA200">
        <v>208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Y200*Source!I90</f>
        <v>4.823E-3</v>
      </c>
      <c r="CY200">
        <f>AA200</f>
        <v>46437.69</v>
      </c>
      <c r="CZ200">
        <f>AE200</f>
        <v>6513</v>
      </c>
      <c r="DA200">
        <f>AI200</f>
        <v>7.13</v>
      </c>
      <c r="DB200">
        <f>ROUND(ROUND(AT200*CZ200,2),2)</f>
        <v>84.67</v>
      </c>
      <c r="DC200">
        <f>ROUND(ROUND(AT200*AG200,2),2)</f>
        <v>0</v>
      </c>
    </row>
    <row r="201" spans="1:107" x14ac:dyDescent="0.2">
      <c r="A201">
        <f>ROW(Source!A90)</f>
        <v>90</v>
      </c>
      <c r="B201">
        <v>16630606</v>
      </c>
      <c r="C201">
        <v>16631558</v>
      </c>
      <c r="D201">
        <v>15187102</v>
      </c>
      <c r="E201">
        <v>1</v>
      </c>
      <c r="F201">
        <v>1</v>
      </c>
      <c r="G201">
        <v>1</v>
      </c>
      <c r="H201">
        <v>3</v>
      </c>
      <c r="I201" t="s">
        <v>1351</v>
      </c>
      <c r="J201" t="s">
        <v>1352</v>
      </c>
      <c r="K201" t="s">
        <v>1353</v>
      </c>
      <c r="L201">
        <v>1327</v>
      </c>
      <c r="N201">
        <v>1005</v>
      </c>
      <c r="O201" t="s">
        <v>87</v>
      </c>
      <c r="P201" t="s">
        <v>87</v>
      </c>
      <c r="Q201">
        <v>1</v>
      </c>
      <c r="W201">
        <v>0</v>
      </c>
      <c r="X201">
        <v>2046761779</v>
      </c>
      <c r="Y201">
        <v>102</v>
      </c>
      <c r="AA201">
        <v>1001.41</v>
      </c>
      <c r="AB201">
        <v>0</v>
      </c>
      <c r="AC201">
        <v>0</v>
      </c>
      <c r="AD201">
        <v>0</v>
      </c>
      <c r="AE201">
        <v>140.44999999999999</v>
      </c>
      <c r="AF201">
        <v>0</v>
      </c>
      <c r="AG201">
        <v>0</v>
      </c>
      <c r="AH201">
        <v>0</v>
      </c>
      <c r="AI201">
        <v>7.13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6</v>
      </c>
      <c r="AT201">
        <v>102</v>
      </c>
      <c r="AU201" t="s">
        <v>6</v>
      </c>
      <c r="AV201">
        <v>0</v>
      </c>
      <c r="AW201">
        <v>2</v>
      </c>
      <c r="AX201">
        <v>16631577</v>
      </c>
      <c r="AY201">
        <v>1</v>
      </c>
      <c r="AZ201">
        <v>0</v>
      </c>
      <c r="BA201">
        <v>209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Y201*Source!I90</f>
        <v>37.841999999999999</v>
      </c>
      <c r="CY201">
        <f>AA201</f>
        <v>1001.41</v>
      </c>
      <c r="CZ201">
        <f>AE201</f>
        <v>140.44999999999999</v>
      </c>
      <c r="DA201">
        <f>AI201</f>
        <v>7.13</v>
      </c>
      <c r="DB201">
        <f>ROUND(ROUND(AT201*CZ201,2),2)</f>
        <v>14325.9</v>
      </c>
      <c r="DC201">
        <f>ROUND(ROUND(AT201*AG201,2),2)</f>
        <v>0</v>
      </c>
    </row>
    <row r="202" spans="1:107" x14ac:dyDescent="0.2">
      <c r="A202">
        <f>ROW(Source!A90)</f>
        <v>90</v>
      </c>
      <c r="B202">
        <v>16630606</v>
      </c>
      <c r="C202">
        <v>16631558</v>
      </c>
      <c r="D202">
        <v>15202597</v>
      </c>
      <c r="E202">
        <v>1</v>
      </c>
      <c r="F202">
        <v>1</v>
      </c>
      <c r="G202">
        <v>1</v>
      </c>
      <c r="H202">
        <v>3</v>
      </c>
      <c r="I202" t="s">
        <v>297</v>
      </c>
      <c r="J202" t="s">
        <v>299</v>
      </c>
      <c r="K202" t="s">
        <v>298</v>
      </c>
      <c r="L202">
        <v>1346</v>
      </c>
      <c r="N202">
        <v>1009</v>
      </c>
      <c r="O202" t="s">
        <v>102</v>
      </c>
      <c r="P202" t="s">
        <v>102</v>
      </c>
      <c r="Q202">
        <v>1</v>
      </c>
      <c r="W202">
        <v>0</v>
      </c>
      <c r="X202">
        <v>830044740</v>
      </c>
      <c r="Y202">
        <v>1200</v>
      </c>
      <c r="AA202">
        <v>26.31</v>
      </c>
      <c r="AB202">
        <v>0</v>
      </c>
      <c r="AC202">
        <v>0</v>
      </c>
      <c r="AD202">
        <v>0</v>
      </c>
      <c r="AE202">
        <v>3.69</v>
      </c>
      <c r="AF202">
        <v>0</v>
      </c>
      <c r="AG202">
        <v>0</v>
      </c>
      <c r="AH202">
        <v>0</v>
      </c>
      <c r="AI202">
        <v>7.13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6</v>
      </c>
      <c r="AT202">
        <v>1200</v>
      </c>
      <c r="AU202" t="s">
        <v>6</v>
      </c>
      <c r="AV202">
        <v>0</v>
      </c>
      <c r="AW202">
        <v>2</v>
      </c>
      <c r="AX202">
        <v>16631579</v>
      </c>
      <c r="AY202">
        <v>1</v>
      </c>
      <c r="AZ202">
        <v>0</v>
      </c>
      <c r="BA202">
        <v>211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Y202*Source!I90</f>
        <v>445.2</v>
      </c>
      <c r="CY202">
        <f>AA202</f>
        <v>26.31</v>
      </c>
      <c r="CZ202">
        <f>AE202</f>
        <v>3.69</v>
      </c>
      <c r="DA202">
        <f>AI202</f>
        <v>7.13</v>
      </c>
      <c r="DB202">
        <f>ROUND(ROUND(AT202*CZ202,2),2)</f>
        <v>4428</v>
      </c>
      <c r="DC202">
        <f>ROUND(ROUND(AT202*AG202,2),2)</f>
        <v>0</v>
      </c>
    </row>
    <row r="203" spans="1:107" x14ac:dyDescent="0.2">
      <c r="A203">
        <f>ROW(Source!A91)</f>
        <v>91</v>
      </c>
      <c r="B203">
        <v>16630606</v>
      </c>
      <c r="C203">
        <v>16631581</v>
      </c>
      <c r="D203">
        <v>15430767</v>
      </c>
      <c r="E203">
        <v>1</v>
      </c>
      <c r="F203">
        <v>1</v>
      </c>
      <c r="G203">
        <v>1</v>
      </c>
      <c r="H203">
        <v>1</v>
      </c>
      <c r="I203" t="s">
        <v>1171</v>
      </c>
      <c r="J203" t="s">
        <v>6</v>
      </c>
      <c r="K203" t="s">
        <v>1172</v>
      </c>
      <c r="L203">
        <v>1191</v>
      </c>
      <c r="N203">
        <v>1013</v>
      </c>
      <c r="O203" t="s">
        <v>1148</v>
      </c>
      <c r="P203" t="s">
        <v>1148</v>
      </c>
      <c r="Q203">
        <v>1</v>
      </c>
      <c r="W203">
        <v>0</v>
      </c>
      <c r="X203">
        <v>-400197608</v>
      </c>
      <c r="Y203">
        <v>37.363500000000002</v>
      </c>
      <c r="AA203">
        <v>0</v>
      </c>
      <c r="AB203">
        <v>0</v>
      </c>
      <c r="AC203">
        <v>0</v>
      </c>
      <c r="AD203">
        <v>60.82</v>
      </c>
      <c r="AE203">
        <v>0</v>
      </c>
      <c r="AF203">
        <v>0</v>
      </c>
      <c r="AG203">
        <v>0</v>
      </c>
      <c r="AH203">
        <v>8.5299999999999994</v>
      </c>
      <c r="AI203">
        <v>1</v>
      </c>
      <c r="AJ203">
        <v>1</v>
      </c>
      <c r="AK203">
        <v>1</v>
      </c>
      <c r="AL203">
        <v>7.13</v>
      </c>
      <c r="AN203">
        <v>0</v>
      </c>
      <c r="AO203">
        <v>1</v>
      </c>
      <c r="AP203">
        <v>1</v>
      </c>
      <c r="AQ203">
        <v>0</v>
      </c>
      <c r="AR203">
        <v>0</v>
      </c>
      <c r="AS203" t="s">
        <v>6</v>
      </c>
      <c r="AT203">
        <v>32.49</v>
      </c>
      <c r="AU203" t="s">
        <v>82</v>
      </c>
      <c r="AV203">
        <v>1</v>
      </c>
      <c r="AW203">
        <v>2</v>
      </c>
      <c r="AX203">
        <v>16631589</v>
      </c>
      <c r="AY203">
        <v>1</v>
      </c>
      <c r="AZ203">
        <v>0</v>
      </c>
      <c r="BA203">
        <v>213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Y203*Source!I91</f>
        <v>175.39921440000001</v>
      </c>
      <c r="CY203">
        <f>AD203</f>
        <v>60.82</v>
      </c>
      <c r="CZ203">
        <f>AH203</f>
        <v>8.5299999999999994</v>
      </c>
      <c r="DA203">
        <f>AL203</f>
        <v>7.13</v>
      </c>
      <c r="DB203">
        <f>ROUND((ROUND(AT203*CZ203,2)*1.15),2)</f>
        <v>318.70999999999998</v>
      </c>
      <c r="DC203">
        <f>ROUND((ROUND(AT203*AG203,2)*1.15),2)</f>
        <v>0</v>
      </c>
    </row>
    <row r="204" spans="1:107" x14ac:dyDescent="0.2">
      <c r="A204">
        <f>ROW(Source!A91)</f>
        <v>91</v>
      </c>
      <c r="B204">
        <v>16630606</v>
      </c>
      <c r="C204">
        <v>16631581</v>
      </c>
      <c r="D204">
        <v>15430395</v>
      </c>
      <c r="E204">
        <v>1</v>
      </c>
      <c r="F204">
        <v>1</v>
      </c>
      <c r="G204">
        <v>1</v>
      </c>
      <c r="H204">
        <v>1</v>
      </c>
      <c r="I204" t="s">
        <v>1149</v>
      </c>
      <c r="J204" t="s">
        <v>6</v>
      </c>
      <c r="K204" t="s">
        <v>1150</v>
      </c>
      <c r="L204">
        <v>1191</v>
      </c>
      <c r="N204">
        <v>1013</v>
      </c>
      <c r="O204" t="s">
        <v>1148</v>
      </c>
      <c r="P204" t="s">
        <v>1148</v>
      </c>
      <c r="Q204">
        <v>1</v>
      </c>
      <c r="W204">
        <v>0</v>
      </c>
      <c r="X204">
        <v>-1417349443</v>
      </c>
      <c r="Y204">
        <v>0.93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7.13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6</v>
      </c>
      <c r="AT204">
        <v>0.93</v>
      </c>
      <c r="AU204" t="s">
        <v>6</v>
      </c>
      <c r="AV204">
        <v>2</v>
      </c>
      <c r="AW204">
        <v>2</v>
      </c>
      <c r="AX204">
        <v>16631590</v>
      </c>
      <c r="AY204">
        <v>1</v>
      </c>
      <c r="AZ204">
        <v>2048</v>
      </c>
      <c r="BA204">
        <v>214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Y204*Source!I91</f>
        <v>4.3657919999999999</v>
      </c>
      <c r="CY204">
        <f>AD204</f>
        <v>0</v>
      </c>
      <c r="CZ204">
        <f>AH204</f>
        <v>0</v>
      </c>
      <c r="DA204">
        <f>AL204</f>
        <v>1</v>
      </c>
      <c r="DB204">
        <f>ROUND(ROUND(AT204*CZ204,2),2)</f>
        <v>0</v>
      </c>
      <c r="DC204">
        <f>ROUND(ROUND(AT204*AG204,2),2)</f>
        <v>0</v>
      </c>
    </row>
    <row r="205" spans="1:107" x14ac:dyDescent="0.2">
      <c r="A205">
        <f>ROW(Source!A91)</f>
        <v>91</v>
      </c>
      <c r="B205">
        <v>16630606</v>
      </c>
      <c r="C205">
        <v>16631581</v>
      </c>
      <c r="D205">
        <v>15247905</v>
      </c>
      <c r="E205">
        <v>1</v>
      </c>
      <c r="F205">
        <v>1</v>
      </c>
      <c r="G205">
        <v>1</v>
      </c>
      <c r="H205">
        <v>2</v>
      </c>
      <c r="I205" t="s">
        <v>1330</v>
      </c>
      <c r="J205" t="s">
        <v>1331</v>
      </c>
      <c r="K205" t="s">
        <v>1332</v>
      </c>
      <c r="L205">
        <v>1368</v>
      </c>
      <c r="N205">
        <v>1011</v>
      </c>
      <c r="O205" t="s">
        <v>1154</v>
      </c>
      <c r="P205" t="s">
        <v>1154</v>
      </c>
      <c r="Q205">
        <v>1</v>
      </c>
      <c r="W205">
        <v>0</v>
      </c>
      <c r="X205">
        <v>1225731627</v>
      </c>
      <c r="Y205">
        <v>2.5000000000000001E-2</v>
      </c>
      <c r="AA205">
        <v>0</v>
      </c>
      <c r="AB205">
        <v>641.63</v>
      </c>
      <c r="AC205">
        <v>10.06</v>
      </c>
      <c r="AD205">
        <v>0</v>
      </c>
      <c r="AE205">
        <v>0</v>
      </c>
      <c r="AF205">
        <v>89.99</v>
      </c>
      <c r="AG205">
        <v>10.06</v>
      </c>
      <c r="AH205">
        <v>0</v>
      </c>
      <c r="AI205">
        <v>1</v>
      </c>
      <c r="AJ205">
        <v>7.13</v>
      </c>
      <c r="AK205">
        <v>1</v>
      </c>
      <c r="AL205">
        <v>1</v>
      </c>
      <c r="AN205">
        <v>0</v>
      </c>
      <c r="AO205">
        <v>1</v>
      </c>
      <c r="AP205">
        <v>1</v>
      </c>
      <c r="AQ205">
        <v>0</v>
      </c>
      <c r="AR205">
        <v>0</v>
      </c>
      <c r="AS205" t="s">
        <v>6</v>
      </c>
      <c r="AT205">
        <v>0.02</v>
      </c>
      <c r="AU205" t="s">
        <v>81</v>
      </c>
      <c r="AV205">
        <v>0</v>
      </c>
      <c r="AW205">
        <v>2</v>
      </c>
      <c r="AX205">
        <v>16631591</v>
      </c>
      <c r="AY205">
        <v>1</v>
      </c>
      <c r="AZ205">
        <v>0</v>
      </c>
      <c r="BA205">
        <v>215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Y205*Source!I91</f>
        <v>0.11736000000000001</v>
      </c>
      <c r="CY205">
        <f>AB205</f>
        <v>641.63</v>
      </c>
      <c r="CZ205">
        <f>AF205</f>
        <v>89.99</v>
      </c>
      <c r="DA205">
        <f>AJ205</f>
        <v>7.13</v>
      </c>
      <c r="DB205">
        <f>ROUND((ROUND(AT205*CZ205,2)*1.25),2)</f>
        <v>2.25</v>
      </c>
      <c r="DC205">
        <f>ROUND((ROUND(AT205*AG205,2)*1.25),2)</f>
        <v>0.25</v>
      </c>
    </row>
    <row r="206" spans="1:107" x14ac:dyDescent="0.2">
      <c r="A206">
        <f>ROW(Source!A91)</f>
        <v>91</v>
      </c>
      <c r="B206">
        <v>16630606</v>
      </c>
      <c r="C206">
        <v>16631581</v>
      </c>
      <c r="D206">
        <v>15247974</v>
      </c>
      <c r="E206">
        <v>1</v>
      </c>
      <c r="F206">
        <v>1</v>
      </c>
      <c r="G206">
        <v>1</v>
      </c>
      <c r="H206">
        <v>2</v>
      </c>
      <c r="I206" t="s">
        <v>1151</v>
      </c>
      <c r="J206" t="s">
        <v>1152</v>
      </c>
      <c r="K206" t="s">
        <v>1153</v>
      </c>
      <c r="L206">
        <v>1368</v>
      </c>
      <c r="N206">
        <v>1011</v>
      </c>
      <c r="O206" t="s">
        <v>1154</v>
      </c>
      <c r="P206" t="s">
        <v>1154</v>
      </c>
      <c r="Q206">
        <v>1</v>
      </c>
      <c r="W206">
        <v>0</v>
      </c>
      <c r="X206">
        <v>1188625873</v>
      </c>
      <c r="Y206">
        <v>0.26250000000000001</v>
      </c>
      <c r="AA206">
        <v>0</v>
      </c>
      <c r="AB206">
        <v>222.88</v>
      </c>
      <c r="AC206">
        <v>13.5</v>
      </c>
      <c r="AD206">
        <v>0</v>
      </c>
      <c r="AE206">
        <v>0</v>
      </c>
      <c r="AF206">
        <v>31.26</v>
      </c>
      <c r="AG206">
        <v>13.5</v>
      </c>
      <c r="AH206">
        <v>0</v>
      </c>
      <c r="AI206">
        <v>1</v>
      </c>
      <c r="AJ206">
        <v>7.13</v>
      </c>
      <c r="AK206">
        <v>1</v>
      </c>
      <c r="AL206">
        <v>1</v>
      </c>
      <c r="AN206">
        <v>0</v>
      </c>
      <c r="AO206">
        <v>1</v>
      </c>
      <c r="AP206">
        <v>1</v>
      </c>
      <c r="AQ206">
        <v>0</v>
      </c>
      <c r="AR206">
        <v>0</v>
      </c>
      <c r="AS206" t="s">
        <v>6</v>
      </c>
      <c r="AT206">
        <v>0.21</v>
      </c>
      <c r="AU206" t="s">
        <v>81</v>
      </c>
      <c r="AV206">
        <v>0</v>
      </c>
      <c r="AW206">
        <v>2</v>
      </c>
      <c r="AX206">
        <v>16631592</v>
      </c>
      <c r="AY206">
        <v>1</v>
      </c>
      <c r="AZ206">
        <v>0</v>
      </c>
      <c r="BA206">
        <v>216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Y206*Source!I91</f>
        <v>1.23228</v>
      </c>
      <c r="CY206">
        <f>AB206</f>
        <v>222.88</v>
      </c>
      <c r="CZ206">
        <f>AF206</f>
        <v>31.26</v>
      </c>
      <c r="DA206">
        <f>AJ206</f>
        <v>7.13</v>
      </c>
      <c r="DB206">
        <f>ROUND((ROUND(AT206*CZ206,2)*1.25),2)</f>
        <v>8.1999999999999993</v>
      </c>
      <c r="DC206">
        <f>ROUND((ROUND(AT206*AG206,2)*1.25),2)</f>
        <v>3.55</v>
      </c>
    </row>
    <row r="207" spans="1:107" x14ac:dyDescent="0.2">
      <c r="A207">
        <f>ROW(Source!A91)</f>
        <v>91</v>
      </c>
      <c r="B207">
        <v>16630606</v>
      </c>
      <c r="C207">
        <v>16631581</v>
      </c>
      <c r="D207">
        <v>15248143</v>
      </c>
      <c r="E207">
        <v>1</v>
      </c>
      <c r="F207">
        <v>1</v>
      </c>
      <c r="G207">
        <v>1</v>
      </c>
      <c r="H207">
        <v>2</v>
      </c>
      <c r="I207" t="s">
        <v>1345</v>
      </c>
      <c r="J207" t="s">
        <v>1346</v>
      </c>
      <c r="K207" t="s">
        <v>1347</v>
      </c>
      <c r="L207">
        <v>1368</v>
      </c>
      <c r="N207">
        <v>1011</v>
      </c>
      <c r="O207" t="s">
        <v>1154</v>
      </c>
      <c r="P207" t="s">
        <v>1154</v>
      </c>
      <c r="Q207">
        <v>1</v>
      </c>
      <c r="W207">
        <v>0</v>
      </c>
      <c r="X207">
        <v>983187852</v>
      </c>
      <c r="Y207">
        <v>0.875</v>
      </c>
      <c r="AA207">
        <v>0</v>
      </c>
      <c r="AB207">
        <v>88.34</v>
      </c>
      <c r="AC207">
        <v>10.06</v>
      </c>
      <c r="AD207">
        <v>0</v>
      </c>
      <c r="AE207">
        <v>0</v>
      </c>
      <c r="AF207">
        <v>12.39</v>
      </c>
      <c r="AG207">
        <v>10.06</v>
      </c>
      <c r="AH207">
        <v>0</v>
      </c>
      <c r="AI207">
        <v>1</v>
      </c>
      <c r="AJ207">
        <v>7.13</v>
      </c>
      <c r="AK207">
        <v>1</v>
      </c>
      <c r="AL207">
        <v>1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6</v>
      </c>
      <c r="AT207">
        <v>0.7</v>
      </c>
      <c r="AU207" t="s">
        <v>81</v>
      </c>
      <c r="AV207">
        <v>0</v>
      </c>
      <c r="AW207">
        <v>2</v>
      </c>
      <c r="AX207">
        <v>16631593</v>
      </c>
      <c r="AY207">
        <v>1</v>
      </c>
      <c r="AZ207">
        <v>0</v>
      </c>
      <c r="BA207">
        <v>217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Y207*Source!I91</f>
        <v>4.1075999999999997</v>
      </c>
      <c r="CY207">
        <f>AB207</f>
        <v>88.34</v>
      </c>
      <c r="CZ207">
        <f>AF207</f>
        <v>12.39</v>
      </c>
      <c r="DA207">
        <f>AJ207</f>
        <v>7.13</v>
      </c>
      <c r="DB207">
        <f>ROUND((ROUND(AT207*CZ207,2)*1.25),2)</f>
        <v>10.84</v>
      </c>
      <c r="DC207">
        <f>ROUND((ROUND(AT207*AG207,2)*1.25),2)</f>
        <v>8.8000000000000007</v>
      </c>
    </row>
    <row r="208" spans="1:107" x14ac:dyDescent="0.2">
      <c r="A208">
        <f>ROW(Source!A91)</f>
        <v>91</v>
      </c>
      <c r="B208">
        <v>16630606</v>
      </c>
      <c r="C208">
        <v>16631581</v>
      </c>
      <c r="D208">
        <v>15167286</v>
      </c>
      <c r="E208">
        <v>1</v>
      </c>
      <c r="F208">
        <v>1</v>
      </c>
      <c r="G208">
        <v>1</v>
      </c>
      <c r="H208">
        <v>3</v>
      </c>
      <c r="I208" t="s">
        <v>1265</v>
      </c>
      <c r="J208" t="s">
        <v>1266</v>
      </c>
      <c r="K208" t="s">
        <v>1267</v>
      </c>
      <c r="L208">
        <v>1339</v>
      </c>
      <c r="N208">
        <v>1007</v>
      </c>
      <c r="O208" t="s">
        <v>203</v>
      </c>
      <c r="P208" t="s">
        <v>203</v>
      </c>
      <c r="Q208">
        <v>1</v>
      </c>
      <c r="W208">
        <v>0</v>
      </c>
      <c r="X208">
        <v>-1660354250</v>
      </c>
      <c r="Y208">
        <v>0.51</v>
      </c>
      <c r="AA208">
        <v>17.399999999999999</v>
      </c>
      <c r="AB208">
        <v>0</v>
      </c>
      <c r="AC208">
        <v>0</v>
      </c>
      <c r="AD208">
        <v>0</v>
      </c>
      <c r="AE208">
        <v>2.44</v>
      </c>
      <c r="AF208">
        <v>0</v>
      </c>
      <c r="AG208">
        <v>0</v>
      </c>
      <c r="AH208">
        <v>0</v>
      </c>
      <c r="AI208">
        <v>7.13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6</v>
      </c>
      <c r="AT208">
        <v>0.51</v>
      </c>
      <c r="AU208" t="s">
        <v>6</v>
      </c>
      <c r="AV208">
        <v>0</v>
      </c>
      <c r="AW208">
        <v>2</v>
      </c>
      <c r="AX208">
        <v>16631594</v>
      </c>
      <c r="AY208">
        <v>1</v>
      </c>
      <c r="AZ208">
        <v>0</v>
      </c>
      <c r="BA208">
        <v>218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Y208*Source!I91</f>
        <v>2.3941439999999998</v>
      </c>
      <c r="CY208">
        <f>AA208</f>
        <v>17.399999999999999</v>
      </c>
      <c r="CZ208">
        <f>AE208</f>
        <v>2.44</v>
      </c>
      <c r="DA208">
        <f>AI208</f>
        <v>7.13</v>
      </c>
      <c r="DB208">
        <f>ROUND(ROUND(AT208*CZ208,2),2)</f>
        <v>1.24</v>
      </c>
      <c r="DC208">
        <f>ROUND(ROUND(AT208*AG208,2),2)</f>
        <v>0</v>
      </c>
    </row>
    <row r="209" spans="1:107" x14ac:dyDescent="0.2">
      <c r="A209">
        <f>ROW(Source!A91)</f>
        <v>91</v>
      </c>
      <c r="B209">
        <v>16630606</v>
      </c>
      <c r="C209">
        <v>16631581</v>
      </c>
      <c r="D209">
        <v>15173298</v>
      </c>
      <c r="E209">
        <v>1</v>
      </c>
      <c r="F209">
        <v>1</v>
      </c>
      <c r="G209">
        <v>1</v>
      </c>
      <c r="H209">
        <v>3</v>
      </c>
      <c r="I209" t="s">
        <v>309</v>
      </c>
      <c r="J209" t="s">
        <v>311</v>
      </c>
      <c r="K209" t="s">
        <v>310</v>
      </c>
      <c r="L209">
        <v>1348</v>
      </c>
      <c r="N209">
        <v>1009</v>
      </c>
      <c r="O209" t="s">
        <v>98</v>
      </c>
      <c r="P209" t="s">
        <v>98</v>
      </c>
      <c r="Q209">
        <v>1000</v>
      </c>
      <c r="W209">
        <v>0</v>
      </c>
      <c r="X209">
        <v>-1327551889</v>
      </c>
      <c r="Y209">
        <v>0.85</v>
      </c>
      <c r="AA209">
        <v>6640.67</v>
      </c>
      <c r="AB209">
        <v>0</v>
      </c>
      <c r="AC209">
        <v>0</v>
      </c>
      <c r="AD209">
        <v>0</v>
      </c>
      <c r="AE209">
        <v>931.37</v>
      </c>
      <c r="AF209">
        <v>0</v>
      </c>
      <c r="AG209">
        <v>0</v>
      </c>
      <c r="AH209">
        <v>0</v>
      </c>
      <c r="AI209">
        <v>7.13</v>
      </c>
      <c r="AJ209">
        <v>1</v>
      </c>
      <c r="AK209">
        <v>1</v>
      </c>
      <c r="AL209">
        <v>1</v>
      </c>
      <c r="AN209">
        <v>0</v>
      </c>
      <c r="AO209">
        <v>0</v>
      </c>
      <c r="AP209">
        <v>0</v>
      </c>
      <c r="AQ209">
        <v>0</v>
      </c>
      <c r="AR209">
        <v>0</v>
      </c>
      <c r="AS209" t="s">
        <v>6</v>
      </c>
      <c r="AT209">
        <v>0.85</v>
      </c>
      <c r="AU209" t="s">
        <v>6</v>
      </c>
      <c r="AV209">
        <v>0</v>
      </c>
      <c r="AW209">
        <v>1</v>
      </c>
      <c r="AX209">
        <v>-1</v>
      </c>
      <c r="AY209">
        <v>0</v>
      </c>
      <c r="AZ209">
        <v>0</v>
      </c>
      <c r="BA209" t="s">
        <v>6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Y209*Source!I91</f>
        <v>3.99024</v>
      </c>
      <c r="CY209">
        <f>AA209</f>
        <v>6640.67</v>
      </c>
      <c r="CZ209">
        <f>AE209</f>
        <v>931.37</v>
      </c>
      <c r="DA209">
        <f>AI209</f>
        <v>7.13</v>
      </c>
      <c r="DB209">
        <f>ROUND(ROUND(AT209*CZ209,2),2)</f>
        <v>791.66</v>
      </c>
      <c r="DC209">
        <f>ROUND(ROUND(AT209*AG209,2),2)</f>
        <v>0</v>
      </c>
    </row>
    <row r="210" spans="1:107" x14ac:dyDescent="0.2">
      <c r="A210">
        <f>ROW(Source!A93)</f>
        <v>93</v>
      </c>
      <c r="B210">
        <v>16630606</v>
      </c>
      <c r="C210">
        <v>16631598</v>
      </c>
      <c r="D210">
        <v>15436556</v>
      </c>
      <c r="E210">
        <v>1</v>
      </c>
      <c r="F210">
        <v>1</v>
      </c>
      <c r="G210">
        <v>1</v>
      </c>
      <c r="H210">
        <v>1</v>
      </c>
      <c r="I210" t="s">
        <v>1354</v>
      </c>
      <c r="J210" t="s">
        <v>6</v>
      </c>
      <c r="K210" t="s">
        <v>1355</v>
      </c>
      <c r="L210">
        <v>1191</v>
      </c>
      <c r="N210">
        <v>1013</v>
      </c>
      <c r="O210" t="s">
        <v>1148</v>
      </c>
      <c r="P210" t="s">
        <v>1148</v>
      </c>
      <c r="Q210">
        <v>1</v>
      </c>
      <c r="W210">
        <v>0</v>
      </c>
      <c r="X210">
        <v>1069510174</v>
      </c>
      <c r="Y210">
        <v>7.5324999999999989</v>
      </c>
      <c r="AA210">
        <v>0</v>
      </c>
      <c r="AB210">
        <v>0</v>
      </c>
      <c r="AC210">
        <v>0</v>
      </c>
      <c r="AD210">
        <v>68.59</v>
      </c>
      <c r="AE210">
        <v>0</v>
      </c>
      <c r="AF210">
        <v>0</v>
      </c>
      <c r="AG210">
        <v>0</v>
      </c>
      <c r="AH210">
        <v>9.6199999999999992</v>
      </c>
      <c r="AI210">
        <v>1</v>
      </c>
      <c r="AJ210">
        <v>1</v>
      </c>
      <c r="AK210">
        <v>1</v>
      </c>
      <c r="AL210">
        <v>7.13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6</v>
      </c>
      <c r="AT210">
        <v>6.55</v>
      </c>
      <c r="AU210" t="s">
        <v>82</v>
      </c>
      <c r="AV210">
        <v>1</v>
      </c>
      <c r="AW210">
        <v>2</v>
      </c>
      <c r="AX210">
        <v>16631606</v>
      </c>
      <c r="AY210">
        <v>1</v>
      </c>
      <c r="AZ210">
        <v>0</v>
      </c>
      <c r="BA210">
        <v>221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Y210*Source!I93</f>
        <v>45.784794749999989</v>
      </c>
      <c r="CY210">
        <f>AD210</f>
        <v>68.59</v>
      </c>
      <c r="CZ210">
        <f>AH210</f>
        <v>9.6199999999999992</v>
      </c>
      <c r="DA210">
        <f>AL210</f>
        <v>7.13</v>
      </c>
      <c r="DB210">
        <f>ROUND((ROUND(AT210*CZ210,2)*1.15),2)</f>
        <v>72.459999999999994</v>
      </c>
      <c r="DC210">
        <f>ROUND((ROUND(AT210*AG210,2)*1.15),2)</f>
        <v>0</v>
      </c>
    </row>
    <row r="211" spans="1:107" x14ac:dyDescent="0.2">
      <c r="A211">
        <f>ROW(Source!A93)</f>
        <v>93</v>
      </c>
      <c r="B211">
        <v>16630606</v>
      </c>
      <c r="C211">
        <v>16631598</v>
      </c>
      <c r="D211">
        <v>15430395</v>
      </c>
      <c r="E211">
        <v>1</v>
      </c>
      <c r="F211">
        <v>1</v>
      </c>
      <c r="G211">
        <v>1</v>
      </c>
      <c r="H211">
        <v>1</v>
      </c>
      <c r="I211" t="s">
        <v>1149</v>
      </c>
      <c r="J211" t="s">
        <v>6</v>
      </c>
      <c r="K211" t="s">
        <v>1150</v>
      </c>
      <c r="L211">
        <v>1191</v>
      </c>
      <c r="N211">
        <v>1013</v>
      </c>
      <c r="O211" t="s">
        <v>1148</v>
      </c>
      <c r="P211" t="s">
        <v>1148</v>
      </c>
      <c r="Q211">
        <v>1</v>
      </c>
      <c r="W211">
        <v>0</v>
      </c>
      <c r="X211">
        <v>-1417349443</v>
      </c>
      <c r="Y211">
        <v>0.02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1</v>
      </c>
      <c r="AJ211">
        <v>1</v>
      </c>
      <c r="AK211">
        <v>7.13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6</v>
      </c>
      <c r="AT211">
        <v>0.02</v>
      </c>
      <c r="AU211" t="s">
        <v>6</v>
      </c>
      <c r="AV211">
        <v>2</v>
      </c>
      <c r="AW211">
        <v>2</v>
      </c>
      <c r="AX211">
        <v>16631607</v>
      </c>
      <c r="AY211">
        <v>1</v>
      </c>
      <c r="AZ211">
        <v>2048</v>
      </c>
      <c r="BA211">
        <v>222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Y211*Source!I93</f>
        <v>0.12156599999999999</v>
      </c>
      <c r="CY211">
        <f>AD211</f>
        <v>0</v>
      </c>
      <c r="CZ211">
        <f>AH211</f>
        <v>0</v>
      </c>
      <c r="DA211">
        <f>AL211</f>
        <v>1</v>
      </c>
      <c r="DB211">
        <f>ROUND(ROUND(AT211*CZ211,2),2)</f>
        <v>0</v>
      </c>
      <c r="DC211">
        <f>ROUND(ROUND(AT211*AG211,2),2)</f>
        <v>0</v>
      </c>
    </row>
    <row r="212" spans="1:107" x14ac:dyDescent="0.2">
      <c r="A212">
        <f>ROW(Source!A93)</f>
        <v>93</v>
      </c>
      <c r="B212">
        <v>16630606</v>
      </c>
      <c r="C212">
        <v>16631598</v>
      </c>
      <c r="D212">
        <v>15247974</v>
      </c>
      <c r="E212">
        <v>1</v>
      </c>
      <c r="F212">
        <v>1</v>
      </c>
      <c r="G212">
        <v>1</v>
      </c>
      <c r="H212">
        <v>2</v>
      </c>
      <c r="I212" t="s">
        <v>1151</v>
      </c>
      <c r="J212" t="s">
        <v>1152</v>
      </c>
      <c r="K212" t="s">
        <v>1153</v>
      </c>
      <c r="L212">
        <v>1368</v>
      </c>
      <c r="N212">
        <v>1011</v>
      </c>
      <c r="O212" t="s">
        <v>1154</v>
      </c>
      <c r="P212" t="s">
        <v>1154</v>
      </c>
      <c r="Q212">
        <v>1</v>
      </c>
      <c r="W212">
        <v>0</v>
      </c>
      <c r="X212">
        <v>1188625873</v>
      </c>
      <c r="Y212">
        <v>1.2500000000000001E-2</v>
      </c>
      <c r="AA212">
        <v>0</v>
      </c>
      <c r="AB212">
        <v>222.88</v>
      </c>
      <c r="AC212">
        <v>13.5</v>
      </c>
      <c r="AD212">
        <v>0</v>
      </c>
      <c r="AE212">
        <v>0</v>
      </c>
      <c r="AF212">
        <v>31.26</v>
      </c>
      <c r="AG212">
        <v>13.5</v>
      </c>
      <c r="AH212">
        <v>0</v>
      </c>
      <c r="AI212">
        <v>1</v>
      </c>
      <c r="AJ212">
        <v>7.13</v>
      </c>
      <c r="AK212">
        <v>1</v>
      </c>
      <c r="AL212">
        <v>1</v>
      </c>
      <c r="AN212">
        <v>0</v>
      </c>
      <c r="AO212">
        <v>1</v>
      </c>
      <c r="AP212">
        <v>1</v>
      </c>
      <c r="AQ212">
        <v>0</v>
      </c>
      <c r="AR212">
        <v>0</v>
      </c>
      <c r="AS212" t="s">
        <v>6</v>
      </c>
      <c r="AT212">
        <v>0.01</v>
      </c>
      <c r="AU212" t="s">
        <v>81</v>
      </c>
      <c r="AV212">
        <v>0</v>
      </c>
      <c r="AW212">
        <v>2</v>
      </c>
      <c r="AX212">
        <v>16631608</v>
      </c>
      <c r="AY212">
        <v>1</v>
      </c>
      <c r="AZ212">
        <v>0</v>
      </c>
      <c r="BA212">
        <v>223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Y212*Source!I93</f>
        <v>7.5978749999999998E-2</v>
      </c>
      <c r="CY212">
        <f>AB212</f>
        <v>222.88</v>
      </c>
      <c r="CZ212">
        <f>AF212</f>
        <v>31.26</v>
      </c>
      <c r="DA212">
        <f>AJ212</f>
        <v>7.13</v>
      </c>
      <c r="DB212">
        <f>ROUND((ROUND(AT212*CZ212,2)*1.25),2)</f>
        <v>0.39</v>
      </c>
      <c r="DC212">
        <f>ROUND((ROUND(AT212*AG212,2)*1.25),2)</f>
        <v>0.18</v>
      </c>
    </row>
    <row r="213" spans="1:107" x14ac:dyDescent="0.2">
      <c r="A213">
        <f>ROW(Source!A93)</f>
        <v>93</v>
      </c>
      <c r="B213">
        <v>16630606</v>
      </c>
      <c r="C213">
        <v>16631598</v>
      </c>
      <c r="D213">
        <v>15249073</v>
      </c>
      <c r="E213">
        <v>1</v>
      </c>
      <c r="F213">
        <v>1</v>
      </c>
      <c r="G213">
        <v>1</v>
      </c>
      <c r="H213">
        <v>2</v>
      </c>
      <c r="I213" t="s">
        <v>1157</v>
      </c>
      <c r="J213" t="s">
        <v>1158</v>
      </c>
      <c r="K213" t="s">
        <v>1159</v>
      </c>
      <c r="L213">
        <v>1368</v>
      </c>
      <c r="N213">
        <v>1011</v>
      </c>
      <c r="O213" t="s">
        <v>1154</v>
      </c>
      <c r="P213" t="s">
        <v>1154</v>
      </c>
      <c r="Q213">
        <v>1</v>
      </c>
      <c r="W213">
        <v>0</v>
      </c>
      <c r="X213">
        <v>1372534845</v>
      </c>
      <c r="Y213">
        <v>1.2500000000000001E-2</v>
      </c>
      <c r="AA213">
        <v>0</v>
      </c>
      <c r="AB213">
        <v>468.51</v>
      </c>
      <c r="AC213">
        <v>11.6</v>
      </c>
      <c r="AD213">
        <v>0</v>
      </c>
      <c r="AE213">
        <v>0</v>
      </c>
      <c r="AF213">
        <v>65.709999999999994</v>
      </c>
      <c r="AG213">
        <v>11.6</v>
      </c>
      <c r="AH213">
        <v>0</v>
      </c>
      <c r="AI213">
        <v>1</v>
      </c>
      <c r="AJ213">
        <v>7.13</v>
      </c>
      <c r="AK213">
        <v>1</v>
      </c>
      <c r="AL213">
        <v>1</v>
      </c>
      <c r="AN213">
        <v>0</v>
      </c>
      <c r="AO213">
        <v>1</v>
      </c>
      <c r="AP213">
        <v>1</v>
      </c>
      <c r="AQ213">
        <v>0</v>
      </c>
      <c r="AR213">
        <v>0</v>
      </c>
      <c r="AS213" t="s">
        <v>6</v>
      </c>
      <c r="AT213">
        <v>0.01</v>
      </c>
      <c r="AU213" t="s">
        <v>81</v>
      </c>
      <c r="AV213">
        <v>0</v>
      </c>
      <c r="AW213">
        <v>2</v>
      </c>
      <c r="AX213">
        <v>16631609</v>
      </c>
      <c r="AY213">
        <v>1</v>
      </c>
      <c r="AZ213">
        <v>0</v>
      </c>
      <c r="BA213">
        <v>224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Y213*Source!I93</f>
        <v>7.5978749999999998E-2</v>
      </c>
      <c r="CY213">
        <f>AB213</f>
        <v>468.51</v>
      </c>
      <c r="CZ213">
        <f>AF213</f>
        <v>65.709999999999994</v>
      </c>
      <c r="DA213">
        <f>AJ213</f>
        <v>7.13</v>
      </c>
      <c r="DB213">
        <f>ROUND((ROUND(AT213*CZ213,2)*1.25),2)</f>
        <v>0.83</v>
      </c>
      <c r="DC213">
        <f>ROUND((ROUND(AT213*AG213,2)*1.25),2)</f>
        <v>0.15</v>
      </c>
    </row>
    <row r="214" spans="1:107" x14ac:dyDescent="0.2">
      <c r="A214">
        <f>ROW(Source!A93)</f>
        <v>93</v>
      </c>
      <c r="B214">
        <v>16630606</v>
      </c>
      <c r="C214">
        <v>16631598</v>
      </c>
      <c r="D214">
        <v>15171018</v>
      </c>
      <c r="E214">
        <v>1</v>
      </c>
      <c r="F214">
        <v>1</v>
      </c>
      <c r="G214">
        <v>1</v>
      </c>
      <c r="H214">
        <v>3</v>
      </c>
      <c r="I214" t="s">
        <v>1204</v>
      </c>
      <c r="J214" t="s">
        <v>1205</v>
      </c>
      <c r="K214" t="s">
        <v>1206</v>
      </c>
      <c r="L214">
        <v>1346</v>
      </c>
      <c r="N214">
        <v>1009</v>
      </c>
      <c r="O214" t="s">
        <v>102</v>
      </c>
      <c r="P214" t="s">
        <v>102</v>
      </c>
      <c r="Q214">
        <v>1</v>
      </c>
      <c r="W214">
        <v>0</v>
      </c>
      <c r="X214">
        <v>813963326</v>
      </c>
      <c r="Y214">
        <v>0.1</v>
      </c>
      <c r="AA214">
        <v>12.98</v>
      </c>
      <c r="AB214">
        <v>0</v>
      </c>
      <c r="AC214">
        <v>0</v>
      </c>
      <c r="AD214">
        <v>0</v>
      </c>
      <c r="AE214">
        <v>1.82</v>
      </c>
      <c r="AF214">
        <v>0</v>
      </c>
      <c r="AG214">
        <v>0</v>
      </c>
      <c r="AH214">
        <v>0</v>
      </c>
      <c r="AI214">
        <v>7.13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6</v>
      </c>
      <c r="AT214">
        <v>0.1</v>
      </c>
      <c r="AU214" t="s">
        <v>6</v>
      </c>
      <c r="AV214">
        <v>0</v>
      </c>
      <c r="AW214">
        <v>2</v>
      </c>
      <c r="AX214">
        <v>16631610</v>
      </c>
      <c r="AY214">
        <v>1</v>
      </c>
      <c r="AZ214">
        <v>0</v>
      </c>
      <c r="BA214">
        <v>225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Y214*Source!I93</f>
        <v>0.60782999999999998</v>
      </c>
      <c r="CY214">
        <f>AA214</f>
        <v>12.98</v>
      </c>
      <c r="CZ214">
        <f>AE214</f>
        <v>1.82</v>
      </c>
      <c r="DA214">
        <f>AI214</f>
        <v>7.13</v>
      </c>
      <c r="DB214">
        <f>ROUND(ROUND(AT214*CZ214,2),2)</f>
        <v>0.18</v>
      </c>
      <c r="DC214">
        <f>ROUND(ROUND(AT214*AG214,2),2)</f>
        <v>0</v>
      </c>
    </row>
    <row r="215" spans="1:107" x14ac:dyDescent="0.2">
      <c r="A215">
        <f>ROW(Source!A93)</f>
        <v>93</v>
      </c>
      <c r="B215">
        <v>16630606</v>
      </c>
      <c r="C215">
        <v>16631598</v>
      </c>
      <c r="D215">
        <v>15203233</v>
      </c>
      <c r="E215">
        <v>1</v>
      </c>
      <c r="F215">
        <v>1</v>
      </c>
      <c r="G215">
        <v>1</v>
      </c>
      <c r="H215">
        <v>3</v>
      </c>
      <c r="I215" t="s">
        <v>320</v>
      </c>
      <c r="J215" t="s">
        <v>322</v>
      </c>
      <c r="K215" t="s">
        <v>321</v>
      </c>
      <c r="L215">
        <v>1348</v>
      </c>
      <c r="N215">
        <v>1009</v>
      </c>
      <c r="O215" t="s">
        <v>98</v>
      </c>
      <c r="P215" t="s">
        <v>98</v>
      </c>
      <c r="Q215">
        <v>1000</v>
      </c>
      <c r="W215">
        <v>0</v>
      </c>
      <c r="X215">
        <v>-1919714308</v>
      </c>
      <c r="Y215">
        <v>1.2999999999999999E-2</v>
      </c>
      <c r="AA215">
        <v>131121.84</v>
      </c>
      <c r="AB215">
        <v>0</v>
      </c>
      <c r="AC215">
        <v>0</v>
      </c>
      <c r="AD215">
        <v>0</v>
      </c>
      <c r="AE215">
        <v>18390.16</v>
      </c>
      <c r="AF215">
        <v>0</v>
      </c>
      <c r="AG215">
        <v>0</v>
      </c>
      <c r="AH215">
        <v>0</v>
      </c>
      <c r="AI215">
        <v>7.13</v>
      </c>
      <c r="AJ215">
        <v>1</v>
      </c>
      <c r="AK215">
        <v>1</v>
      </c>
      <c r="AL215">
        <v>1</v>
      </c>
      <c r="AN215">
        <v>0</v>
      </c>
      <c r="AO215">
        <v>0</v>
      </c>
      <c r="AP215">
        <v>0</v>
      </c>
      <c r="AQ215">
        <v>0</v>
      </c>
      <c r="AR215">
        <v>0</v>
      </c>
      <c r="AS215" t="s">
        <v>6</v>
      </c>
      <c r="AT215">
        <v>1.2999999999999999E-2</v>
      </c>
      <c r="AU215" t="s">
        <v>6</v>
      </c>
      <c r="AV215">
        <v>0</v>
      </c>
      <c r="AW215">
        <v>1</v>
      </c>
      <c r="AX215">
        <v>-1</v>
      </c>
      <c r="AY215">
        <v>0</v>
      </c>
      <c r="AZ215">
        <v>0</v>
      </c>
      <c r="BA215" t="s">
        <v>6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Y215*Source!I93</f>
        <v>7.9017899999999988E-2</v>
      </c>
      <c r="CY215">
        <f>AA215</f>
        <v>131121.84</v>
      </c>
      <c r="CZ215">
        <f>AE215</f>
        <v>18390.16</v>
      </c>
      <c r="DA215">
        <f>AI215</f>
        <v>7.13</v>
      </c>
      <c r="DB215">
        <f>ROUND(ROUND(AT215*CZ215,2),2)</f>
        <v>239.07</v>
      </c>
      <c r="DC215">
        <f>ROUND(ROUND(AT215*AG215,2),2)</f>
        <v>0</v>
      </c>
    </row>
    <row r="216" spans="1:107" x14ac:dyDescent="0.2">
      <c r="A216">
        <f>ROW(Source!A93)</f>
        <v>93</v>
      </c>
      <c r="B216">
        <v>16630606</v>
      </c>
      <c r="C216">
        <v>16631598</v>
      </c>
      <c r="D216">
        <v>15162572</v>
      </c>
      <c r="E216">
        <v>17</v>
      </c>
      <c r="F216">
        <v>1</v>
      </c>
      <c r="G216">
        <v>1</v>
      </c>
      <c r="H216">
        <v>3</v>
      </c>
      <c r="I216" t="s">
        <v>317</v>
      </c>
      <c r="J216" t="s">
        <v>6</v>
      </c>
      <c r="K216" t="s">
        <v>318</v>
      </c>
      <c r="L216">
        <v>1348</v>
      </c>
      <c r="N216">
        <v>1009</v>
      </c>
      <c r="O216" t="s">
        <v>98</v>
      </c>
      <c r="P216" t="s">
        <v>98</v>
      </c>
      <c r="Q216">
        <v>1000</v>
      </c>
      <c r="W216">
        <v>0</v>
      </c>
      <c r="X216">
        <v>-1212923053</v>
      </c>
      <c r="Y216">
        <v>1.2999999999999999E-2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7.13</v>
      </c>
      <c r="AJ216">
        <v>1</v>
      </c>
      <c r="AK216">
        <v>1</v>
      </c>
      <c r="AL216">
        <v>1</v>
      </c>
      <c r="AN216">
        <v>0</v>
      </c>
      <c r="AO216">
        <v>0</v>
      </c>
      <c r="AP216">
        <v>0</v>
      </c>
      <c r="AQ216">
        <v>0</v>
      </c>
      <c r="AR216">
        <v>0</v>
      </c>
      <c r="AS216" t="s">
        <v>6</v>
      </c>
      <c r="AT216">
        <v>1.2999999999999999E-2</v>
      </c>
      <c r="AU216" t="s">
        <v>6</v>
      </c>
      <c r="AV216">
        <v>0</v>
      </c>
      <c r="AW216">
        <v>2</v>
      </c>
      <c r="AX216">
        <v>16631611</v>
      </c>
      <c r="AY216">
        <v>1</v>
      </c>
      <c r="AZ216">
        <v>0</v>
      </c>
      <c r="BA216">
        <v>226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Y216*Source!I93</f>
        <v>7.9017899999999988E-2</v>
      </c>
      <c r="CY216">
        <f>AA216</f>
        <v>0</v>
      </c>
      <c r="CZ216">
        <f>AE216</f>
        <v>0</v>
      </c>
      <c r="DA216">
        <f>AI216</f>
        <v>7.13</v>
      </c>
      <c r="DB216">
        <f>ROUND(ROUND(AT216*CZ216,2),2)</f>
        <v>0</v>
      </c>
      <c r="DC216">
        <f>ROUND(ROUND(AT216*AG216,2),2)</f>
        <v>0</v>
      </c>
    </row>
    <row r="217" spans="1:107" x14ac:dyDescent="0.2">
      <c r="A217">
        <f>ROW(Source!A96)</f>
        <v>96</v>
      </c>
      <c r="B217">
        <v>16630606</v>
      </c>
      <c r="C217">
        <v>16631614</v>
      </c>
      <c r="D217">
        <v>15430397</v>
      </c>
      <c r="E217">
        <v>1</v>
      </c>
      <c r="F217">
        <v>1</v>
      </c>
      <c r="G217">
        <v>1</v>
      </c>
      <c r="H217">
        <v>1</v>
      </c>
      <c r="I217" t="s">
        <v>1356</v>
      </c>
      <c r="J217" t="s">
        <v>6</v>
      </c>
      <c r="K217" t="s">
        <v>1357</v>
      </c>
      <c r="L217">
        <v>1191</v>
      </c>
      <c r="N217">
        <v>1013</v>
      </c>
      <c r="O217" t="s">
        <v>1148</v>
      </c>
      <c r="P217" t="s">
        <v>1148</v>
      </c>
      <c r="Q217">
        <v>1</v>
      </c>
      <c r="W217">
        <v>0</v>
      </c>
      <c r="X217">
        <v>-1081351934</v>
      </c>
      <c r="Y217">
        <v>98.715999999999994</v>
      </c>
      <c r="AA217">
        <v>0</v>
      </c>
      <c r="AB217">
        <v>0</v>
      </c>
      <c r="AC217">
        <v>0</v>
      </c>
      <c r="AD217">
        <v>67.02</v>
      </c>
      <c r="AE217">
        <v>0</v>
      </c>
      <c r="AF217">
        <v>0</v>
      </c>
      <c r="AG217">
        <v>0</v>
      </c>
      <c r="AH217">
        <v>9.4</v>
      </c>
      <c r="AI217">
        <v>1</v>
      </c>
      <c r="AJ217">
        <v>1</v>
      </c>
      <c r="AK217">
        <v>1</v>
      </c>
      <c r="AL217">
        <v>7.13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6</v>
      </c>
      <c r="AT217">
        <v>85.84</v>
      </c>
      <c r="AU217" t="s">
        <v>82</v>
      </c>
      <c r="AV217">
        <v>1</v>
      </c>
      <c r="AW217">
        <v>2</v>
      </c>
      <c r="AX217">
        <v>16631624</v>
      </c>
      <c r="AY217">
        <v>1</v>
      </c>
      <c r="AZ217">
        <v>0</v>
      </c>
      <c r="BA217">
        <v>227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Y217*Source!I96</f>
        <v>136.61307239999999</v>
      </c>
      <c r="CY217">
        <f>AD217</f>
        <v>67.02</v>
      </c>
      <c r="CZ217">
        <f>AH217</f>
        <v>9.4</v>
      </c>
      <c r="DA217">
        <f>AL217</f>
        <v>7.13</v>
      </c>
      <c r="DB217">
        <f>ROUND((ROUND(AT217*CZ217,2)*1.15),2)</f>
        <v>927.94</v>
      </c>
      <c r="DC217">
        <f>ROUND((ROUND(AT217*AG217,2)*1.15),2)</f>
        <v>0</v>
      </c>
    </row>
    <row r="218" spans="1:107" x14ac:dyDescent="0.2">
      <c r="A218">
        <f>ROW(Source!A96)</f>
        <v>96</v>
      </c>
      <c r="B218">
        <v>16630606</v>
      </c>
      <c r="C218">
        <v>16631614</v>
      </c>
      <c r="D218">
        <v>15430395</v>
      </c>
      <c r="E218">
        <v>1</v>
      </c>
      <c r="F218">
        <v>1</v>
      </c>
      <c r="G218">
        <v>1</v>
      </c>
      <c r="H218">
        <v>1</v>
      </c>
      <c r="I218" t="s">
        <v>1149</v>
      </c>
      <c r="J218" t="s">
        <v>6</v>
      </c>
      <c r="K218" t="s">
        <v>1150</v>
      </c>
      <c r="L218">
        <v>1191</v>
      </c>
      <c r="N218">
        <v>1013</v>
      </c>
      <c r="O218" t="s">
        <v>1148</v>
      </c>
      <c r="P218" t="s">
        <v>1148</v>
      </c>
      <c r="Q218">
        <v>1</v>
      </c>
      <c r="W218">
        <v>0</v>
      </c>
      <c r="X218">
        <v>-1417349443</v>
      </c>
      <c r="Y218">
        <v>6.29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1</v>
      </c>
      <c r="AJ218">
        <v>1</v>
      </c>
      <c r="AK218">
        <v>7.13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6</v>
      </c>
      <c r="AT218">
        <v>6.29</v>
      </c>
      <c r="AU218" t="s">
        <v>6</v>
      </c>
      <c r="AV218">
        <v>2</v>
      </c>
      <c r="AW218">
        <v>2</v>
      </c>
      <c r="AX218">
        <v>16631625</v>
      </c>
      <c r="AY218">
        <v>1</v>
      </c>
      <c r="AZ218">
        <v>2048</v>
      </c>
      <c r="BA218">
        <v>228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Y218*Source!I96</f>
        <v>8.7047309999999989</v>
      </c>
      <c r="CY218">
        <f>AD218</f>
        <v>0</v>
      </c>
      <c r="CZ218">
        <f>AH218</f>
        <v>0</v>
      </c>
      <c r="DA218">
        <f>AL218</f>
        <v>1</v>
      </c>
      <c r="DB218">
        <f>ROUND(ROUND(AT218*CZ218,2),2)</f>
        <v>0</v>
      </c>
      <c r="DC218">
        <f>ROUND(ROUND(AT218*AG218,2),2)</f>
        <v>0</v>
      </c>
    </row>
    <row r="219" spans="1:107" x14ac:dyDescent="0.2">
      <c r="A219">
        <f>ROW(Source!A96)</f>
        <v>96</v>
      </c>
      <c r="B219">
        <v>16630606</v>
      </c>
      <c r="C219">
        <v>16631614</v>
      </c>
      <c r="D219">
        <v>15247974</v>
      </c>
      <c r="E219">
        <v>1</v>
      </c>
      <c r="F219">
        <v>1</v>
      </c>
      <c r="G219">
        <v>1</v>
      </c>
      <c r="H219">
        <v>2</v>
      </c>
      <c r="I219" t="s">
        <v>1151</v>
      </c>
      <c r="J219" t="s">
        <v>1152</v>
      </c>
      <c r="K219" t="s">
        <v>1153</v>
      </c>
      <c r="L219">
        <v>1368</v>
      </c>
      <c r="N219">
        <v>1011</v>
      </c>
      <c r="O219" t="s">
        <v>1154</v>
      </c>
      <c r="P219" t="s">
        <v>1154</v>
      </c>
      <c r="Q219">
        <v>1</v>
      </c>
      <c r="W219">
        <v>0</v>
      </c>
      <c r="X219">
        <v>1188625873</v>
      </c>
      <c r="Y219">
        <v>1.05</v>
      </c>
      <c r="AA219">
        <v>0</v>
      </c>
      <c r="AB219">
        <v>222.88</v>
      </c>
      <c r="AC219">
        <v>13.5</v>
      </c>
      <c r="AD219">
        <v>0</v>
      </c>
      <c r="AE219">
        <v>0</v>
      </c>
      <c r="AF219">
        <v>31.26</v>
      </c>
      <c r="AG219">
        <v>13.5</v>
      </c>
      <c r="AH219">
        <v>0</v>
      </c>
      <c r="AI219">
        <v>1</v>
      </c>
      <c r="AJ219">
        <v>7.13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6</v>
      </c>
      <c r="AT219">
        <v>0.84</v>
      </c>
      <c r="AU219" t="s">
        <v>81</v>
      </c>
      <c r="AV219">
        <v>0</v>
      </c>
      <c r="AW219">
        <v>2</v>
      </c>
      <c r="AX219">
        <v>16631626</v>
      </c>
      <c r="AY219">
        <v>1</v>
      </c>
      <c r="AZ219">
        <v>0</v>
      </c>
      <c r="BA219">
        <v>229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Y219*Source!I96</f>
        <v>1.453095</v>
      </c>
      <c r="CY219">
        <f>AB219</f>
        <v>222.88</v>
      </c>
      <c r="CZ219">
        <f>AF219</f>
        <v>31.26</v>
      </c>
      <c r="DA219">
        <f>AJ219</f>
        <v>7.13</v>
      </c>
      <c r="DB219">
        <f>ROUND((ROUND(AT219*CZ219,2)*1.25),2)</f>
        <v>32.83</v>
      </c>
      <c r="DC219">
        <f>ROUND((ROUND(AT219*AG219,2)*1.25),2)</f>
        <v>14.18</v>
      </c>
    </row>
    <row r="220" spans="1:107" x14ac:dyDescent="0.2">
      <c r="A220">
        <f>ROW(Source!A96)</f>
        <v>96</v>
      </c>
      <c r="B220">
        <v>16630606</v>
      </c>
      <c r="C220">
        <v>16631614</v>
      </c>
      <c r="D220">
        <v>15248130</v>
      </c>
      <c r="E220">
        <v>1</v>
      </c>
      <c r="F220">
        <v>1</v>
      </c>
      <c r="G220">
        <v>1</v>
      </c>
      <c r="H220">
        <v>2</v>
      </c>
      <c r="I220" t="s">
        <v>1358</v>
      </c>
      <c r="J220" t="s">
        <v>1359</v>
      </c>
      <c r="K220" t="s">
        <v>1360</v>
      </c>
      <c r="L220">
        <v>1368</v>
      </c>
      <c r="N220">
        <v>1011</v>
      </c>
      <c r="O220" t="s">
        <v>1154</v>
      </c>
      <c r="P220" t="s">
        <v>1154</v>
      </c>
      <c r="Q220">
        <v>1</v>
      </c>
      <c r="W220">
        <v>0</v>
      </c>
      <c r="X220">
        <v>1573467769</v>
      </c>
      <c r="Y220">
        <v>6.8125</v>
      </c>
      <c r="AA220">
        <v>0</v>
      </c>
      <c r="AB220">
        <v>100.89</v>
      </c>
      <c r="AC220">
        <v>8.91</v>
      </c>
      <c r="AD220">
        <v>0</v>
      </c>
      <c r="AE220">
        <v>0</v>
      </c>
      <c r="AF220">
        <v>14.15</v>
      </c>
      <c r="AG220">
        <v>8.91</v>
      </c>
      <c r="AH220">
        <v>0</v>
      </c>
      <c r="AI220">
        <v>1</v>
      </c>
      <c r="AJ220">
        <v>7.13</v>
      </c>
      <c r="AK220">
        <v>1</v>
      </c>
      <c r="AL220">
        <v>1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6</v>
      </c>
      <c r="AT220">
        <v>5.45</v>
      </c>
      <c r="AU220" t="s">
        <v>81</v>
      </c>
      <c r="AV220">
        <v>0</v>
      </c>
      <c r="AW220">
        <v>2</v>
      </c>
      <c r="AX220">
        <v>16631627</v>
      </c>
      <c r="AY220">
        <v>1</v>
      </c>
      <c r="AZ220">
        <v>0</v>
      </c>
      <c r="BA220">
        <v>230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Y220*Source!I96</f>
        <v>9.4278187500000001</v>
      </c>
      <c r="CY220">
        <f>AB220</f>
        <v>100.89</v>
      </c>
      <c r="CZ220">
        <f>AF220</f>
        <v>14.15</v>
      </c>
      <c r="DA220">
        <f>AJ220</f>
        <v>7.13</v>
      </c>
      <c r="DB220">
        <f>ROUND((ROUND(AT220*CZ220,2)*1.25),2)</f>
        <v>96.4</v>
      </c>
      <c r="DC220">
        <f>ROUND((ROUND(AT220*AG220,2)*1.25),2)</f>
        <v>60.7</v>
      </c>
    </row>
    <row r="221" spans="1:107" x14ac:dyDescent="0.2">
      <c r="A221">
        <f>ROW(Source!A96)</f>
        <v>96</v>
      </c>
      <c r="B221">
        <v>16630606</v>
      </c>
      <c r="C221">
        <v>16631614</v>
      </c>
      <c r="D221">
        <v>15170041</v>
      </c>
      <c r="E221">
        <v>1</v>
      </c>
      <c r="F221">
        <v>1</v>
      </c>
      <c r="G221">
        <v>1</v>
      </c>
      <c r="H221">
        <v>3</v>
      </c>
      <c r="I221" t="s">
        <v>1361</v>
      </c>
      <c r="J221" t="s">
        <v>1362</v>
      </c>
      <c r="K221" t="s">
        <v>1363</v>
      </c>
      <c r="L221">
        <v>1348</v>
      </c>
      <c r="N221">
        <v>1009</v>
      </c>
      <c r="O221" t="s">
        <v>98</v>
      </c>
      <c r="P221" t="s">
        <v>98</v>
      </c>
      <c r="Q221">
        <v>1000</v>
      </c>
      <c r="W221">
        <v>0</v>
      </c>
      <c r="X221">
        <v>2032238625</v>
      </c>
      <c r="Y221">
        <v>1.2E-4</v>
      </c>
      <c r="AA221">
        <v>60426.75</v>
      </c>
      <c r="AB221">
        <v>0</v>
      </c>
      <c r="AC221">
        <v>0</v>
      </c>
      <c r="AD221">
        <v>0</v>
      </c>
      <c r="AE221">
        <v>8475</v>
      </c>
      <c r="AF221">
        <v>0</v>
      </c>
      <c r="AG221">
        <v>0</v>
      </c>
      <c r="AH221">
        <v>0</v>
      </c>
      <c r="AI221">
        <v>7.13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6</v>
      </c>
      <c r="AT221">
        <v>1.2E-4</v>
      </c>
      <c r="AU221" t="s">
        <v>6</v>
      </c>
      <c r="AV221">
        <v>0</v>
      </c>
      <c r="AW221">
        <v>2</v>
      </c>
      <c r="AX221">
        <v>16631628</v>
      </c>
      <c r="AY221">
        <v>1</v>
      </c>
      <c r="AZ221">
        <v>0</v>
      </c>
      <c r="BA221">
        <v>231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Y221*Source!I96</f>
        <v>1.6606799999999998E-4</v>
      </c>
      <c r="CY221">
        <f>AA221</f>
        <v>60426.75</v>
      </c>
      <c r="CZ221">
        <f>AE221</f>
        <v>8475</v>
      </c>
      <c r="DA221">
        <f>AI221</f>
        <v>7.13</v>
      </c>
      <c r="DB221">
        <f>ROUND(ROUND(AT221*CZ221,2),2)</f>
        <v>1.02</v>
      </c>
      <c r="DC221">
        <f>ROUND(ROUND(AT221*AG221,2),2)</f>
        <v>0</v>
      </c>
    </row>
    <row r="222" spans="1:107" x14ac:dyDescent="0.2">
      <c r="A222">
        <f>ROW(Source!A96)</f>
        <v>96</v>
      </c>
      <c r="B222">
        <v>16630606</v>
      </c>
      <c r="C222">
        <v>16631614</v>
      </c>
      <c r="D222">
        <v>15171982</v>
      </c>
      <c r="E222">
        <v>1</v>
      </c>
      <c r="F222">
        <v>1</v>
      </c>
      <c r="G222">
        <v>1</v>
      </c>
      <c r="H222">
        <v>3</v>
      </c>
      <c r="I222" t="s">
        <v>1364</v>
      </c>
      <c r="J222" t="s">
        <v>1365</v>
      </c>
      <c r="K222" t="s">
        <v>1366</v>
      </c>
      <c r="L222">
        <v>1348</v>
      </c>
      <c r="N222">
        <v>1009</v>
      </c>
      <c r="O222" t="s">
        <v>98</v>
      </c>
      <c r="P222" t="s">
        <v>98</v>
      </c>
      <c r="Q222">
        <v>1000</v>
      </c>
      <c r="W222">
        <v>0</v>
      </c>
      <c r="X222">
        <v>-1421715385</v>
      </c>
      <c r="Y222">
        <v>6.0000000000000001E-3</v>
      </c>
      <c r="AA222">
        <v>5204.76</v>
      </c>
      <c r="AB222">
        <v>0</v>
      </c>
      <c r="AC222">
        <v>0</v>
      </c>
      <c r="AD222">
        <v>0</v>
      </c>
      <c r="AE222">
        <v>729.98</v>
      </c>
      <c r="AF222">
        <v>0</v>
      </c>
      <c r="AG222">
        <v>0</v>
      </c>
      <c r="AH222">
        <v>0</v>
      </c>
      <c r="AI222">
        <v>7.13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6</v>
      </c>
      <c r="AT222">
        <v>6.0000000000000001E-3</v>
      </c>
      <c r="AU222" t="s">
        <v>6</v>
      </c>
      <c r="AV222">
        <v>0</v>
      </c>
      <c r="AW222">
        <v>2</v>
      </c>
      <c r="AX222">
        <v>16631629</v>
      </c>
      <c r="AY222">
        <v>1</v>
      </c>
      <c r="AZ222">
        <v>0</v>
      </c>
      <c r="BA222">
        <v>232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Y222*Source!I96</f>
        <v>8.303399999999999E-3</v>
      </c>
      <c r="CY222">
        <f>AA222</f>
        <v>5204.76</v>
      </c>
      <c r="CZ222">
        <f>AE222</f>
        <v>729.98</v>
      </c>
      <c r="DA222">
        <f>AI222</f>
        <v>7.13</v>
      </c>
      <c r="DB222">
        <f>ROUND(ROUND(AT222*CZ222,2),2)</f>
        <v>4.38</v>
      </c>
      <c r="DC222">
        <f>ROUND(ROUND(AT222*AG222,2),2)</f>
        <v>0</v>
      </c>
    </row>
    <row r="223" spans="1:107" x14ac:dyDescent="0.2">
      <c r="A223">
        <f>ROW(Source!A96)</f>
        <v>96</v>
      </c>
      <c r="B223">
        <v>16630606</v>
      </c>
      <c r="C223">
        <v>16631614</v>
      </c>
      <c r="D223">
        <v>15172875</v>
      </c>
      <c r="E223">
        <v>1</v>
      </c>
      <c r="F223">
        <v>1</v>
      </c>
      <c r="G223">
        <v>1</v>
      </c>
      <c r="H223">
        <v>3</v>
      </c>
      <c r="I223" t="s">
        <v>328</v>
      </c>
      <c r="J223" t="s">
        <v>330</v>
      </c>
      <c r="K223" t="s">
        <v>329</v>
      </c>
      <c r="L223">
        <v>1339</v>
      </c>
      <c r="N223">
        <v>1007</v>
      </c>
      <c r="O223" t="s">
        <v>203</v>
      </c>
      <c r="P223" t="s">
        <v>203</v>
      </c>
      <c r="Q223">
        <v>1</v>
      </c>
      <c r="W223">
        <v>1</v>
      </c>
      <c r="X223">
        <v>-1001479081</v>
      </c>
      <c r="Y223">
        <v>-1.87</v>
      </c>
      <c r="AA223">
        <v>3692.7</v>
      </c>
      <c r="AB223">
        <v>0</v>
      </c>
      <c r="AC223">
        <v>0</v>
      </c>
      <c r="AD223">
        <v>0</v>
      </c>
      <c r="AE223">
        <v>517.91</v>
      </c>
      <c r="AF223">
        <v>0</v>
      </c>
      <c r="AG223">
        <v>0</v>
      </c>
      <c r="AH223">
        <v>0</v>
      </c>
      <c r="AI223">
        <v>7.13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6</v>
      </c>
      <c r="AT223">
        <v>-1.87</v>
      </c>
      <c r="AU223" t="s">
        <v>6</v>
      </c>
      <c r="AV223">
        <v>0</v>
      </c>
      <c r="AW223">
        <v>2</v>
      </c>
      <c r="AX223">
        <v>16631630</v>
      </c>
      <c r="AY223">
        <v>1</v>
      </c>
      <c r="AZ223">
        <v>6144</v>
      </c>
      <c r="BA223">
        <v>233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Y223*Source!I96</f>
        <v>-2.5878929999999998</v>
      </c>
      <c r="CY223">
        <f>AA223</f>
        <v>3692.7</v>
      </c>
      <c r="CZ223">
        <f>AE223</f>
        <v>517.91</v>
      </c>
      <c r="DA223">
        <f>AI223</f>
        <v>7.13</v>
      </c>
      <c r="DB223">
        <f>ROUND(ROUND(AT223*CZ223,2),2)</f>
        <v>-968.49</v>
      </c>
      <c r="DC223">
        <f>ROUND(ROUND(AT223*AG223,2),2)</f>
        <v>0</v>
      </c>
    </row>
    <row r="224" spans="1:107" x14ac:dyDescent="0.2">
      <c r="A224">
        <f>ROW(Source!A96)</f>
        <v>96</v>
      </c>
      <c r="B224">
        <v>16630606</v>
      </c>
      <c r="C224">
        <v>16631614</v>
      </c>
      <c r="D224">
        <v>15173298</v>
      </c>
      <c r="E224">
        <v>1</v>
      </c>
      <c r="F224">
        <v>1</v>
      </c>
      <c r="G224">
        <v>1</v>
      </c>
      <c r="H224">
        <v>3</v>
      </c>
      <c r="I224" t="s">
        <v>309</v>
      </c>
      <c r="J224" t="s">
        <v>311</v>
      </c>
      <c r="K224" t="s">
        <v>332</v>
      </c>
      <c r="L224">
        <v>1348</v>
      </c>
      <c r="N224">
        <v>1009</v>
      </c>
      <c r="O224" t="s">
        <v>98</v>
      </c>
      <c r="P224" t="s">
        <v>98</v>
      </c>
      <c r="Q224">
        <v>1000</v>
      </c>
      <c r="W224">
        <v>0</v>
      </c>
      <c r="X224">
        <v>-791558573</v>
      </c>
      <c r="Y224">
        <v>1.369998</v>
      </c>
      <c r="AA224">
        <v>6640.67</v>
      </c>
      <c r="AB224">
        <v>0</v>
      </c>
      <c r="AC224">
        <v>0</v>
      </c>
      <c r="AD224">
        <v>0</v>
      </c>
      <c r="AE224">
        <v>931.37</v>
      </c>
      <c r="AF224">
        <v>0</v>
      </c>
      <c r="AG224">
        <v>0</v>
      </c>
      <c r="AH224">
        <v>0</v>
      </c>
      <c r="AI224">
        <v>7.13</v>
      </c>
      <c r="AJ224">
        <v>1</v>
      </c>
      <c r="AK224">
        <v>1</v>
      </c>
      <c r="AL224">
        <v>1</v>
      </c>
      <c r="AN224">
        <v>0</v>
      </c>
      <c r="AO224">
        <v>0</v>
      </c>
      <c r="AP224">
        <v>0</v>
      </c>
      <c r="AQ224">
        <v>0</v>
      </c>
      <c r="AR224">
        <v>0</v>
      </c>
      <c r="AS224" t="s">
        <v>6</v>
      </c>
      <c r="AT224">
        <v>1.369998</v>
      </c>
      <c r="AU224" t="s">
        <v>6</v>
      </c>
      <c r="AV224">
        <v>0</v>
      </c>
      <c r="AW224">
        <v>1</v>
      </c>
      <c r="AX224">
        <v>-1</v>
      </c>
      <c r="AY224">
        <v>0</v>
      </c>
      <c r="AZ224">
        <v>0</v>
      </c>
      <c r="BA224" t="s">
        <v>6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Y224*Source!I96</f>
        <v>1.8959402321999999</v>
      </c>
      <c r="CY224">
        <f>AA224</f>
        <v>6640.67</v>
      </c>
      <c r="CZ224">
        <f>AE224</f>
        <v>931.37</v>
      </c>
      <c r="DA224">
        <f>AI224</f>
        <v>7.13</v>
      </c>
      <c r="DB224">
        <f>ROUND(ROUND(AT224*CZ224,2),2)</f>
        <v>1275.98</v>
      </c>
      <c r="DC224">
        <f>ROUND(ROUND(AT224*AG224,2),2)</f>
        <v>0</v>
      </c>
    </row>
    <row r="225" spans="1:107" x14ac:dyDescent="0.2">
      <c r="A225">
        <f>ROW(Source!A96)</f>
        <v>96</v>
      </c>
      <c r="B225">
        <v>16630606</v>
      </c>
      <c r="C225">
        <v>16631614</v>
      </c>
      <c r="D225">
        <v>15189930</v>
      </c>
      <c r="E225">
        <v>1</v>
      </c>
      <c r="F225">
        <v>1</v>
      </c>
      <c r="G225">
        <v>1</v>
      </c>
      <c r="H225">
        <v>3</v>
      </c>
      <c r="I225" t="s">
        <v>1367</v>
      </c>
      <c r="J225" t="s">
        <v>1368</v>
      </c>
      <c r="K225" t="s">
        <v>1369</v>
      </c>
      <c r="L225">
        <v>1327</v>
      </c>
      <c r="N225">
        <v>1005</v>
      </c>
      <c r="O225" t="s">
        <v>87</v>
      </c>
      <c r="P225" t="s">
        <v>87</v>
      </c>
      <c r="Q225">
        <v>1</v>
      </c>
      <c r="W225">
        <v>0</v>
      </c>
      <c r="X225">
        <v>1704710638</v>
      </c>
      <c r="Y225">
        <v>5.54</v>
      </c>
      <c r="AA225">
        <v>201.42</v>
      </c>
      <c r="AB225">
        <v>0</v>
      </c>
      <c r="AC225">
        <v>0</v>
      </c>
      <c r="AD225">
        <v>0</v>
      </c>
      <c r="AE225">
        <v>28.25</v>
      </c>
      <c r="AF225">
        <v>0</v>
      </c>
      <c r="AG225">
        <v>0</v>
      </c>
      <c r="AH225">
        <v>0</v>
      </c>
      <c r="AI225">
        <v>7.13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6</v>
      </c>
      <c r="AT225">
        <v>5.54</v>
      </c>
      <c r="AU225" t="s">
        <v>6</v>
      </c>
      <c r="AV225">
        <v>0</v>
      </c>
      <c r="AW225">
        <v>2</v>
      </c>
      <c r="AX225">
        <v>16631631</v>
      </c>
      <c r="AY225">
        <v>1</v>
      </c>
      <c r="AZ225">
        <v>0</v>
      </c>
      <c r="BA225">
        <v>234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Y225*Source!I96</f>
        <v>7.6668059999999993</v>
      </c>
      <c r="CY225">
        <f>AA225</f>
        <v>201.42</v>
      </c>
      <c r="CZ225">
        <f>AE225</f>
        <v>28.25</v>
      </c>
      <c r="DA225">
        <f>AI225</f>
        <v>7.13</v>
      </c>
      <c r="DB225">
        <f>ROUND(ROUND(AT225*CZ225,2),2)</f>
        <v>156.51</v>
      </c>
      <c r="DC225">
        <f>ROUND(ROUND(AT225*AG225,2),2)</f>
        <v>0</v>
      </c>
    </row>
    <row r="226" spans="1:107" x14ac:dyDescent="0.2">
      <c r="A226">
        <f>ROW(Source!A99)</f>
        <v>99</v>
      </c>
      <c r="B226">
        <v>16630606</v>
      </c>
      <c r="C226">
        <v>16631634</v>
      </c>
      <c r="D226">
        <v>15438286</v>
      </c>
      <c r="E226">
        <v>1</v>
      </c>
      <c r="F226">
        <v>1</v>
      </c>
      <c r="G226">
        <v>1</v>
      </c>
      <c r="H226">
        <v>1</v>
      </c>
      <c r="I226" t="s">
        <v>1244</v>
      </c>
      <c r="J226" t="s">
        <v>6</v>
      </c>
      <c r="K226" t="s">
        <v>1245</v>
      </c>
      <c r="L226">
        <v>1191</v>
      </c>
      <c r="N226">
        <v>1013</v>
      </c>
      <c r="O226" t="s">
        <v>1148</v>
      </c>
      <c r="P226" t="s">
        <v>1148</v>
      </c>
      <c r="Q226">
        <v>1</v>
      </c>
      <c r="W226">
        <v>0</v>
      </c>
      <c r="X226">
        <v>-1027537862</v>
      </c>
      <c r="Y226">
        <v>262.2</v>
      </c>
      <c r="AA226">
        <v>0</v>
      </c>
      <c r="AB226">
        <v>0</v>
      </c>
      <c r="AC226">
        <v>0</v>
      </c>
      <c r="AD226">
        <v>65.45</v>
      </c>
      <c r="AE226">
        <v>0</v>
      </c>
      <c r="AF226">
        <v>0</v>
      </c>
      <c r="AG226">
        <v>0</v>
      </c>
      <c r="AH226">
        <v>9.18</v>
      </c>
      <c r="AI226">
        <v>1</v>
      </c>
      <c r="AJ226">
        <v>1</v>
      </c>
      <c r="AK226">
        <v>1</v>
      </c>
      <c r="AL226">
        <v>7.13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6</v>
      </c>
      <c r="AT226">
        <v>228</v>
      </c>
      <c r="AU226" t="s">
        <v>82</v>
      </c>
      <c r="AV226">
        <v>1</v>
      </c>
      <c r="AW226">
        <v>2</v>
      </c>
      <c r="AX226">
        <v>16631645</v>
      </c>
      <c r="AY226">
        <v>1</v>
      </c>
      <c r="AZ226">
        <v>0</v>
      </c>
      <c r="BA226">
        <v>235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Y226*Source!I99</f>
        <v>436.27457999999996</v>
      </c>
      <c r="CY226">
        <f>AD226</f>
        <v>65.45</v>
      </c>
      <c r="CZ226">
        <f>AH226</f>
        <v>9.18</v>
      </c>
      <c r="DA226">
        <f>AL226</f>
        <v>7.13</v>
      </c>
      <c r="DB226">
        <f>ROUND((ROUND(AT226*CZ226,2)*1.15),2)</f>
        <v>2407</v>
      </c>
      <c r="DC226">
        <f>ROUND((ROUND(AT226*AG226,2)*1.15),2)</f>
        <v>0</v>
      </c>
    </row>
    <row r="227" spans="1:107" x14ac:dyDescent="0.2">
      <c r="A227">
        <f>ROW(Source!A99)</f>
        <v>99</v>
      </c>
      <c r="B227">
        <v>16630606</v>
      </c>
      <c r="C227">
        <v>16631634</v>
      </c>
      <c r="D227">
        <v>15430395</v>
      </c>
      <c r="E227">
        <v>1</v>
      </c>
      <c r="F227">
        <v>1</v>
      </c>
      <c r="G227">
        <v>1</v>
      </c>
      <c r="H227">
        <v>1</v>
      </c>
      <c r="I227" t="s">
        <v>1149</v>
      </c>
      <c r="J227" t="s">
        <v>6</v>
      </c>
      <c r="K227" t="s">
        <v>1150</v>
      </c>
      <c r="L227">
        <v>1191</v>
      </c>
      <c r="N227">
        <v>1013</v>
      </c>
      <c r="O227" t="s">
        <v>1148</v>
      </c>
      <c r="P227" t="s">
        <v>1148</v>
      </c>
      <c r="Q227">
        <v>1</v>
      </c>
      <c r="W227">
        <v>0</v>
      </c>
      <c r="X227">
        <v>-1417349443</v>
      </c>
      <c r="Y227">
        <v>0.86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1</v>
      </c>
      <c r="AJ227">
        <v>1</v>
      </c>
      <c r="AK227">
        <v>7.13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6</v>
      </c>
      <c r="AT227">
        <v>0.86</v>
      </c>
      <c r="AU227" t="s">
        <v>6</v>
      </c>
      <c r="AV227">
        <v>2</v>
      </c>
      <c r="AW227">
        <v>2</v>
      </c>
      <c r="AX227">
        <v>16631646</v>
      </c>
      <c r="AY227">
        <v>1</v>
      </c>
      <c r="AZ227">
        <v>2048</v>
      </c>
      <c r="BA227">
        <v>236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Y227*Source!I99</f>
        <v>1.4309539999999998</v>
      </c>
      <c r="CY227">
        <f>AD227</f>
        <v>0</v>
      </c>
      <c r="CZ227">
        <f>AH227</f>
        <v>0</v>
      </c>
      <c r="DA227">
        <f>AL227</f>
        <v>1</v>
      </c>
      <c r="DB227">
        <f>ROUND(ROUND(AT227*CZ227,2),2)</f>
        <v>0</v>
      </c>
      <c r="DC227">
        <f>ROUND(ROUND(AT227*AG227,2),2)</f>
        <v>0</v>
      </c>
    </row>
    <row r="228" spans="1:107" x14ac:dyDescent="0.2">
      <c r="A228">
        <f>ROW(Source!A99)</f>
        <v>99</v>
      </c>
      <c r="B228">
        <v>16630606</v>
      </c>
      <c r="C228">
        <v>16631634</v>
      </c>
      <c r="D228">
        <v>15247905</v>
      </c>
      <c r="E228">
        <v>1</v>
      </c>
      <c r="F228">
        <v>1</v>
      </c>
      <c r="G228">
        <v>1</v>
      </c>
      <c r="H228">
        <v>2</v>
      </c>
      <c r="I228" t="s">
        <v>1330</v>
      </c>
      <c r="J228" t="s">
        <v>1331</v>
      </c>
      <c r="K228" t="s">
        <v>1332</v>
      </c>
      <c r="L228">
        <v>1368</v>
      </c>
      <c r="N228">
        <v>1011</v>
      </c>
      <c r="O228" t="s">
        <v>1154</v>
      </c>
      <c r="P228" t="s">
        <v>1154</v>
      </c>
      <c r="Q228">
        <v>1</v>
      </c>
      <c r="W228">
        <v>0</v>
      </c>
      <c r="X228">
        <v>1225731627</v>
      </c>
      <c r="Y228">
        <v>6.25E-2</v>
      </c>
      <c r="AA228">
        <v>0</v>
      </c>
      <c r="AB228">
        <v>641.63</v>
      </c>
      <c r="AC228">
        <v>10.06</v>
      </c>
      <c r="AD228">
        <v>0</v>
      </c>
      <c r="AE228">
        <v>0</v>
      </c>
      <c r="AF228">
        <v>89.99</v>
      </c>
      <c r="AG228">
        <v>10.06</v>
      </c>
      <c r="AH228">
        <v>0</v>
      </c>
      <c r="AI228">
        <v>1</v>
      </c>
      <c r="AJ228">
        <v>7.13</v>
      </c>
      <c r="AK228">
        <v>1</v>
      </c>
      <c r="AL228">
        <v>1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6</v>
      </c>
      <c r="AT228">
        <v>0.05</v>
      </c>
      <c r="AU228" t="s">
        <v>81</v>
      </c>
      <c r="AV228">
        <v>0</v>
      </c>
      <c r="AW228">
        <v>2</v>
      </c>
      <c r="AX228">
        <v>16631647</v>
      </c>
      <c r="AY228">
        <v>1</v>
      </c>
      <c r="AZ228">
        <v>0</v>
      </c>
      <c r="BA228">
        <v>237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Y228*Source!I99</f>
        <v>0.10399375</v>
      </c>
      <c r="CY228">
        <f>AB228</f>
        <v>641.63</v>
      </c>
      <c r="CZ228">
        <f>AF228</f>
        <v>89.99</v>
      </c>
      <c r="DA228">
        <f>AJ228</f>
        <v>7.13</v>
      </c>
      <c r="DB228">
        <f>ROUND((ROUND(AT228*CZ228,2)*1.25),2)</f>
        <v>5.63</v>
      </c>
      <c r="DC228">
        <f>ROUND((ROUND(AT228*AG228,2)*1.25),2)</f>
        <v>0.63</v>
      </c>
    </row>
    <row r="229" spans="1:107" x14ac:dyDescent="0.2">
      <c r="A229">
        <f>ROW(Source!A99)</f>
        <v>99</v>
      </c>
      <c r="B229">
        <v>16630606</v>
      </c>
      <c r="C229">
        <v>16631634</v>
      </c>
      <c r="D229">
        <v>15247974</v>
      </c>
      <c r="E229">
        <v>1</v>
      </c>
      <c r="F229">
        <v>1</v>
      </c>
      <c r="G229">
        <v>1</v>
      </c>
      <c r="H229">
        <v>2</v>
      </c>
      <c r="I229" t="s">
        <v>1151</v>
      </c>
      <c r="J229" t="s">
        <v>1152</v>
      </c>
      <c r="K229" t="s">
        <v>1153</v>
      </c>
      <c r="L229">
        <v>1368</v>
      </c>
      <c r="N229">
        <v>1011</v>
      </c>
      <c r="O229" t="s">
        <v>1154</v>
      </c>
      <c r="P229" t="s">
        <v>1154</v>
      </c>
      <c r="Q229">
        <v>1</v>
      </c>
      <c r="W229">
        <v>0</v>
      </c>
      <c r="X229">
        <v>1188625873</v>
      </c>
      <c r="Y229">
        <v>1.0125000000000002</v>
      </c>
      <c r="AA229">
        <v>0</v>
      </c>
      <c r="AB229">
        <v>222.88</v>
      </c>
      <c r="AC229">
        <v>13.5</v>
      </c>
      <c r="AD229">
        <v>0</v>
      </c>
      <c r="AE229">
        <v>0</v>
      </c>
      <c r="AF229">
        <v>31.26</v>
      </c>
      <c r="AG229">
        <v>13.5</v>
      </c>
      <c r="AH229">
        <v>0</v>
      </c>
      <c r="AI229">
        <v>1</v>
      </c>
      <c r="AJ229">
        <v>7.13</v>
      </c>
      <c r="AK229">
        <v>1</v>
      </c>
      <c r="AL229">
        <v>1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6</v>
      </c>
      <c r="AT229">
        <v>0.81</v>
      </c>
      <c r="AU229" t="s">
        <v>81</v>
      </c>
      <c r="AV229">
        <v>0</v>
      </c>
      <c r="AW229">
        <v>2</v>
      </c>
      <c r="AX229">
        <v>16631648</v>
      </c>
      <c r="AY229">
        <v>1</v>
      </c>
      <c r="AZ229">
        <v>0</v>
      </c>
      <c r="BA229">
        <v>238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Y229*Source!I99</f>
        <v>1.6846987500000001</v>
      </c>
      <c r="CY229">
        <f>AB229</f>
        <v>222.88</v>
      </c>
      <c r="CZ229">
        <f>AF229</f>
        <v>31.26</v>
      </c>
      <c r="DA229">
        <f>AJ229</f>
        <v>7.13</v>
      </c>
      <c r="DB229">
        <f>ROUND((ROUND(AT229*CZ229,2)*1.25),2)</f>
        <v>31.65</v>
      </c>
      <c r="DC229">
        <f>ROUND((ROUND(AT229*AG229,2)*1.25),2)</f>
        <v>13.68</v>
      </c>
    </row>
    <row r="230" spans="1:107" x14ac:dyDescent="0.2">
      <c r="A230">
        <f>ROW(Source!A99)</f>
        <v>99</v>
      </c>
      <c r="B230">
        <v>16630606</v>
      </c>
      <c r="C230">
        <v>16631634</v>
      </c>
      <c r="D230">
        <v>15167286</v>
      </c>
      <c r="E230">
        <v>1</v>
      </c>
      <c r="F230">
        <v>1</v>
      </c>
      <c r="G230">
        <v>1</v>
      </c>
      <c r="H230">
        <v>3</v>
      </c>
      <c r="I230" t="s">
        <v>1265</v>
      </c>
      <c r="J230" t="s">
        <v>1266</v>
      </c>
      <c r="K230" t="s">
        <v>1267</v>
      </c>
      <c r="L230">
        <v>1339</v>
      </c>
      <c r="N230">
        <v>1007</v>
      </c>
      <c r="O230" t="s">
        <v>203</v>
      </c>
      <c r="P230" t="s">
        <v>203</v>
      </c>
      <c r="Q230">
        <v>1</v>
      </c>
      <c r="W230">
        <v>0</v>
      </c>
      <c r="X230">
        <v>-1660354250</v>
      </c>
      <c r="Y230">
        <v>0.46500000000000002</v>
      </c>
      <c r="AA230">
        <v>17.399999999999999</v>
      </c>
      <c r="AB230">
        <v>0</v>
      </c>
      <c r="AC230">
        <v>0</v>
      </c>
      <c r="AD230">
        <v>0</v>
      </c>
      <c r="AE230">
        <v>2.44</v>
      </c>
      <c r="AF230">
        <v>0</v>
      </c>
      <c r="AG230">
        <v>0</v>
      </c>
      <c r="AH230">
        <v>0</v>
      </c>
      <c r="AI230">
        <v>7.13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6</v>
      </c>
      <c r="AT230">
        <v>0.46500000000000002</v>
      </c>
      <c r="AU230" t="s">
        <v>6</v>
      </c>
      <c r="AV230">
        <v>0</v>
      </c>
      <c r="AW230">
        <v>2</v>
      </c>
      <c r="AX230">
        <v>16631649</v>
      </c>
      <c r="AY230">
        <v>1</v>
      </c>
      <c r="AZ230">
        <v>0</v>
      </c>
      <c r="BA230">
        <v>239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Y230*Source!I99</f>
        <v>0.77371350000000005</v>
      </c>
      <c r="CY230">
        <f t="shared" ref="CY230:CY235" si="24">AA230</f>
        <v>17.399999999999999</v>
      </c>
      <c r="CZ230">
        <f t="shared" ref="CZ230:CZ235" si="25">AE230</f>
        <v>2.44</v>
      </c>
      <c r="DA230">
        <f t="shared" ref="DA230:DA235" si="26">AI230</f>
        <v>7.13</v>
      </c>
      <c r="DB230">
        <f t="shared" ref="DB230:DB261" si="27">ROUND(ROUND(AT230*CZ230,2),2)</f>
        <v>1.1299999999999999</v>
      </c>
      <c r="DC230">
        <f t="shared" ref="DC230:DC261" si="28">ROUND(ROUND(AT230*AG230,2),2)</f>
        <v>0</v>
      </c>
    </row>
    <row r="231" spans="1:107" x14ac:dyDescent="0.2">
      <c r="A231">
        <f>ROW(Source!A99)</f>
        <v>99</v>
      </c>
      <c r="B231">
        <v>16630606</v>
      </c>
      <c r="C231">
        <v>16631634</v>
      </c>
      <c r="D231">
        <v>15167962</v>
      </c>
      <c r="E231">
        <v>1</v>
      </c>
      <c r="F231">
        <v>1</v>
      </c>
      <c r="G231">
        <v>1</v>
      </c>
      <c r="H231">
        <v>3</v>
      </c>
      <c r="I231" t="s">
        <v>1333</v>
      </c>
      <c r="J231" t="s">
        <v>1334</v>
      </c>
      <c r="K231" t="s">
        <v>1335</v>
      </c>
      <c r="L231">
        <v>1339</v>
      </c>
      <c r="N231">
        <v>1007</v>
      </c>
      <c r="O231" t="s">
        <v>203</v>
      </c>
      <c r="P231" t="s">
        <v>203</v>
      </c>
      <c r="Q231">
        <v>1</v>
      </c>
      <c r="W231">
        <v>0</v>
      </c>
      <c r="X231">
        <v>114057443</v>
      </c>
      <c r="Y231">
        <v>0.1</v>
      </c>
      <c r="AA231">
        <v>248.98</v>
      </c>
      <c r="AB231">
        <v>0</v>
      </c>
      <c r="AC231">
        <v>0</v>
      </c>
      <c r="AD231">
        <v>0</v>
      </c>
      <c r="AE231">
        <v>34.92</v>
      </c>
      <c r="AF231">
        <v>0</v>
      </c>
      <c r="AG231">
        <v>0</v>
      </c>
      <c r="AH231">
        <v>0</v>
      </c>
      <c r="AI231">
        <v>7.13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6</v>
      </c>
      <c r="AT231">
        <v>0.1</v>
      </c>
      <c r="AU231" t="s">
        <v>6</v>
      </c>
      <c r="AV231">
        <v>0</v>
      </c>
      <c r="AW231">
        <v>2</v>
      </c>
      <c r="AX231">
        <v>16631650</v>
      </c>
      <c r="AY231">
        <v>1</v>
      </c>
      <c r="AZ231">
        <v>0</v>
      </c>
      <c r="BA231">
        <v>240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Y231*Source!I99</f>
        <v>0.16639000000000001</v>
      </c>
      <c r="CY231">
        <f t="shared" si="24"/>
        <v>248.98</v>
      </c>
      <c r="CZ231">
        <f t="shared" si="25"/>
        <v>34.92</v>
      </c>
      <c r="DA231">
        <f t="shared" si="26"/>
        <v>7.13</v>
      </c>
      <c r="DB231">
        <f t="shared" si="27"/>
        <v>3.49</v>
      </c>
      <c r="DC231">
        <f t="shared" si="28"/>
        <v>0</v>
      </c>
    </row>
    <row r="232" spans="1:107" x14ac:dyDescent="0.2">
      <c r="A232">
        <f>ROW(Source!A99)</f>
        <v>99</v>
      </c>
      <c r="B232">
        <v>16630606</v>
      </c>
      <c r="C232">
        <v>16631634</v>
      </c>
      <c r="D232">
        <v>15171018</v>
      </c>
      <c r="E232">
        <v>1</v>
      </c>
      <c r="F232">
        <v>1</v>
      </c>
      <c r="G232">
        <v>1</v>
      </c>
      <c r="H232">
        <v>3</v>
      </c>
      <c r="I232" t="s">
        <v>1204</v>
      </c>
      <c r="J232" t="s">
        <v>1205</v>
      </c>
      <c r="K232" t="s">
        <v>1206</v>
      </c>
      <c r="L232">
        <v>1346</v>
      </c>
      <c r="N232">
        <v>1009</v>
      </c>
      <c r="O232" t="s">
        <v>102</v>
      </c>
      <c r="P232" t="s">
        <v>102</v>
      </c>
      <c r="Q232">
        <v>1</v>
      </c>
      <c r="W232">
        <v>0</v>
      </c>
      <c r="X232">
        <v>813963326</v>
      </c>
      <c r="Y232">
        <v>0.5</v>
      </c>
      <c r="AA232">
        <v>12.98</v>
      </c>
      <c r="AB232">
        <v>0</v>
      </c>
      <c r="AC232">
        <v>0</v>
      </c>
      <c r="AD232">
        <v>0</v>
      </c>
      <c r="AE232">
        <v>1.82</v>
      </c>
      <c r="AF232">
        <v>0</v>
      </c>
      <c r="AG232">
        <v>0</v>
      </c>
      <c r="AH232">
        <v>0</v>
      </c>
      <c r="AI232">
        <v>7.13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6</v>
      </c>
      <c r="AT232">
        <v>0.5</v>
      </c>
      <c r="AU232" t="s">
        <v>6</v>
      </c>
      <c r="AV232">
        <v>0</v>
      </c>
      <c r="AW232">
        <v>2</v>
      </c>
      <c r="AX232">
        <v>16631651</v>
      </c>
      <c r="AY232">
        <v>1</v>
      </c>
      <c r="AZ232">
        <v>0</v>
      </c>
      <c r="BA232">
        <v>241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Y232*Source!I99</f>
        <v>0.83194999999999997</v>
      </c>
      <c r="CY232">
        <f t="shared" si="24"/>
        <v>12.98</v>
      </c>
      <c r="CZ232">
        <f t="shared" si="25"/>
        <v>1.82</v>
      </c>
      <c r="DA232">
        <f t="shared" si="26"/>
        <v>7.13</v>
      </c>
      <c r="DB232">
        <f t="shared" si="27"/>
        <v>0.91</v>
      </c>
      <c r="DC232">
        <f t="shared" si="28"/>
        <v>0</v>
      </c>
    </row>
    <row r="233" spans="1:107" x14ac:dyDescent="0.2">
      <c r="A233">
        <f>ROW(Source!A99)</f>
        <v>99</v>
      </c>
      <c r="B233">
        <v>16630606</v>
      </c>
      <c r="C233">
        <v>16631634</v>
      </c>
      <c r="D233">
        <v>15172039</v>
      </c>
      <c r="E233">
        <v>1</v>
      </c>
      <c r="F233">
        <v>1</v>
      </c>
      <c r="G233">
        <v>1</v>
      </c>
      <c r="H233">
        <v>3</v>
      </c>
      <c r="I233" t="s">
        <v>1370</v>
      </c>
      <c r="J233" t="s">
        <v>1371</v>
      </c>
      <c r="K233" t="s">
        <v>1372</v>
      </c>
      <c r="L233">
        <v>1348</v>
      </c>
      <c r="N233">
        <v>1009</v>
      </c>
      <c r="O233" t="s">
        <v>98</v>
      </c>
      <c r="P233" t="s">
        <v>98</v>
      </c>
      <c r="Q233">
        <v>1000</v>
      </c>
      <c r="W233">
        <v>0</v>
      </c>
      <c r="X233">
        <v>-1187323236</v>
      </c>
      <c r="Y233">
        <v>0.04</v>
      </c>
      <c r="AA233">
        <v>2937.56</v>
      </c>
      <c r="AB233">
        <v>0</v>
      </c>
      <c r="AC233">
        <v>0</v>
      </c>
      <c r="AD233">
        <v>0</v>
      </c>
      <c r="AE233">
        <v>412</v>
      </c>
      <c r="AF233">
        <v>0</v>
      </c>
      <c r="AG233">
        <v>0</v>
      </c>
      <c r="AH233">
        <v>0</v>
      </c>
      <c r="AI233">
        <v>7.13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6</v>
      </c>
      <c r="AT233">
        <v>0.04</v>
      </c>
      <c r="AU233" t="s">
        <v>6</v>
      </c>
      <c r="AV233">
        <v>0</v>
      </c>
      <c r="AW233">
        <v>2</v>
      </c>
      <c r="AX233">
        <v>16631652</v>
      </c>
      <c r="AY233">
        <v>1</v>
      </c>
      <c r="AZ233">
        <v>0</v>
      </c>
      <c r="BA233">
        <v>242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Y233*Source!I99</f>
        <v>6.6556000000000004E-2</v>
      </c>
      <c r="CY233">
        <f t="shared" si="24"/>
        <v>2937.56</v>
      </c>
      <c r="CZ233">
        <f t="shared" si="25"/>
        <v>412</v>
      </c>
      <c r="DA233">
        <f t="shared" si="26"/>
        <v>7.13</v>
      </c>
      <c r="DB233">
        <f t="shared" si="27"/>
        <v>16.48</v>
      </c>
      <c r="DC233">
        <f t="shared" si="28"/>
        <v>0</v>
      </c>
    </row>
    <row r="234" spans="1:107" x14ac:dyDescent="0.2">
      <c r="A234">
        <f>ROW(Source!A99)</f>
        <v>99</v>
      </c>
      <c r="B234">
        <v>16630606</v>
      </c>
      <c r="C234">
        <v>16631634</v>
      </c>
      <c r="D234">
        <v>15172844</v>
      </c>
      <c r="E234">
        <v>1</v>
      </c>
      <c r="F234">
        <v>1</v>
      </c>
      <c r="G234">
        <v>1</v>
      </c>
      <c r="H234">
        <v>3</v>
      </c>
      <c r="I234" t="s">
        <v>1373</v>
      </c>
      <c r="J234" t="s">
        <v>1374</v>
      </c>
      <c r="K234" t="s">
        <v>1375</v>
      </c>
      <c r="L234">
        <v>1339</v>
      </c>
      <c r="N234">
        <v>1007</v>
      </c>
      <c r="O234" t="s">
        <v>203</v>
      </c>
      <c r="P234" t="s">
        <v>203</v>
      </c>
      <c r="Q234">
        <v>1</v>
      </c>
      <c r="W234">
        <v>0</v>
      </c>
      <c r="X234">
        <v>2085773513</v>
      </c>
      <c r="Y234">
        <v>1.5</v>
      </c>
      <c r="AA234">
        <v>3543.61</v>
      </c>
      <c r="AB234">
        <v>0</v>
      </c>
      <c r="AC234">
        <v>0</v>
      </c>
      <c r="AD234">
        <v>0</v>
      </c>
      <c r="AE234">
        <v>497</v>
      </c>
      <c r="AF234">
        <v>0</v>
      </c>
      <c r="AG234">
        <v>0</v>
      </c>
      <c r="AH234">
        <v>0</v>
      </c>
      <c r="AI234">
        <v>7.13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6</v>
      </c>
      <c r="AT234">
        <v>1.5</v>
      </c>
      <c r="AU234" t="s">
        <v>6</v>
      </c>
      <c r="AV234">
        <v>0</v>
      </c>
      <c r="AW234">
        <v>2</v>
      </c>
      <c r="AX234">
        <v>16631653</v>
      </c>
      <c r="AY234">
        <v>1</v>
      </c>
      <c r="AZ234">
        <v>0</v>
      </c>
      <c r="BA234">
        <v>243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Y234*Source!I99</f>
        <v>2.4958499999999999</v>
      </c>
      <c r="CY234">
        <f t="shared" si="24"/>
        <v>3543.61</v>
      </c>
      <c r="CZ234">
        <f t="shared" si="25"/>
        <v>497</v>
      </c>
      <c r="DA234">
        <f t="shared" si="26"/>
        <v>7.13</v>
      </c>
      <c r="DB234">
        <f t="shared" si="27"/>
        <v>745.5</v>
      </c>
      <c r="DC234">
        <f t="shared" si="28"/>
        <v>0</v>
      </c>
    </row>
    <row r="235" spans="1:107" x14ac:dyDescent="0.2">
      <c r="A235">
        <f>ROW(Source!A99)</f>
        <v>99</v>
      </c>
      <c r="B235">
        <v>16630606</v>
      </c>
      <c r="C235">
        <v>16631634</v>
      </c>
      <c r="D235">
        <v>15187009</v>
      </c>
      <c r="E235">
        <v>1</v>
      </c>
      <c r="F235">
        <v>1</v>
      </c>
      <c r="G235">
        <v>1</v>
      </c>
      <c r="H235">
        <v>3</v>
      </c>
      <c r="I235" t="s">
        <v>338</v>
      </c>
      <c r="J235" t="s">
        <v>340</v>
      </c>
      <c r="K235" t="s">
        <v>339</v>
      </c>
      <c r="L235">
        <v>1327</v>
      </c>
      <c r="N235">
        <v>1005</v>
      </c>
      <c r="O235" t="s">
        <v>87</v>
      </c>
      <c r="P235" t="s">
        <v>87</v>
      </c>
      <c r="Q235">
        <v>1</v>
      </c>
      <c r="W235">
        <v>0</v>
      </c>
      <c r="X235">
        <v>1249654036</v>
      </c>
      <c r="Y235">
        <v>100</v>
      </c>
      <c r="AA235">
        <v>611.11</v>
      </c>
      <c r="AB235">
        <v>0</v>
      </c>
      <c r="AC235">
        <v>0</v>
      </c>
      <c r="AD235">
        <v>0</v>
      </c>
      <c r="AE235">
        <v>85.71</v>
      </c>
      <c r="AF235">
        <v>0</v>
      </c>
      <c r="AG235">
        <v>0</v>
      </c>
      <c r="AH235">
        <v>0</v>
      </c>
      <c r="AI235">
        <v>7.13</v>
      </c>
      <c r="AJ235">
        <v>1</v>
      </c>
      <c r="AK235">
        <v>1</v>
      </c>
      <c r="AL235">
        <v>1</v>
      </c>
      <c r="AN235">
        <v>0</v>
      </c>
      <c r="AO235">
        <v>0</v>
      </c>
      <c r="AP235">
        <v>0</v>
      </c>
      <c r="AQ235">
        <v>0</v>
      </c>
      <c r="AR235">
        <v>0</v>
      </c>
      <c r="AS235" t="s">
        <v>6</v>
      </c>
      <c r="AT235">
        <v>100</v>
      </c>
      <c r="AU235" t="s">
        <v>6</v>
      </c>
      <c r="AV235">
        <v>0</v>
      </c>
      <c r="AW235">
        <v>1</v>
      </c>
      <c r="AX235">
        <v>-1</v>
      </c>
      <c r="AY235">
        <v>0</v>
      </c>
      <c r="AZ235">
        <v>0</v>
      </c>
      <c r="BA235" t="s">
        <v>6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Y235*Source!I99</f>
        <v>166.39</v>
      </c>
      <c r="CY235">
        <f t="shared" si="24"/>
        <v>611.11</v>
      </c>
      <c r="CZ235">
        <f t="shared" si="25"/>
        <v>85.71</v>
      </c>
      <c r="DA235">
        <f t="shared" si="26"/>
        <v>7.13</v>
      </c>
      <c r="DB235">
        <f t="shared" si="27"/>
        <v>8571</v>
      </c>
      <c r="DC235">
        <f t="shared" si="28"/>
        <v>0</v>
      </c>
    </row>
    <row r="236" spans="1:107" x14ac:dyDescent="0.2">
      <c r="A236">
        <f>ROW(Source!A101)</f>
        <v>101</v>
      </c>
      <c r="B236">
        <v>16630606</v>
      </c>
      <c r="C236">
        <v>16631675</v>
      </c>
      <c r="D236">
        <v>15435099</v>
      </c>
      <c r="E236">
        <v>1</v>
      </c>
      <c r="F236">
        <v>1</v>
      </c>
      <c r="G236">
        <v>1</v>
      </c>
      <c r="H236">
        <v>1</v>
      </c>
      <c r="I236" t="s">
        <v>1376</v>
      </c>
      <c r="J236" t="s">
        <v>6</v>
      </c>
      <c r="K236" t="s">
        <v>1377</v>
      </c>
      <c r="L236">
        <v>1191</v>
      </c>
      <c r="N236">
        <v>1013</v>
      </c>
      <c r="O236" t="s">
        <v>1148</v>
      </c>
      <c r="P236" t="s">
        <v>1148</v>
      </c>
      <c r="Q236">
        <v>1</v>
      </c>
      <c r="W236">
        <v>0</v>
      </c>
      <c r="X236">
        <v>1010519658</v>
      </c>
      <c r="Y236">
        <v>33.89</v>
      </c>
      <c r="AA236">
        <v>0</v>
      </c>
      <c r="AB236">
        <v>0</v>
      </c>
      <c r="AC236">
        <v>0</v>
      </c>
      <c r="AD236">
        <v>61.6</v>
      </c>
      <c r="AE236">
        <v>0</v>
      </c>
      <c r="AF236">
        <v>0</v>
      </c>
      <c r="AG236">
        <v>0</v>
      </c>
      <c r="AH236">
        <v>8.64</v>
      </c>
      <c r="AI236">
        <v>1</v>
      </c>
      <c r="AJ236">
        <v>1</v>
      </c>
      <c r="AK236">
        <v>1</v>
      </c>
      <c r="AL236">
        <v>7.13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6</v>
      </c>
      <c r="AT236">
        <v>33.89</v>
      </c>
      <c r="AU236" t="s">
        <v>6</v>
      </c>
      <c r="AV236">
        <v>1</v>
      </c>
      <c r="AW236">
        <v>2</v>
      </c>
      <c r="AX236">
        <v>16631689</v>
      </c>
      <c r="AY236">
        <v>1</v>
      </c>
      <c r="AZ236">
        <v>0</v>
      </c>
      <c r="BA236">
        <v>245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Y236*Source!I101</f>
        <v>133.25209100000001</v>
      </c>
      <c r="CY236">
        <f>AD236</f>
        <v>61.6</v>
      </c>
      <c r="CZ236">
        <f>AH236</f>
        <v>8.64</v>
      </c>
      <c r="DA236">
        <f>AL236</f>
        <v>7.13</v>
      </c>
      <c r="DB236">
        <f t="shared" si="27"/>
        <v>292.81</v>
      </c>
      <c r="DC236">
        <f t="shared" si="28"/>
        <v>0</v>
      </c>
    </row>
    <row r="237" spans="1:107" x14ac:dyDescent="0.2">
      <c r="A237">
        <f>ROW(Source!A101)</f>
        <v>101</v>
      </c>
      <c r="B237">
        <v>16630606</v>
      </c>
      <c r="C237">
        <v>16631675</v>
      </c>
      <c r="D237">
        <v>15430395</v>
      </c>
      <c r="E237">
        <v>1</v>
      </c>
      <c r="F237">
        <v>1</v>
      </c>
      <c r="G237">
        <v>1</v>
      </c>
      <c r="H237">
        <v>1</v>
      </c>
      <c r="I237" t="s">
        <v>1149</v>
      </c>
      <c r="J237" t="s">
        <v>6</v>
      </c>
      <c r="K237" t="s">
        <v>1150</v>
      </c>
      <c r="L237">
        <v>1191</v>
      </c>
      <c r="N237">
        <v>1013</v>
      </c>
      <c r="O237" t="s">
        <v>1148</v>
      </c>
      <c r="P237" t="s">
        <v>1148</v>
      </c>
      <c r="Q237">
        <v>1</v>
      </c>
      <c r="W237">
        <v>0</v>
      </c>
      <c r="X237">
        <v>-1417349443</v>
      </c>
      <c r="Y237">
        <v>0.16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7.13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6</v>
      </c>
      <c r="AT237">
        <v>0.16</v>
      </c>
      <c r="AU237" t="s">
        <v>6</v>
      </c>
      <c r="AV237">
        <v>2</v>
      </c>
      <c r="AW237">
        <v>2</v>
      </c>
      <c r="AX237">
        <v>16631690</v>
      </c>
      <c r="AY237">
        <v>1</v>
      </c>
      <c r="AZ237">
        <v>0</v>
      </c>
      <c r="BA237">
        <v>246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Y237*Source!I101</f>
        <v>0.629104</v>
      </c>
      <c r="CY237">
        <f>AD237</f>
        <v>0</v>
      </c>
      <c r="CZ237">
        <f>AH237</f>
        <v>0</v>
      </c>
      <c r="DA237">
        <f>AL237</f>
        <v>1</v>
      </c>
      <c r="DB237">
        <f t="shared" si="27"/>
        <v>0</v>
      </c>
      <c r="DC237">
        <f t="shared" si="28"/>
        <v>0</v>
      </c>
    </row>
    <row r="238" spans="1:107" x14ac:dyDescent="0.2">
      <c r="A238">
        <f>ROW(Source!A101)</f>
        <v>101</v>
      </c>
      <c r="B238">
        <v>16630606</v>
      </c>
      <c r="C238">
        <v>16631675</v>
      </c>
      <c r="D238">
        <v>15247974</v>
      </c>
      <c r="E238">
        <v>1</v>
      </c>
      <c r="F238">
        <v>1</v>
      </c>
      <c r="G238">
        <v>1</v>
      </c>
      <c r="H238">
        <v>2</v>
      </c>
      <c r="I238" t="s">
        <v>1151</v>
      </c>
      <c r="J238" t="s">
        <v>1152</v>
      </c>
      <c r="K238" t="s">
        <v>1153</v>
      </c>
      <c r="L238">
        <v>1368</v>
      </c>
      <c r="N238">
        <v>1011</v>
      </c>
      <c r="O238" t="s">
        <v>1154</v>
      </c>
      <c r="P238" t="s">
        <v>1154</v>
      </c>
      <c r="Q238">
        <v>1</v>
      </c>
      <c r="W238">
        <v>0</v>
      </c>
      <c r="X238">
        <v>1188625873</v>
      </c>
      <c r="Y238">
        <v>0.1</v>
      </c>
      <c r="AA238">
        <v>0</v>
      </c>
      <c r="AB238">
        <v>222.88</v>
      </c>
      <c r="AC238">
        <v>13.5</v>
      </c>
      <c r="AD238">
        <v>0</v>
      </c>
      <c r="AE238">
        <v>0</v>
      </c>
      <c r="AF238">
        <v>31.26</v>
      </c>
      <c r="AG238">
        <v>13.5</v>
      </c>
      <c r="AH238">
        <v>0</v>
      </c>
      <c r="AI238">
        <v>1</v>
      </c>
      <c r="AJ238">
        <v>7.13</v>
      </c>
      <c r="AK238">
        <v>1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6</v>
      </c>
      <c r="AT238">
        <v>0.1</v>
      </c>
      <c r="AU238" t="s">
        <v>6</v>
      </c>
      <c r="AV238">
        <v>0</v>
      </c>
      <c r="AW238">
        <v>2</v>
      </c>
      <c r="AX238">
        <v>16631691</v>
      </c>
      <c r="AY238">
        <v>1</v>
      </c>
      <c r="AZ238">
        <v>0</v>
      </c>
      <c r="BA238">
        <v>247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Y238*Source!I101</f>
        <v>0.39319000000000004</v>
      </c>
      <c r="CY238">
        <f>AB238</f>
        <v>222.88</v>
      </c>
      <c r="CZ238">
        <f>AF238</f>
        <v>31.26</v>
      </c>
      <c r="DA238">
        <f>AJ238</f>
        <v>7.13</v>
      </c>
      <c r="DB238">
        <f t="shared" si="27"/>
        <v>3.13</v>
      </c>
      <c r="DC238">
        <f t="shared" si="28"/>
        <v>1.35</v>
      </c>
    </row>
    <row r="239" spans="1:107" x14ac:dyDescent="0.2">
      <c r="A239">
        <f>ROW(Source!A101)</f>
        <v>101</v>
      </c>
      <c r="B239">
        <v>16630606</v>
      </c>
      <c r="C239">
        <v>16631675</v>
      </c>
      <c r="D239">
        <v>15249073</v>
      </c>
      <c r="E239">
        <v>1</v>
      </c>
      <c r="F239">
        <v>1</v>
      </c>
      <c r="G239">
        <v>1</v>
      </c>
      <c r="H239">
        <v>2</v>
      </c>
      <c r="I239" t="s">
        <v>1157</v>
      </c>
      <c r="J239" t="s">
        <v>1158</v>
      </c>
      <c r="K239" t="s">
        <v>1159</v>
      </c>
      <c r="L239">
        <v>1368</v>
      </c>
      <c r="N239">
        <v>1011</v>
      </c>
      <c r="O239" t="s">
        <v>1154</v>
      </c>
      <c r="P239" t="s">
        <v>1154</v>
      </c>
      <c r="Q239">
        <v>1</v>
      </c>
      <c r="W239">
        <v>0</v>
      </c>
      <c r="X239">
        <v>1372534845</v>
      </c>
      <c r="Y239">
        <v>0.06</v>
      </c>
      <c r="AA239">
        <v>0</v>
      </c>
      <c r="AB239">
        <v>468.51</v>
      </c>
      <c r="AC239">
        <v>11.6</v>
      </c>
      <c r="AD239">
        <v>0</v>
      </c>
      <c r="AE239">
        <v>0</v>
      </c>
      <c r="AF239">
        <v>65.709999999999994</v>
      </c>
      <c r="AG239">
        <v>11.6</v>
      </c>
      <c r="AH239">
        <v>0</v>
      </c>
      <c r="AI239">
        <v>1</v>
      </c>
      <c r="AJ239">
        <v>7.13</v>
      </c>
      <c r="AK239">
        <v>1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6</v>
      </c>
      <c r="AT239">
        <v>0.06</v>
      </c>
      <c r="AU239" t="s">
        <v>6</v>
      </c>
      <c r="AV239">
        <v>0</v>
      </c>
      <c r="AW239">
        <v>2</v>
      </c>
      <c r="AX239">
        <v>16631692</v>
      </c>
      <c r="AY239">
        <v>1</v>
      </c>
      <c r="AZ239">
        <v>0</v>
      </c>
      <c r="BA239">
        <v>248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Y239*Source!I101</f>
        <v>0.23591400000000001</v>
      </c>
      <c r="CY239">
        <f>AB239</f>
        <v>468.51</v>
      </c>
      <c r="CZ239">
        <f>AF239</f>
        <v>65.709999999999994</v>
      </c>
      <c r="DA239">
        <f>AJ239</f>
        <v>7.13</v>
      </c>
      <c r="DB239">
        <f t="shared" si="27"/>
        <v>3.94</v>
      </c>
      <c r="DC239">
        <f t="shared" si="28"/>
        <v>0.7</v>
      </c>
    </row>
    <row r="240" spans="1:107" x14ac:dyDescent="0.2">
      <c r="A240">
        <f>ROW(Source!A101)</f>
        <v>101</v>
      </c>
      <c r="B240">
        <v>16630606</v>
      </c>
      <c r="C240">
        <v>16631675</v>
      </c>
      <c r="D240">
        <v>15167286</v>
      </c>
      <c r="E240">
        <v>1</v>
      </c>
      <c r="F240">
        <v>1</v>
      </c>
      <c r="G240">
        <v>1</v>
      </c>
      <c r="H240">
        <v>3</v>
      </c>
      <c r="I240" t="s">
        <v>1265</v>
      </c>
      <c r="J240" t="s">
        <v>1266</v>
      </c>
      <c r="K240" t="s">
        <v>1267</v>
      </c>
      <c r="L240">
        <v>1339</v>
      </c>
      <c r="N240">
        <v>1007</v>
      </c>
      <c r="O240" t="s">
        <v>203</v>
      </c>
      <c r="P240" t="s">
        <v>203</v>
      </c>
      <c r="Q240">
        <v>1</v>
      </c>
      <c r="W240">
        <v>0</v>
      </c>
      <c r="X240">
        <v>-1660354250</v>
      </c>
      <c r="Y240">
        <v>0.24</v>
      </c>
      <c r="AA240">
        <v>17.399999999999999</v>
      </c>
      <c r="AB240">
        <v>0</v>
      </c>
      <c r="AC240">
        <v>0</v>
      </c>
      <c r="AD240">
        <v>0</v>
      </c>
      <c r="AE240">
        <v>2.44</v>
      </c>
      <c r="AF240">
        <v>0</v>
      </c>
      <c r="AG240">
        <v>0</v>
      </c>
      <c r="AH240">
        <v>0</v>
      </c>
      <c r="AI240">
        <v>7.13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6</v>
      </c>
      <c r="AT240">
        <v>0.24</v>
      </c>
      <c r="AU240" t="s">
        <v>6</v>
      </c>
      <c r="AV240">
        <v>0</v>
      </c>
      <c r="AW240">
        <v>2</v>
      </c>
      <c r="AX240">
        <v>16631693</v>
      </c>
      <c r="AY240">
        <v>1</v>
      </c>
      <c r="AZ240">
        <v>0</v>
      </c>
      <c r="BA240">
        <v>249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Y240*Source!I101</f>
        <v>0.94365600000000005</v>
      </c>
      <c r="CY240">
        <f t="shared" ref="CY240:CY248" si="29">AA240</f>
        <v>17.399999999999999</v>
      </c>
      <c r="CZ240">
        <f t="shared" ref="CZ240:CZ248" si="30">AE240</f>
        <v>2.44</v>
      </c>
      <c r="DA240">
        <f t="shared" ref="DA240:DA248" si="31">AI240</f>
        <v>7.13</v>
      </c>
      <c r="DB240">
        <f t="shared" si="27"/>
        <v>0.59</v>
      </c>
      <c r="DC240">
        <f t="shared" si="28"/>
        <v>0</v>
      </c>
    </row>
    <row r="241" spans="1:107" x14ac:dyDescent="0.2">
      <c r="A241">
        <f>ROW(Source!A101)</f>
        <v>101</v>
      </c>
      <c r="B241">
        <v>16630606</v>
      </c>
      <c r="C241">
        <v>16631675</v>
      </c>
      <c r="D241">
        <v>15167766</v>
      </c>
      <c r="E241">
        <v>1</v>
      </c>
      <c r="F241">
        <v>1</v>
      </c>
      <c r="G241">
        <v>1</v>
      </c>
      <c r="H241">
        <v>3</v>
      </c>
      <c r="I241" t="s">
        <v>1378</v>
      </c>
      <c r="J241" t="s">
        <v>1379</v>
      </c>
      <c r="K241" t="s">
        <v>1380</v>
      </c>
      <c r="L241">
        <v>1354</v>
      </c>
      <c r="N241">
        <v>1010</v>
      </c>
      <c r="O241" t="s">
        <v>132</v>
      </c>
      <c r="P241" t="s">
        <v>132</v>
      </c>
      <c r="Q241">
        <v>1</v>
      </c>
      <c r="W241">
        <v>0</v>
      </c>
      <c r="X241">
        <v>-1046673864</v>
      </c>
      <c r="Y241">
        <v>5.0999999999999996</v>
      </c>
      <c r="AA241">
        <v>32.090000000000003</v>
      </c>
      <c r="AB241">
        <v>0</v>
      </c>
      <c r="AC241">
        <v>0</v>
      </c>
      <c r="AD241">
        <v>0</v>
      </c>
      <c r="AE241">
        <v>4.5</v>
      </c>
      <c r="AF241">
        <v>0</v>
      </c>
      <c r="AG241">
        <v>0</v>
      </c>
      <c r="AH241">
        <v>0</v>
      </c>
      <c r="AI241">
        <v>7.13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6</v>
      </c>
      <c r="AT241">
        <v>5.0999999999999996</v>
      </c>
      <c r="AU241" t="s">
        <v>6</v>
      </c>
      <c r="AV241">
        <v>0</v>
      </c>
      <c r="AW241">
        <v>2</v>
      </c>
      <c r="AX241">
        <v>16631694</v>
      </c>
      <c r="AY241">
        <v>1</v>
      </c>
      <c r="AZ241">
        <v>0</v>
      </c>
      <c r="BA241">
        <v>250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Y241*Source!I101</f>
        <v>20.052689999999998</v>
      </c>
      <c r="CY241">
        <f t="shared" si="29"/>
        <v>32.090000000000003</v>
      </c>
      <c r="CZ241">
        <f t="shared" si="30"/>
        <v>4.5</v>
      </c>
      <c r="DA241">
        <f t="shared" si="31"/>
        <v>7.13</v>
      </c>
      <c r="DB241">
        <f t="shared" si="27"/>
        <v>22.95</v>
      </c>
      <c r="DC241">
        <f t="shared" si="28"/>
        <v>0</v>
      </c>
    </row>
    <row r="242" spans="1:107" x14ac:dyDescent="0.2">
      <c r="A242">
        <f>ROW(Source!A101)</f>
        <v>101</v>
      </c>
      <c r="B242">
        <v>16630606</v>
      </c>
      <c r="C242">
        <v>16631675</v>
      </c>
      <c r="D242">
        <v>15168015</v>
      </c>
      <c r="E242">
        <v>1</v>
      </c>
      <c r="F242">
        <v>1</v>
      </c>
      <c r="G242">
        <v>1</v>
      </c>
      <c r="H242">
        <v>3</v>
      </c>
      <c r="I242" t="s">
        <v>1381</v>
      </c>
      <c r="J242" t="s">
        <v>1382</v>
      </c>
      <c r="K242" t="s">
        <v>1383</v>
      </c>
      <c r="L242">
        <v>1348</v>
      </c>
      <c r="N242">
        <v>1009</v>
      </c>
      <c r="O242" t="s">
        <v>98</v>
      </c>
      <c r="P242" t="s">
        <v>98</v>
      </c>
      <c r="Q242">
        <v>1000</v>
      </c>
      <c r="W242">
        <v>0</v>
      </c>
      <c r="X242">
        <v>-526970962</v>
      </c>
      <c r="Y242">
        <v>2.5499999999999998E-2</v>
      </c>
      <c r="AA242">
        <v>4181.53</v>
      </c>
      <c r="AB242">
        <v>0</v>
      </c>
      <c r="AC242">
        <v>0</v>
      </c>
      <c r="AD242">
        <v>0</v>
      </c>
      <c r="AE242">
        <v>586.47</v>
      </c>
      <c r="AF242">
        <v>0</v>
      </c>
      <c r="AG242">
        <v>0</v>
      </c>
      <c r="AH242">
        <v>0</v>
      </c>
      <c r="AI242">
        <v>7.13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6</v>
      </c>
      <c r="AT242">
        <v>2.5499999999999998E-2</v>
      </c>
      <c r="AU242" t="s">
        <v>6</v>
      </c>
      <c r="AV242">
        <v>0</v>
      </c>
      <c r="AW242">
        <v>2</v>
      </c>
      <c r="AX242">
        <v>16631695</v>
      </c>
      <c r="AY242">
        <v>1</v>
      </c>
      <c r="AZ242">
        <v>0</v>
      </c>
      <c r="BA242">
        <v>251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Y242*Source!I101</f>
        <v>0.10026345</v>
      </c>
      <c r="CY242">
        <f t="shared" si="29"/>
        <v>4181.53</v>
      </c>
      <c r="CZ242">
        <f t="shared" si="30"/>
        <v>586.47</v>
      </c>
      <c r="DA242">
        <f t="shared" si="31"/>
        <v>7.13</v>
      </c>
      <c r="DB242">
        <f t="shared" si="27"/>
        <v>14.95</v>
      </c>
      <c r="DC242">
        <f t="shared" si="28"/>
        <v>0</v>
      </c>
    </row>
    <row r="243" spans="1:107" x14ac:dyDescent="0.2">
      <c r="A243">
        <f>ROW(Source!A101)</f>
        <v>101</v>
      </c>
      <c r="B243">
        <v>16630606</v>
      </c>
      <c r="C243">
        <v>16631675</v>
      </c>
      <c r="D243">
        <v>15170682</v>
      </c>
      <c r="E243">
        <v>1</v>
      </c>
      <c r="F243">
        <v>1</v>
      </c>
      <c r="G243">
        <v>1</v>
      </c>
      <c r="H243">
        <v>3</v>
      </c>
      <c r="I243" t="s">
        <v>1233</v>
      </c>
      <c r="J243" t="s">
        <v>1234</v>
      </c>
      <c r="K243" t="s">
        <v>1235</v>
      </c>
      <c r="L243">
        <v>1327</v>
      </c>
      <c r="N243">
        <v>1005</v>
      </c>
      <c r="O243" t="s">
        <v>87</v>
      </c>
      <c r="P243" t="s">
        <v>87</v>
      </c>
      <c r="Q243">
        <v>1</v>
      </c>
      <c r="W243">
        <v>0</v>
      </c>
      <c r="X243">
        <v>-1987926685</v>
      </c>
      <c r="Y243">
        <v>1.6</v>
      </c>
      <c r="AA243">
        <v>515.64</v>
      </c>
      <c r="AB243">
        <v>0</v>
      </c>
      <c r="AC243">
        <v>0</v>
      </c>
      <c r="AD243">
        <v>0</v>
      </c>
      <c r="AE243">
        <v>72.319999999999993</v>
      </c>
      <c r="AF243">
        <v>0</v>
      </c>
      <c r="AG243">
        <v>0</v>
      </c>
      <c r="AH243">
        <v>0</v>
      </c>
      <c r="AI243">
        <v>7.13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6</v>
      </c>
      <c r="AT243">
        <v>1.6</v>
      </c>
      <c r="AU243" t="s">
        <v>6</v>
      </c>
      <c r="AV243">
        <v>0</v>
      </c>
      <c r="AW243">
        <v>2</v>
      </c>
      <c r="AX243">
        <v>16631696</v>
      </c>
      <c r="AY243">
        <v>1</v>
      </c>
      <c r="AZ243">
        <v>0</v>
      </c>
      <c r="BA243">
        <v>252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Y243*Source!I101</f>
        <v>6.2910400000000006</v>
      </c>
      <c r="CY243">
        <f t="shared" si="29"/>
        <v>515.64</v>
      </c>
      <c r="CZ243">
        <f t="shared" si="30"/>
        <v>72.319999999999993</v>
      </c>
      <c r="DA243">
        <f t="shared" si="31"/>
        <v>7.13</v>
      </c>
      <c r="DB243">
        <f t="shared" si="27"/>
        <v>115.71</v>
      </c>
      <c r="DC243">
        <f t="shared" si="28"/>
        <v>0</v>
      </c>
    </row>
    <row r="244" spans="1:107" x14ac:dyDescent="0.2">
      <c r="A244">
        <f>ROW(Source!A101)</f>
        <v>101</v>
      </c>
      <c r="B244">
        <v>16630606</v>
      </c>
      <c r="C244">
        <v>16631675</v>
      </c>
      <c r="D244">
        <v>15171907</v>
      </c>
      <c r="E244">
        <v>1</v>
      </c>
      <c r="F244">
        <v>1</v>
      </c>
      <c r="G244">
        <v>1</v>
      </c>
      <c r="H244">
        <v>3</v>
      </c>
      <c r="I244" t="s">
        <v>1210</v>
      </c>
      <c r="J244" t="s">
        <v>1211</v>
      </c>
      <c r="K244" t="s">
        <v>1212</v>
      </c>
      <c r="L244">
        <v>1339</v>
      </c>
      <c r="N244">
        <v>1007</v>
      </c>
      <c r="O244" t="s">
        <v>203</v>
      </c>
      <c r="P244" t="s">
        <v>203</v>
      </c>
      <c r="Q244">
        <v>1</v>
      </c>
      <c r="W244">
        <v>0</v>
      </c>
      <c r="X244">
        <v>1795918813</v>
      </c>
      <c r="Y244">
        <v>4.4000000000000003E-3</v>
      </c>
      <c r="AA244">
        <v>531.76</v>
      </c>
      <c r="AB244">
        <v>0</v>
      </c>
      <c r="AC244">
        <v>0</v>
      </c>
      <c r="AD244">
        <v>0</v>
      </c>
      <c r="AE244">
        <v>74.58</v>
      </c>
      <c r="AF244">
        <v>0</v>
      </c>
      <c r="AG244">
        <v>0</v>
      </c>
      <c r="AH244">
        <v>0</v>
      </c>
      <c r="AI244">
        <v>7.13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6</v>
      </c>
      <c r="AT244">
        <v>4.4000000000000003E-3</v>
      </c>
      <c r="AU244" t="s">
        <v>6</v>
      </c>
      <c r="AV244">
        <v>0</v>
      </c>
      <c r="AW244">
        <v>2</v>
      </c>
      <c r="AX244">
        <v>16631697</v>
      </c>
      <c r="AY244">
        <v>1</v>
      </c>
      <c r="AZ244">
        <v>0</v>
      </c>
      <c r="BA244">
        <v>253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Y244*Source!I101</f>
        <v>1.7300360000000001E-2</v>
      </c>
      <c r="CY244">
        <f t="shared" si="29"/>
        <v>531.76</v>
      </c>
      <c r="CZ244">
        <f t="shared" si="30"/>
        <v>74.58</v>
      </c>
      <c r="DA244">
        <f t="shared" si="31"/>
        <v>7.13</v>
      </c>
      <c r="DB244">
        <f t="shared" si="27"/>
        <v>0.33</v>
      </c>
      <c r="DC244">
        <f t="shared" si="28"/>
        <v>0</v>
      </c>
    </row>
    <row r="245" spans="1:107" x14ac:dyDescent="0.2">
      <c r="A245">
        <f>ROW(Source!A101)</f>
        <v>101</v>
      </c>
      <c r="B245">
        <v>16630606</v>
      </c>
      <c r="C245">
        <v>16631675</v>
      </c>
      <c r="D245">
        <v>15202490</v>
      </c>
      <c r="E245">
        <v>1</v>
      </c>
      <c r="F245">
        <v>1</v>
      </c>
      <c r="G245">
        <v>1</v>
      </c>
      <c r="H245">
        <v>3</v>
      </c>
      <c r="I245" t="s">
        <v>1384</v>
      </c>
      <c r="J245" t="s">
        <v>1385</v>
      </c>
      <c r="K245" t="s">
        <v>1386</v>
      </c>
      <c r="L245">
        <v>1346</v>
      </c>
      <c r="N245">
        <v>1009</v>
      </c>
      <c r="O245" t="s">
        <v>102</v>
      </c>
      <c r="P245" t="s">
        <v>102</v>
      </c>
      <c r="Q245">
        <v>1</v>
      </c>
      <c r="W245">
        <v>0</v>
      </c>
      <c r="X245">
        <v>-1684093315</v>
      </c>
      <c r="Y245">
        <v>4.0199999999999996</v>
      </c>
      <c r="AA245">
        <v>57.68</v>
      </c>
      <c r="AB245">
        <v>0</v>
      </c>
      <c r="AC245">
        <v>0</v>
      </c>
      <c r="AD245">
        <v>0</v>
      </c>
      <c r="AE245">
        <v>8.09</v>
      </c>
      <c r="AF245">
        <v>0</v>
      </c>
      <c r="AG245">
        <v>0</v>
      </c>
      <c r="AH245">
        <v>0</v>
      </c>
      <c r="AI245">
        <v>7.13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6</v>
      </c>
      <c r="AT245">
        <v>4.0199999999999996</v>
      </c>
      <c r="AU245" t="s">
        <v>6</v>
      </c>
      <c r="AV245">
        <v>0</v>
      </c>
      <c r="AW245">
        <v>2</v>
      </c>
      <c r="AX245">
        <v>16631698</v>
      </c>
      <c r="AY245">
        <v>1</v>
      </c>
      <c r="AZ245">
        <v>0</v>
      </c>
      <c r="BA245">
        <v>254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Y245*Source!I101</f>
        <v>15.806237999999999</v>
      </c>
      <c r="CY245">
        <f t="shared" si="29"/>
        <v>57.68</v>
      </c>
      <c r="CZ245">
        <f t="shared" si="30"/>
        <v>8.09</v>
      </c>
      <c r="DA245">
        <f t="shared" si="31"/>
        <v>7.13</v>
      </c>
      <c r="DB245">
        <f t="shared" si="27"/>
        <v>32.520000000000003</v>
      </c>
      <c r="DC245">
        <f t="shared" si="28"/>
        <v>0</v>
      </c>
    </row>
    <row r="246" spans="1:107" x14ac:dyDescent="0.2">
      <c r="A246">
        <f>ROW(Source!A101)</f>
        <v>101</v>
      </c>
      <c r="B246">
        <v>16630606</v>
      </c>
      <c r="C246">
        <v>16631675</v>
      </c>
      <c r="D246">
        <v>15163054</v>
      </c>
      <c r="E246">
        <v>17</v>
      </c>
      <c r="F246">
        <v>1</v>
      </c>
      <c r="G246">
        <v>1</v>
      </c>
      <c r="H246">
        <v>3</v>
      </c>
      <c r="I246" t="s">
        <v>346</v>
      </c>
      <c r="J246" t="s">
        <v>6</v>
      </c>
      <c r="K246" t="s">
        <v>347</v>
      </c>
      <c r="L246">
        <v>1348</v>
      </c>
      <c r="N246">
        <v>1009</v>
      </c>
      <c r="O246" t="s">
        <v>98</v>
      </c>
      <c r="P246" t="s">
        <v>98</v>
      </c>
      <c r="Q246">
        <v>1000</v>
      </c>
      <c r="W246">
        <v>0</v>
      </c>
      <c r="X246">
        <v>1891904026</v>
      </c>
      <c r="Y246">
        <v>7.0999999999999994E-2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7.13</v>
      </c>
      <c r="AJ246">
        <v>1</v>
      </c>
      <c r="AK246">
        <v>1</v>
      </c>
      <c r="AL246">
        <v>1</v>
      </c>
      <c r="AN246">
        <v>0</v>
      </c>
      <c r="AO246">
        <v>0</v>
      </c>
      <c r="AP246">
        <v>0</v>
      </c>
      <c r="AQ246">
        <v>0</v>
      </c>
      <c r="AR246">
        <v>0</v>
      </c>
      <c r="AS246" t="s">
        <v>6</v>
      </c>
      <c r="AT246">
        <v>7.0999999999999994E-2</v>
      </c>
      <c r="AU246" t="s">
        <v>6</v>
      </c>
      <c r="AV246">
        <v>0</v>
      </c>
      <c r="AW246">
        <v>2</v>
      </c>
      <c r="AX246">
        <v>16631699</v>
      </c>
      <c r="AY246">
        <v>1</v>
      </c>
      <c r="AZ246">
        <v>0</v>
      </c>
      <c r="BA246">
        <v>255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Y246*Source!I101</f>
        <v>0.27916489999999999</v>
      </c>
      <c r="CY246">
        <f t="shared" si="29"/>
        <v>0</v>
      </c>
      <c r="CZ246">
        <f t="shared" si="30"/>
        <v>0</v>
      </c>
      <c r="DA246">
        <f t="shared" si="31"/>
        <v>7.13</v>
      </c>
      <c r="DB246">
        <f t="shared" si="27"/>
        <v>0</v>
      </c>
      <c r="DC246">
        <f t="shared" si="28"/>
        <v>0</v>
      </c>
    </row>
    <row r="247" spans="1:107" x14ac:dyDescent="0.2">
      <c r="A247">
        <f>ROW(Source!A101)</f>
        <v>101</v>
      </c>
      <c r="B247">
        <v>16630606</v>
      </c>
      <c r="C247">
        <v>16631675</v>
      </c>
      <c r="D247">
        <v>15203251</v>
      </c>
      <c r="E247">
        <v>1</v>
      </c>
      <c r="F247">
        <v>1</v>
      </c>
      <c r="G247">
        <v>1</v>
      </c>
      <c r="H247">
        <v>3</v>
      </c>
      <c r="I247" t="s">
        <v>349</v>
      </c>
      <c r="J247" t="s">
        <v>351</v>
      </c>
      <c r="K247" t="s">
        <v>350</v>
      </c>
      <c r="L247">
        <v>1348</v>
      </c>
      <c r="N247">
        <v>1009</v>
      </c>
      <c r="O247" t="s">
        <v>98</v>
      </c>
      <c r="P247" t="s">
        <v>98</v>
      </c>
      <c r="Q247">
        <v>1000</v>
      </c>
      <c r="W247">
        <v>0</v>
      </c>
      <c r="X247">
        <v>601561644</v>
      </c>
      <c r="Y247">
        <v>7.0999999999999994E-2</v>
      </c>
      <c r="AA247">
        <v>54383.15</v>
      </c>
      <c r="AB247">
        <v>0</v>
      </c>
      <c r="AC247">
        <v>0</v>
      </c>
      <c r="AD247">
        <v>0</v>
      </c>
      <c r="AE247">
        <v>7627.37</v>
      </c>
      <c r="AF247">
        <v>0</v>
      </c>
      <c r="AG247">
        <v>0</v>
      </c>
      <c r="AH247">
        <v>0</v>
      </c>
      <c r="AI247">
        <v>7.13</v>
      </c>
      <c r="AJ247">
        <v>1</v>
      </c>
      <c r="AK247">
        <v>1</v>
      </c>
      <c r="AL247">
        <v>1</v>
      </c>
      <c r="AN247">
        <v>0</v>
      </c>
      <c r="AO247">
        <v>0</v>
      </c>
      <c r="AP247">
        <v>0</v>
      </c>
      <c r="AQ247">
        <v>0</v>
      </c>
      <c r="AR247">
        <v>0</v>
      </c>
      <c r="AS247" t="s">
        <v>6</v>
      </c>
      <c r="AT247">
        <v>7.0999999999999994E-2</v>
      </c>
      <c r="AU247" t="s">
        <v>6</v>
      </c>
      <c r="AV247">
        <v>0</v>
      </c>
      <c r="AW247">
        <v>1</v>
      </c>
      <c r="AX247">
        <v>-1</v>
      </c>
      <c r="AY247">
        <v>0</v>
      </c>
      <c r="AZ247">
        <v>0</v>
      </c>
      <c r="BA247" t="s">
        <v>6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Y247*Source!I101</f>
        <v>0.27916489999999999</v>
      </c>
      <c r="CY247">
        <f t="shared" si="29"/>
        <v>54383.15</v>
      </c>
      <c r="CZ247">
        <f t="shared" si="30"/>
        <v>7627.37</v>
      </c>
      <c r="DA247">
        <f t="shared" si="31"/>
        <v>7.13</v>
      </c>
      <c r="DB247">
        <f t="shared" si="27"/>
        <v>541.54</v>
      </c>
      <c r="DC247">
        <f t="shared" si="28"/>
        <v>0</v>
      </c>
    </row>
    <row r="248" spans="1:107" x14ac:dyDescent="0.2">
      <c r="A248">
        <f>ROW(Source!A101)</f>
        <v>101</v>
      </c>
      <c r="B248">
        <v>16630606</v>
      </c>
      <c r="C248">
        <v>16631675</v>
      </c>
      <c r="D248">
        <v>15204729</v>
      </c>
      <c r="E248">
        <v>1</v>
      </c>
      <c r="F248">
        <v>1</v>
      </c>
      <c r="G248">
        <v>1</v>
      </c>
      <c r="H248">
        <v>3</v>
      </c>
      <c r="I248" t="s">
        <v>1236</v>
      </c>
      <c r="J248" t="s">
        <v>1237</v>
      </c>
      <c r="K248" t="s">
        <v>1238</v>
      </c>
      <c r="L248">
        <v>1348</v>
      </c>
      <c r="N248">
        <v>1009</v>
      </c>
      <c r="O248" t="s">
        <v>98</v>
      </c>
      <c r="P248" t="s">
        <v>98</v>
      </c>
      <c r="Q248">
        <v>1000</v>
      </c>
      <c r="W248">
        <v>0</v>
      </c>
      <c r="X248">
        <v>-2084827333</v>
      </c>
      <c r="Y248">
        <v>7.1999999999999995E-2</v>
      </c>
      <c r="AA248">
        <v>30616.22</v>
      </c>
      <c r="AB248">
        <v>0</v>
      </c>
      <c r="AC248">
        <v>0</v>
      </c>
      <c r="AD248">
        <v>0</v>
      </c>
      <c r="AE248">
        <v>4294</v>
      </c>
      <c r="AF248">
        <v>0</v>
      </c>
      <c r="AG248">
        <v>0</v>
      </c>
      <c r="AH248">
        <v>0</v>
      </c>
      <c r="AI248">
        <v>7.13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6</v>
      </c>
      <c r="AT248">
        <v>7.1999999999999995E-2</v>
      </c>
      <c r="AU248" t="s">
        <v>6</v>
      </c>
      <c r="AV248">
        <v>0</v>
      </c>
      <c r="AW248">
        <v>2</v>
      </c>
      <c r="AX248">
        <v>16631700</v>
      </c>
      <c r="AY248">
        <v>1</v>
      </c>
      <c r="AZ248">
        <v>0</v>
      </c>
      <c r="BA248">
        <v>256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Y248*Source!I101</f>
        <v>0.28309679999999998</v>
      </c>
      <c r="CY248">
        <f t="shared" si="29"/>
        <v>30616.22</v>
      </c>
      <c r="CZ248">
        <f t="shared" si="30"/>
        <v>4294</v>
      </c>
      <c r="DA248">
        <f t="shared" si="31"/>
        <v>7.13</v>
      </c>
      <c r="DB248">
        <f t="shared" si="27"/>
        <v>309.17</v>
      </c>
      <c r="DC248">
        <f t="shared" si="28"/>
        <v>0</v>
      </c>
    </row>
    <row r="249" spans="1:107" x14ac:dyDescent="0.2">
      <c r="A249">
        <f>ROW(Source!A104)</f>
        <v>104</v>
      </c>
      <c r="B249">
        <v>16630606</v>
      </c>
      <c r="C249">
        <v>16633500</v>
      </c>
      <c r="D249">
        <v>15435099</v>
      </c>
      <c r="E249">
        <v>1</v>
      </c>
      <c r="F249">
        <v>1</v>
      </c>
      <c r="G249">
        <v>1</v>
      </c>
      <c r="H249">
        <v>1</v>
      </c>
      <c r="I249" t="s">
        <v>1376</v>
      </c>
      <c r="J249" t="s">
        <v>6</v>
      </c>
      <c r="K249" t="s">
        <v>1377</v>
      </c>
      <c r="L249">
        <v>1191</v>
      </c>
      <c r="N249">
        <v>1013</v>
      </c>
      <c r="O249" t="s">
        <v>1148</v>
      </c>
      <c r="P249" t="s">
        <v>1148</v>
      </c>
      <c r="Q249">
        <v>1</v>
      </c>
      <c r="W249">
        <v>0</v>
      </c>
      <c r="X249">
        <v>1010519658</v>
      </c>
      <c r="Y249">
        <v>33.78</v>
      </c>
      <c r="AA249">
        <v>0</v>
      </c>
      <c r="AB249">
        <v>0</v>
      </c>
      <c r="AC249">
        <v>0</v>
      </c>
      <c r="AD249">
        <v>61.6</v>
      </c>
      <c r="AE249">
        <v>0</v>
      </c>
      <c r="AF249">
        <v>0</v>
      </c>
      <c r="AG249">
        <v>0</v>
      </c>
      <c r="AH249">
        <v>8.64</v>
      </c>
      <c r="AI249">
        <v>1</v>
      </c>
      <c r="AJ249">
        <v>1</v>
      </c>
      <c r="AK249">
        <v>1</v>
      </c>
      <c r="AL249">
        <v>7.13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6</v>
      </c>
      <c r="AT249">
        <v>33.78</v>
      </c>
      <c r="AU249" t="s">
        <v>6</v>
      </c>
      <c r="AV249">
        <v>1</v>
      </c>
      <c r="AW249">
        <v>2</v>
      </c>
      <c r="AX249">
        <v>16633501</v>
      </c>
      <c r="AY249">
        <v>1</v>
      </c>
      <c r="AZ249">
        <v>0</v>
      </c>
      <c r="BA249">
        <v>257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Y249*Source!I104</f>
        <v>89.044080000000008</v>
      </c>
      <c r="CY249">
        <f>AD249</f>
        <v>61.6</v>
      </c>
      <c r="CZ249">
        <f>AH249</f>
        <v>8.64</v>
      </c>
      <c r="DA249">
        <f>AL249</f>
        <v>7.13</v>
      </c>
      <c r="DB249">
        <f t="shared" si="27"/>
        <v>291.86</v>
      </c>
      <c r="DC249">
        <f t="shared" si="28"/>
        <v>0</v>
      </c>
    </row>
    <row r="250" spans="1:107" x14ac:dyDescent="0.2">
      <c r="A250">
        <f>ROW(Source!A104)</f>
        <v>104</v>
      </c>
      <c r="B250">
        <v>16630606</v>
      </c>
      <c r="C250">
        <v>16633500</v>
      </c>
      <c r="D250">
        <v>15430395</v>
      </c>
      <c r="E250">
        <v>1</v>
      </c>
      <c r="F250">
        <v>1</v>
      </c>
      <c r="G250">
        <v>1</v>
      </c>
      <c r="H250">
        <v>1</v>
      </c>
      <c r="I250" t="s">
        <v>1149</v>
      </c>
      <c r="J250" t="s">
        <v>6</v>
      </c>
      <c r="K250" t="s">
        <v>1150</v>
      </c>
      <c r="L250">
        <v>1191</v>
      </c>
      <c r="N250">
        <v>1013</v>
      </c>
      <c r="O250" t="s">
        <v>1148</v>
      </c>
      <c r="P250" t="s">
        <v>1148</v>
      </c>
      <c r="Q250">
        <v>1</v>
      </c>
      <c r="W250">
        <v>0</v>
      </c>
      <c r="X250">
        <v>-1417349443</v>
      </c>
      <c r="Y250">
        <v>0.16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7.13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6</v>
      </c>
      <c r="AT250">
        <v>0.16</v>
      </c>
      <c r="AU250" t="s">
        <v>6</v>
      </c>
      <c r="AV250">
        <v>2</v>
      </c>
      <c r="AW250">
        <v>2</v>
      </c>
      <c r="AX250">
        <v>16633502</v>
      </c>
      <c r="AY250">
        <v>1</v>
      </c>
      <c r="AZ250">
        <v>0</v>
      </c>
      <c r="BA250">
        <v>258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Y250*Source!I104</f>
        <v>0.42176000000000002</v>
      </c>
      <c r="CY250">
        <f>AD250</f>
        <v>0</v>
      </c>
      <c r="CZ250">
        <f>AH250</f>
        <v>0</v>
      </c>
      <c r="DA250">
        <f>AL250</f>
        <v>1</v>
      </c>
      <c r="DB250">
        <f t="shared" si="27"/>
        <v>0</v>
      </c>
      <c r="DC250">
        <f t="shared" si="28"/>
        <v>0</v>
      </c>
    </row>
    <row r="251" spans="1:107" x14ac:dyDescent="0.2">
      <c r="A251">
        <f>ROW(Source!A104)</f>
        <v>104</v>
      </c>
      <c r="B251">
        <v>16630606</v>
      </c>
      <c r="C251">
        <v>16633500</v>
      </c>
      <c r="D251">
        <v>15247974</v>
      </c>
      <c r="E251">
        <v>1</v>
      </c>
      <c r="F251">
        <v>1</v>
      </c>
      <c r="G251">
        <v>1</v>
      </c>
      <c r="H251">
        <v>2</v>
      </c>
      <c r="I251" t="s">
        <v>1151</v>
      </c>
      <c r="J251" t="s">
        <v>1152</v>
      </c>
      <c r="K251" t="s">
        <v>1153</v>
      </c>
      <c r="L251">
        <v>1368</v>
      </c>
      <c r="N251">
        <v>1011</v>
      </c>
      <c r="O251" t="s">
        <v>1154</v>
      </c>
      <c r="P251" t="s">
        <v>1154</v>
      </c>
      <c r="Q251">
        <v>1</v>
      </c>
      <c r="W251">
        <v>0</v>
      </c>
      <c r="X251">
        <v>1188625873</v>
      </c>
      <c r="Y251">
        <v>0.1</v>
      </c>
      <c r="AA251">
        <v>0</v>
      </c>
      <c r="AB251">
        <v>222.88</v>
      </c>
      <c r="AC251">
        <v>13.5</v>
      </c>
      <c r="AD251">
        <v>0</v>
      </c>
      <c r="AE251">
        <v>0</v>
      </c>
      <c r="AF251">
        <v>31.26</v>
      </c>
      <c r="AG251">
        <v>13.5</v>
      </c>
      <c r="AH251">
        <v>0</v>
      </c>
      <c r="AI251">
        <v>1</v>
      </c>
      <c r="AJ251">
        <v>7.13</v>
      </c>
      <c r="AK251">
        <v>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6</v>
      </c>
      <c r="AT251">
        <v>0.1</v>
      </c>
      <c r="AU251" t="s">
        <v>6</v>
      </c>
      <c r="AV251">
        <v>0</v>
      </c>
      <c r="AW251">
        <v>2</v>
      </c>
      <c r="AX251">
        <v>16633503</v>
      </c>
      <c r="AY251">
        <v>1</v>
      </c>
      <c r="AZ251">
        <v>0</v>
      </c>
      <c r="BA251">
        <v>259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Y251*Source!I104</f>
        <v>0.2636</v>
      </c>
      <c r="CY251">
        <f>AB251</f>
        <v>222.88</v>
      </c>
      <c r="CZ251">
        <f>AF251</f>
        <v>31.26</v>
      </c>
      <c r="DA251">
        <f>AJ251</f>
        <v>7.13</v>
      </c>
      <c r="DB251">
        <f t="shared" si="27"/>
        <v>3.13</v>
      </c>
      <c r="DC251">
        <f t="shared" si="28"/>
        <v>1.35</v>
      </c>
    </row>
    <row r="252" spans="1:107" x14ac:dyDescent="0.2">
      <c r="A252">
        <f>ROW(Source!A104)</f>
        <v>104</v>
      </c>
      <c r="B252">
        <v>16630606</v>
      </c>
      <c r="C252">
        <v>16633500</v>
      </c>
      <c r="D252">
        <v>15249073</v>
      </c>
      <c r="E252">
        <v>1</v>
      </c>
      <c r="F252">
        <v>1</v>
      </c>
      <c r="G252">
        <v>1</v>
      </c>
      <c r="H252">
        <v>2</v>
      </c>
      <c r="I252" t="s">
        <v>1157</v>
      </c>
      <c r="J252" t="s">
        <v>1158</v>
      </c>
      <c r="K252" t="s">
        <v>1159</v>
      </c>
      <c r="L252">
        <v>1368</v>
      </c>
      <c r="N252">
        <v>1011</v>
      </c>
      <c r="O252" t="s">
        <v>1154</v>
      </c>
      <c r="P252" t="s">
        <v>1154</v>
      </c>
      <c r="Q252">
        <v>1</v>
      </c>
      <c r="W252">
        <v>0</v>
      </c>
      <c r="X252">
        <v>1372534845</v>
      </c>
      <c r="Y252">
        <v>0.06</v>
      </c>
      <c r="AA252">
        <v>0</v>
      </c>
      <c r="AB252">
        <v>468.51</v>
      </c>
      <c r="AC252">
        <v>11.6</v>
      </c>
      <c r="AD252">
        <v>0</v>
      </c>
      <c r="AE252">
        <v>0</v>
      </c>
      <c r="AF252">
        <v>65.709999999999994</v>
      </c>
      <c r="AG252">
        <v>11.6</v>
      </c>
      <c r="AH252">
        <v>0</v>
      </c>
      <c r="AI252">
        <v>1</v>
      </c>
      <c r="AJ252">
        <v>7.13</v>
      </c>
      <c r="AK252">
        <v>1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6</v>
      </c>
      <c r="AT252">
        <v>0.06</v>
      </c>
      <c r="AU252" t="s">
        <v>6</v>
      </c>
      <c r="AV252">
        <v>0</v>
      </c>
      <c r="AW252">
        <v>2</v>
      </c>
      <c r="AX252">
        <v>16633504</v>
      </c>
      <c r="AY252">
        <v>1</v>
      </c>
      <c r="AZ252">
        <v>0</v>
      </c>
      <c r="BA252">
        <v>260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Y252*Source!I104</f>
        <v>0.15816</v>
      </c>
      <c r="CY252">
        <f>AB252</f>
        <v>468.51</v>
      </c>
      <c r="CZ252">
        <f>AF252</f>
        <v>65.709999999999994</v>
      </c>
      <c r="DA252">
        <f>AJ252</f>
        <v>7.13</v>
      </c>
      <c r="DB252">
        <f t="shared" si="27"/>
        <v>3.94</v>
      </c>
      <c r="DC252">
        <f t="shared" si="28"/>
        <v>0.7</v>
      </c>
    </row>
    <row r="253" spans="1:107" x14ac:dyDescent="0.2">
      <c r="A253">
        <f>ROW(Source!A104)</f>
        <v>104</v>
      </c>
      <c r="B253">
        <v>16630606</v>
      </c>
      <c r="C253">
        <v>16633500</v>
      </c>
      <c r="D253">
        <v>15167286</v>
      </c>
      <c r="E253">
        <v>1</v>
      </c>
      <c r="F253">
        <v>1</v>
      </c>
      <c r="G253">
        <v>1</v>
      </c>
      <c r="H253">
        <v>3</v>
      </c>
      <c r="I253" t="s">
        <v>1265</v>
      </c>
      <c r="J253" t="s">
        <v>1266</v>
      </c>
      <c r="K253" t="s">
        <v>1267</v>
      </c>
      <c r="L253">
        <v>1339</v>
      </c>
      <c r="N253">
        <v>1007</v>
      </c>
      <c r="O253" t="s">
        <v>203</v>
      </c>
      <c r="P253" t="s">
        <v>203</v>
      </c>
      <c r="Q253">
        <v>1</v>
      </c>
      <c r="W253">
        <v>0</v>
      </c>
      <c r="X253">
        <v>-1660354250</v>
      </c>
      <c r="Y253">
        <v>0.24</v>
      </c>
      <c r="AA253">
        <v>17.399999999999999</v>
      </c>
      <c r="AB253">
        <v>0</v>
      </c>
      <c r="AC253">
        <v>0</v>
      </c>
      <c r="AD253">
        <v>0</v>
      </c>
      <c r="AE253">
        <v>2.44</v>
      </c>
      <c r="AF253">
        <v>0</v>
      </c>
      <c r="AG253">
        <v>0</v>
      </c>
      <c r="AH253">
        <v>0</v>
      </c>
      <c r="AI253">
        <v>7.13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6</v>
      </c>
      <c r="AT253">
        <v>0.24</v>
      </c>
      <c r="AU253" t="s">
        <v>6</v>
      </c>
      <c r="AV253">
        <v>0</v>
      </c>
      <c r="AW253">
        <v>2</v>
      </c>
      <c r="AX253">
        <v>16633505</v>
      </c>
      <c r="AY253">
        <v>1</v>
      </c>
      <c r="AZ253">
        <v>0</v>
      </c>
      <c r="BA253">
        <v>261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Y253*Source!I104</f>
        <v>0.63263999999999998</v>
      </c>
      <c r="CY253">
        <f t="shared" ref="CY253:CY261" si="32">AA253</f>
        <v>17.399999999999999</v>
      </c>
      <c r="CZ253">
        <f t="shared" ref="CZ253:CZ261" si="33">AE253</f>
        <v>2.44</v>
      </c>
      <c r="DA253">
        <f t="shared" ref="DA253:DA261" si="34">AI253</f>
        <v>7.13</v>
      </c>
      <c r="DB253">
        <f t="shared" si="27"/>
        <v>0.59</v>
      </c>
      <c r="DC253">
        <f t="shared" si="28"/>
        <v>0</v>
      </c>
    </row>
    <row r="254" spans="1:107" x14ac:dyDescent="0.2">
      <c r="A254">
        <f>ROW(Source!A104)</f>
        <v>104</v>
      </c>
      <c r="B254">
        <v>16630606</v>
      </c>
      <c r="C254">
        <v>16633500</v>
      </c>
      <c r="D254">
        <v>15167766</v>
      </c>
      <c r="E254">
        <v>1</v>
      </c>
      <c r="F254">
        <v>1</v>
      </c>
      <c r="G254">
        <v>1</v>
      </c>
      <c r="H254">
        <v>3</v>
      </c>
      <c r="I254" t="s">
        <v>1378</v>
      </c>
      <c r="J254" t="s">
        <v>1379</v>
      </c>
      <c r="K254" t="s">
        <v>1380</v>
      </c>
      <c r="L254">
        <v>1354</v>
      </c>
      <c r="N254">
        <v>1010</v>
      </c>
      <c r="O254" t="s">
        <v>132</v>
      </c>
      <c r="P254" t="s">
        <v>132</v>
      </c>
      <c r="Q254">
        <v>1</v>
      </c>
      <c r="W254">
        <v>0</v>
      </c>
      <c r="X254">
        <v>-1046673864</v>
      </c>
      <c r="Y254">
        <v>5.0999999999999996</v>
      </c>
      <c r="AA254">
        <v>32.090000000000003</v>
      </c>
      <c r="AB254">
        <v>0</v>
      </c>
      <c r="AC254">
        <v>0</v>
      </c>
      <c r="AD254">
        <v>0</v>
      </c>
      <c r="AE254">
        <v>4.5</v>
      </c>
      <c r="AF254">
        <v>0</v>
      </c>
      <c r="AG254">
        <v>0</v>
      </c>
      <c r="AH254">
        <v>0</v>
      </c>
      <c r="AI254">
        <v>7.13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6</v>
      </c>
      <c r="AT254">
        <v>5.0999999999999996</v>
      </c>
      <c r="AU254" t="s">
        <v>6</v>
      </c>
      <c r="AV254">
        <v>0</v>
      </c>
      <c r="AW254">
        <v>2</v>
      </c>
      <c r="AX254">
        <v>16633506</v>
      </c>
      <c r="AY254">
        <v>1</v>
      </c>
      <c r="AZ254">
        <v>0</v>
      </c>
      <c r="BA254">
        <v>262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Y254*Source!I104</f>
        <v>13.4436</v>
      </c>
      <c r="CY254">
        <f t="shared" si="32"/>
        <v>32.090000000000003</v>
      </c>
      <c r="CZ254">
        <f t="shared" si="33"/>
        <v>4.5</v>
      </c>
      <c r="DA254">
        <f t="shared" si="34"/>
        <v>7.13</v>
      </c>
      <c r="DB254">
        <f t="shared" si="27"/>
        <v>22.95</v>
      </c>
      <c r="DC254">
        <f t="shared" si="28"/>
        <v>0</v>
      </c>
    </row>
    <row r="255" spans="1:107" x14ac:dyDescent="0.2">
      <c r="A255">
        <f>ROW(Source!A104)</f>
        <v>104</v>
      </c>
      <c r="B255">
        <v>16630606</v>
      </c>
      <c r="C255">
        <v>16633500</v>
      </c>
      <c r="D255">
        <v>15168015</v>
      </c>
      <c r="E255">
        <v>1</v>
      </c>
      <c r="F255">
        <v>1</v>
      </c>
      <c r="G255">
        <v>1</v>
      </c>
      <c r="H255">
        <v>3</v>
      </c>
      <c r="I255" t="s">
        <v>1381</v>
      </c>
      <c r="J255" t="s">
        <v>1382</v>
      </c>
      <c r="K255" t="s">
        <v>1383</v>
      </c>
      <c r="L255">
        <v>1348</v>
      </c>
      <c r="N255">
        <v>1009</v>
      </c>
      <c r="O255" t="s">
        <v>98</v>
      </c>
      <c r="P255" t="s">
        <v>98</v>
      </c>
      <c r="Q255">
        <v>1000</v>
      </c>
      <c r="W255">
        <v>0</v>
      </c>
      <c r="X255">
        <v>-526970962</v>
      </c>
      <c r="Y255">
        <v>2.5499999999999998E-2</v>
      </c>
      <c r="AA255">
        <v>4181.53</v>
      </c>
      <c r="AB255">
        <v>0</v>
      </c>
      <c r="AC255">
        <v>0</v>
      </c>
      <c r="AD255">
        <v>0</v>
      </c>
      <c r="AE255">
        <v>586.47</v>
      </c>
      <c r="AF255">
        <v>0</v>
      </c>
      <c r="AG255">
        <v>0</v>
      </c>
      <c r="AH255">
        <v>0</v>
      </c>
      <c r="AI255">
        <v>7.13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6</v>
      </c>
      <c r="AT255">
        <v>2.5499999999999998E-2</v>
      </c>
      <c r="AU255" t="s">
        <v>6</v>
      </c>
      <c r="AV255">
        <v>0</v>
      </c>
      <c r="AW255">
        <v>2</v>
      </c>
      <c r="AX255">
        <v>16633507</v>
      </c>
      <c r="AY255">
        <v>1</v>
      </c>
      <c r="AZ255">
        <v>0</v>
      </c>
      <c r="BA255">
        <v>263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Y255*Source!I104</f>
        <v>6.7218E-2</v>
      </c>
      <c r="CY255">
        <f t="shared" si="32"/>
        <v>4181.53</v>
      </c>
      <c r="CZ255">
        <f t="shared" si="33"/>
        <v>586.47</v>
      </c>
      <c r="DA255">
        <f t="shared" si="34"/>
        <v>7.13</v>
      </c>
      <c r="DB255">
        <f t="shared" si="27"/>
        <v>14.95</v>
      </c>
      <c r="DC255">
        <f t="shared" si="28"/>
        <v>0</v>
      </c>
    </row>
    <row r="256" spans="1:107" x14ac:dyDescent="0.2">
      <c r="A256">
        <f>ROW(Source!A104)</f>
        <v>104</v>
      </c>
      <c r="B256">
        <v>16630606</v>
      </c>
      <c r="C256">
        <v>16633500</v>
      </c>
      <c r="D256">
        <v>15170682</v>
      </c>
      <c r="E256">
        <v>1</v>
      </c>
      <c r="F256">
        <v>1</v>
      </c>
      <c r="G256">
        <v>1</v>
      </c>
      <c r="H256">
        <v>3</v>
      </c>
      <c r="I256" t="s">
        <v>1233</v>
      </c>
      <c r="J256" t="s">
        <v>1234</v>
      </c>
      <c r="K256" t="s">
        <v>1235</v>
      </c>
      <c r="L256">
        <v>1327</v>
      </c>
      <c r="N256">
        <v>1005</v>
      </c>
      <c r="O256" t="s">
        <v>87</v>
      </c>
      <c r="P256" t="s">
        <v>87</v>
      </c>
      <c r="Q256">
        <v>1</v>
      </c>
      <c r="W256">
        <v>0</v>
      </c>
      <c r="X256">
        <v>-1987926685</v>
      </c>
      <c r="Y256">
        <v>1.6</v>
      </c>
      <c r="AA256">
        <v>515.64</v>
      </c>
      <c r="AB256">
        <v>0</v>
      </c>
      <c r="AC256">
        <v>0</v>
      </c>
      <c r="AD256">
        <v>0</v>
      </c>
      <c r="AE256">
        <v>72.319999999999993</v>
      </c>
      <c r="AF256">
        <v>0</v>
      </c>
      <c r="AG256">
        <v>0</v>
      </c>
      <c r="AH256">
        <v>0</v>
      </c>
      <c r="AI256">
        <v>7.13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6</v>
      </c>
      <c r="AT256">
        <v>1.6</v>
      </c>
      <c r="AU256" t="s">
        <v>6</v>
      </c>
      <c r="AV256">
        <v>0</v>
      </c>
      <c r="AW256">
        <v>2</v>
      </c>
      <c r="AX256">
        <v>16633508</v>
      </c>
      <c r="AY256">
        <v>1</v>
      </c>
      <c r="AZ256">
        <v>0</v>
      </c>
      <c r="BA256">
        <v>264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Y256*Source!I104</f>
        <v>4.2176</v>
      </c>
      <c r="CY256">
        <f t="shared" si="32"/>
        <v>515.64</v>
      </c>
      <c r="CZ256">
        <f t="shared" si="33"/>
        <v>72.319999999999993</v>
      </c>
      <c r="DA256">
        <f t="shared" si="34"/>
        <v>7.13</v>
      </c>
      <c r="DB256">
        <f t="shared" si="27"/>
        <v>115.71</v>
      </c>
      <c r="DC256">
        <f t="shared" si="28"/>
        <v>0</v>
      </c>
    </row>
    <row r="257" spans="1:107" x14ac:dyDescent="0.2">
      <c r="A257">
        <f>ROW(Source!A104)</f>
        <v>104</v>
      </c>
      <c r="B257">
        <v>16630606</v>
      </c>
      <c r="C257">
        <v>16633500</v>
      </c>
      <c r="D257">
        <v>15171907</v>
      </c>
      <c r="E257">
        <v>1</v>
      </c>
      <c r="F257">
        <v>1</v>
      </c>
      <c r="G257">
        <v>1</v>
      </c>
      <c r="H257">
        <v>3</v>
      </c>
      <c r="I257" t="s">
        <v>1210</v>
      </c>
      <c r="J257" t="s">
        <v>1211</v>
      </c>
      <c r="K257" t="s">
        <v>1212</v>
      </c>
      <c r="L257">
        <v>1339</v>
      </c>
      <c r="N257">
        <v>1007</v>
      </c>
      <c r="O257" t="s">
        <v>203</v>
      </c>
      <c r="P257" t="s">
        <v>203</v>
      </c>
      <c r="Q257">
        <v>1</v>
      </c>
      <c r="W257">
        <v>0</v>
      </c>
      <c r="X257">
        <v>1795918813</v>
      </c>
      <c r="Y257">
        <v>4.4000000000000003E-3</v>
      </c>
      <c r="AA257">
        <v>531.76</v>
      </c>
      <c r="AB257">
        <v>0</v>
      </c>
      <c r="AC257">
        <v>0</v>
      </c>
      <c r="AD257">
        <v>0</v>
      </c>
      <c r="AE257">
        <v>74.58</v>
      </c>
      <c r="AF257">
        <v>0</v>
      </c>
      <c r="AG257">
        <v>0</v>
      </c>
      <c r="AH257">
        <v>0</v>
      </c>
      <c r="AI257">
        <v>7.13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6</v>
      </c>
      <c r="AT257">
        <v>4.4000000000000003E-3</v>
      </c>
      <c r="AU257" t="s">
        <v>6</v>
      </c>
      <c r="AV257">
        <v>0</v>
      </c>
      <c r="AW257">
        <v>2</v>
      </c>
      <c r="AX257">
        <v>16633509</v>
      </c>
      <c r="AY257">
        <v>1</v>
      </c>
      <c r="AZ257">
        <v>0</v>
      </c>
      <c r="BA257">
        <v>265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Y257*Source!I104</f>
        <v>1.1598400000000002E-2</v>
      </c>
      <c r="CY257">
        <f t="shared" si="32"/>
        <v>531.76</v>
      </c>
      <c r="CZ257">
        <f t="shared" si="33"/>
        <v>74.58</v>
      </c>
      <c r="DA257">
        <f t="shared" si="34"/>
        <v>7.13</v>
      </c>
      <c r="DB257">
        <f t="shared" si="27"/>
        <v>0.33</v>
      </c>
      <c r="DC257">
        <f t="shared" si="28"/>
        <v>0</v>
      </c>
    </row>
    <row r="258" spans="1:107" x14ac:dyDescent="0.2">
      <c r="A258">
        <f>ROW(Source!A104)</f>
        <v>104</v>
      </c>
      <c r="B258">
        <v>16630606</v>
      </c>
      <c r="C258">
        <v>16633500</v>
      </c>
      <c r="D258">
        <v>15202490</v>
      </c>
      <c r="E258">
        <v>1</v>
      </c>
      <c r="F258">
        <v>1</v>
      </c>
      <c r="G258">
        <v>1</v>
      </c>
      <c r="H258">
        <v>3</v>
      </c>
      <c r="I258" t="s">
        <v>1384</v>
      </c>
      <c r="J258" t="s">
        <v>1385</v>
      </c>
      <c r="K258" t="s">
        <v>1386</v>
      </c>
      <c r="L258">
        <v>1346</v>
      </c>
      <c r="N258">
        <v>1009</v>
      </c>
      <c r="O258" t="s">
        <v>102</v>
      </c>
      <c r="P258" t="s">
        <v>102</v>
      </c>
      <c r="Q258">
        <v>1</v>
      </c>
      <c r="W258">
        <v>0</v>
      </c>
      <c r="X258">
        <v>-1684093315</v>
      </c>
      <c r="Y258">
        <v>4.0199999999999996</v>
      </c>
      <c r="AA258">
        <v>57.68</v>
      </c>
      <c r="AB258">
        <v>0</v>
      </c>
      <c r="AC258">
        <v>0</v>
      </c>
      <c r="AD258">
        <v>0</v>
      </c>
      <c r="AE258">
        <v>8.09</v>
      </c>
      <c r="AF258">
        <v>0</v>
      </c>
      <c r="AG258">
        <v>0</v>
      </c>
      <c r="AH258">
        <v>0</v>
      </c>
      <c r="AI258">
        <v>7.13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6</v>
      </c>
      <c r="AT258">
        <v>4.0199999999999996</v>
      </c>
      <c r="AU258" t="s">
        <v>6</v>
      </c>
      <c r="AV258">
        <v>0</v>
      </c>
      <c r="AW258">
        <v>2</v>
      </c>
      <c r="AX258">
        <v>16633510</v>
      </c>
      <c r="AY258">
        <v>1</v>
      </c>
      <c r="AZ258">
        <v>0</v>
      </c>
      <c r="BA258">
        <v>266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Y258*Source!I104</f>
        <v>10.596719999999999</v>
      </c>
      <c r="CY258">
        <f t="shared" si="32"/>
        <v>57.68</v>
      </c>
      <c r="CZ258">
        <f t="shared" si="33"/>
        <v>8.09</v>
      </c>
      <c r="DA258">
        <f t="shared" si="34"/>
        <v>7.13</v>
      </c>
      <c r="DB258">
        <f t="shared" si="27"/>
        <v>32.520000000000003</v>
      </c>
      <c r="DC258">
        <f t="shared" si="28"/>
        <v>0</v>
      </c>
    </row>
    <row r="259" spans="1:107" x14ac:dyDescent="0.2">
      <c r="A259">
        <f>ROW(Source!A104)</f>
        <v>104</v>
      </c>
      <c r="B259">
        <v>16630606</v>
      </c>
      <c r="C259">
        <v>16633500</v>
      </c>
      <c r="D259">
        <v>15163054</v>
      </c>
      <c r="E259">
        <v>17</v>
      </c>
      <c r="F259">
        <v>1</v>
      </c>
      <c r="G259">
        <v>1</v>
      </c>
      <c r="H259">
        <v>3</v>
      </c>
      <c r="I259" t="s">
        <v>346</v>
      </c>
      <c r="J259" t="s">
        <v>6</v>
      </c>
      <c r="K259" t="s">
        <v>347</v>
      </c>
      <c r="L259">
        <v>1348</v>
      </c>
      <c r="N259">
        <v>1009</v>
      </c>
      <c r="O259" t="s">
        <v>98</v>
      </c>
      <c r="P259" t="s">
        <v>98</v>
      </c>
      <c r="Q259">
        <v>1000</v>
      </c>
      <c r="W259">
        <v>0</v>
      </c>
      <c r="X259">
        <v>1891904026</v>
      </c>
      <c r="Y259">
        <v>7.0999999999999994E-2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7.13</v>
      </c>
      <c r="AJ259">
        <v>1</v>
      </c>
      <c r="AK259">
        <v>1</v>
      </c>
      <c r="AL259">
        <v>1</v>
      </c>
      <c r="AN259">
        <v>0</v>
      </c>
      <c r="AO259">
        <v>0</v>
      </c>
      <c r="AP259">
        <v>0</v>
      </c>
      <c r="AQ259">
        <v>0</v>
      </c>
      <c r="AR259">
        <v>0</v>
      </c>
      <c r="AS259" t="s">
        <v>6</v>
      </c>
      <c r="AT259">
        <v>7.0999999999999994E-2</v>
      </c>
      <c r="AU259" t="s">
        <v>6</v>
      </c>
      <c r="AV259">
        <v>0</v>
      </c>
      <c r="AW259">
        <v>2</v>
      </c>
      <c r="AX259">
        <v>16633511</v>
      </c>
      <c r="AY259">
        <v>1</v>
      </c>
      <c r="AZ259">
        <v>0</v>
      </c>
      <c r="BA259">
        <v>267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Y259*Source!I104</f>
        <v>0.18715599999999999</v>
      </c>
      <c r="CY259">
        <f t="shared" si="32"/>
        <v>0</v>
      </c>
      <c r="CZ259">
        <f t="shared" si="33"/>
        <v>0</v>
      </c>
      <c r="DA259">
        <f t="shared" si="34"/>
        <v>7.13</v>
      </c>
      <c r="DB259">
        <f t="shared" si="27"/>
        <v>0</v>
      </c>
      <c r="DC259">
        <f t="shared" si="28"/>
        <v>0</v>
      </c>
    </row>
    <row r="260" spans="1:107" x14ac:dyDescent="0.2">
      <c r="A260">
        <f>ROW(Source!A104)</f>
        <v>104</v>
      </c>
      <c r="B260">
        <v>16630606</v>
      </c>
      <c r="C260">
        <v>16633500</v>
      </c>
      <c r="D260">
        <v>15203251</v>
      </c>
      <c r="E260">
        <v>1</v>
      </c>
      <c r="F260">
        <v>1</v>
      </c>
      <c r="G260">
        <v>1</v>
      </c>
      <c r="H260">
        <v>3</v>
      </c>
      <c r="I260" t="s">
        <v>349</v>
      </c>
      <c r="J260" t="s">
        <v>351</v>
      </c>
      <c r="K260" t="s">
        <v>358</v>
      </c>
      <c r="L260">
        <v>1348</v>
      </c>
      <c r="N260">
        <v>1009</v>
      </c>
      <c r="O260" t="s">
        <v>98</v>
      </c>
      <c r="P260" t="s">
        <v>98</v>
      </c>
      <c r="Q260">
        <v>1000</v>
      </c>
      <c r="W260">
        <v>0</v>
      </c>
      <c r="X260">
        <v>1715615790</v>
      </c>
      <c r="Y260">
        <v>7.0999999999999994E-2</v>
      </c>
      <c r="AA260">
        <v>54383.15</v>
      </c>
      <c r="AB260">
        <v>0</v>
      </c>
      <c r="AC260">
        <v>0</v>
      </c>
      <c r="AD260">
        <v>0</v>
      </c>
      <c r="AE260">
        <v>7627.37</v>
      </c>
      <c r="AF260">
        <v>0</v>
      </c>
      <c r="AG260">
        <v>0</v>
      </c>
      <c r="AH260">
        <v>0</v>
      </c>
      <c r="AI260">
        <v>7.13</v>
      </c>
      <c r="AJ260">
        <v>1</v>
      </c>
      <c r="AK260">
        <v>1</v>
      </c>
      <c r="AL260">
        <v>1</v>
      </c>
      <c r="AN260">
        <v>0</v>
      </c>
      <c r="AO260">
        <v>0</v>
      </c>
      <c r="AP260">
        <v>0</v>
      </c>
      <c r="AQ260">
        <v>0</v>
      </c>
      <c r="AR260">
        <v>0</v>
      </c>
      <c r="AS260" t="s">
        <v>6</v>
      </c>
      <c r="AT260">
        <v>7.0999999999999994E-2</v>
      </c>
      <c r="AU260" t="s">
        <v>6</v>
      </c>
      <c r="AV260">
        <v>0</v>
      </c>
      <c r="AW260">
        <v>1</v>
      </c>
      <c r="AX260">
        <v>-1</v>
      </c>
      <c r="AY260">
        <v>0</v>
      </c>
      <c r="AZ260">
        <v>0</v>
      </c>
      <c r="BA260" t="s">
        <v>6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Y260*Source!I104</f>
        <v>0.18715599999999999</v>
      </c>
      <c r="CY260">
        <f t="shared" si="32"/>
        <v>54383.15</v>
      </c>
      <c r="CZ260">
        <f t="shared" si="33"/>
        <v>7627.37</v>
      </c>
      <c r="DA260">
        <f t="shared" si="34"/>
        <v>7.13</v>
      </c>
      <c r="DB260">
        <f t="shared" si="27"/>
        <v>541.54</v>
      </c>
      <c r="DC260">
        <f t="shared" si="28"/>
        <v>0</v>
      </c>
    </row>
    <row r="261" spans="1:107" x14ac:dyDescent="0.2">
      <c r="A261">
        <f>ROW(Source!A104)</f>
        <v>104</v>
      </c>
      <c r="B261">
        <v>16630606</v>
      </c>
      <c r="C261">
        <v>16633500</v>
      </c>
      <c r="D261">
        <v>15204729</v>
      </c>
      <c r="E261">
        <v>1</v>
      </c>
      <c r="F261">
        <v>1</v>
      </c>
      <c r="G261">
        <v>1</v>
      </c>
      <c r="H261">
        <v>3</v>
      </c>
      <c r="I261" t="s">
        <v>1236</v>
      </c>
      <c r="J261" t="s">
        <v>1237</v>
      </c>
      <c r="K261" t="s">
        <v>1238</v>
      </c>
      <c r="L261">
        <v>1348</v>
      </c>
      <c r="N261">
        <v>1009</v>
      </c>
      <c r="O261" t="s">
        <v>98</v>
      </c>
      <c r="P261" t="s">
        <v>98</v>
      </c>
      <c r="Q261">
        <v>1000</v>
      </c>
      <c r="W261">
        <v>0</v>
      </c>
      <c r="X261">
        <v>-2084827333</v>
      </c>
      <c r="Y261">
        <v>7.5999999999999998E-2</v>
      </c>
      <c r="AA261">
        <v>30616.22</v>
      </c>
      <c r="AB261">
        <v>0</v>
      </c>
      <c r="AC261">
        <v>0</v>
      </c>
      <c r="AD261">
        <v>0</v>
      </c>
      <c r="AE261">
        <v>4294</v>
      </c>
      <c r="AF261">
        <v>0</v>
      </c>
      <c r="AG261">
        <v>0</v>
      </c>
      <c r="AH261">
        <v>0</v>
      </c>
      <c r="AI261">
        <v>7.13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6</v>
      </c>
      <c r="AT261">
        <v>7.5999999999999998E-2</v>
      </c>
      <c r="AU261" t="s">
        <v>6</v>
      </c>
      <c r="AV261">
        <v>0</v>
      </c>
      <c r="AW261">
        <v>2</v>
      </c>
      <c r="AX261">
        <v>16633512</v>
      </c>
      <c r="AY261">
        <v>1</v>
      </c>
      <c r="AZ261">
        <v>0</v>
      </c>
      <c r="BA261">
        <v>268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Y261*Source!I104</f>
        <v>0.20033600000000001</v>
      </c>
      <c r="CY261">
        <f t="shared" si="32"/>
        <v>30616.22</v>
      </c>
      <c r="CZ261">
        <f t="shared" si="33"/>
        <v>4294</v>
      </c>
      <c r="DA261">
        <f t="shared" si="34"/>
        <v>7.13</v>
      </c>
      <c r="DB261">
        <f t="shared" si="27"/>
        <v>326.33999999999997</v>
      </c>
      <c r="DC261">
        <f t="shared" si="28"/>
        <v>0</v>
      </c>
    </row>
    <row r="262" spans="1:107" x14ac:dyDescent="0.2">
      <c r="A262">
        <f>ROW(Source!A107)</f>
        <v>107</v>
      </c>
      <c r="B262">
        <v>16630606</v>
      </c>
      <c r="C262">
        <v>16631703</v>
      </c>
      <c r="D262">
        <v>15430497</v>
      </c>
      <c r="E262">
        <v>1</v>
      </c>
      <c r="F262">
        <v>1</v>
      </c>
      <c r="G262">
        <v>1</v>
      </c>
      <c r="H262">
        <v>1</v>
      </c>
      <c r="I262" t="s">
        <v>1215</v>
      </c>
      <c r="J262" t="s">
        <v>6</v>
      </c>
      <c r="K262" t="s">
        <v>1216</v>
      </c>
      <c r="L262">
        <v>1191</v>
      </c>
      <c r="N262">
        <v>1013</v>
      </c>
      <c r="O262" t="s">
        <v>1148</v>
      </c>
      <c r="P262" t="s">
        <v>1148</v>
      </c>
      <c r="Q262">
        <v>1</v>
      </c>
      <c r="W262">
        <v>0</v>
      </c>
      <c r="X262">
        <v>-719309759</v>
      </c>
      <c r="Y262">
        <v>38.674500000000002</v>
      </c>
      <c r="AA262">
        <v>0</v>
      </c>
      <c r="AB262">
        <v>0</v>
      </c>
      <c r="AC262">
        <v>0</v>
      </c>
      <c r="AD262">
        <v>63.17</v>
      </c>
      <c r="AE262">
        <v>0</v>
      </c>
      <c r="AF262">
        <v>0</v>
      </c>
      <c r="AG262">
        <v>0</v>
      </c>
      <c r="AH262">
        <v>8.86</v>
      </c>
      <c r="AI262">
        <v>1</v>
      </c>
      <c r="AJ262">
        <v>1</v>
      </c>
      <c r="AK262">
        <v>1</v>
      </c>
      <c r="AL262">
        <v>7.13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6</v>
      </c>
      <c r="AT262">
        <v>33.630000000000003</v>
      </c>
      <c r="AU262" t="s">
        <v>82</v>
      </c>
      <c r="AV262">
        <v>1</v>
      </c>
      <c r="AW262">
        <v>2</v>
      </c>
      <c r="AX262">
        <v>16631715</v>
      </c>
      <c r="AY262">
        <v>1</v>
      </c>
      <c r="AZ262">
        <v>0</v>
      </c>
      <c r="BA262">
        <v>269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Y262*Source!I107</f>
        <v>18.66044625</v>
      </c>
      <c r="CY262">
        <f>AD262</f>
        <v>63.17</v>
      </c>
      <c r="CZ262">
        <f>AH262</f>
        <v>8.86</v>
      </c>
      <c r="DA262">
        <f>AL262</f>
        <v>7.13</v>
      </c>
      <c r="DB262">
        <f>ROUND((ROUND(AT262*CZ262,2)*1.15),2)</f>
        <v>342.65</v>
      </c>
      <c r="DC262">
        <f>ROUND((ROUND(AT262*AG262,2)*1.15),2)</f>
        <v>0</v>
      </c>
    </row>
    <row r="263" spans="1:107" x14ac:dyDescent="0.2">
      <c r="A263">
        <f>ROW(Source!A107)</f>
        <v>107</v>
      </c>
      <c r="B263">
        <v>16630606</v>
      </c>
      <c r="C263">
        <v>16631703</v>
      </c>
      <c r="D263">
        <v>15430395</v>
      </c>
      <c r="E263">
        <v>1</v>
      </c>
      <c r="F263">
        <v>1</v>
      </c>
      <c r="G263">
        <v>1</v>
      </c>
      <c r="H263">
        <v>1</v>
      </c>
      <c r="I263" t="s">
        <v>1149</v>
      </c>
      <c r="J263" t="s">
        <v>6</v>
      </c>
      <c r="K263" t="s">
        <v>1150</v>
      </c>
      <c r="L263">
        <v>1191</v>
      </c>
      <c r="N263">
        <v>1013</v>
      </c>
      <c r="O263" t="s">
        <v>1148</v>
      </c>
      <c r="P263" t="s">
        <v>1148</v>
      </c>
      <c r="Q263">
        <v>1</v>
      </c>
      <c r="W263">
        <v>0</v>
      </c>
      <c r="X263">
        <v>-1417349443</v>
      </c>
      <c r="Y263">
        <v>0.02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1</v>
      </c>
      <c r="AJ263">
        <v>1</v>
      </c>
      <c r="AK263">
        <v>7.13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6</v>
      </c>
      <c r="AT263">
        <v>0.02</v>
      </c>
      <c r="AU263" t="s">
        <v>6</v>
      </c>
      <c r="AV263">
        <v>2</v>
      </c>
      <c r="AW263">
        <v>2</v>
      </c>
      <c r="AX263">
        <v>16631716</v>
      </c>
      <c r="AY263">
        <v>1</v>
      </c>
      <c r="AZ263">
        <v>2048</v>
      </c>
      <c r="BA263">
        <v>270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Y263*Source!I107</f>
        <v>9.6500000000000006E-3</v>
      </c>
      <c r="CY263">
        <f>AD263</f>
        <v>0</v>
      </c>
      <c r="CZ263">
        <f>AH263</f>
        <v>0</v>
      </c>
      <c r="DA263">
        <f>AL263</f>
        <v>1</v>
      </c>
      <c r="DB263">
        <f>ROUND(ROUND(AT263*CZ263,2),2)</f>
        <v>0</v>
      </c>
      <c r="DC263">
        <f>ROUND(ROUND(AT263*AG263,2),2)</f>
        <v>0</v>
      </c>
    </row>
    <row r="264" spans="1:107" x14ac:dyDescent="0.2">
      <c r="A264">
        <f>ROW(Source!A107)</f>
        <v>107</v>
      </c>
      <c r="B264">
        <v>16630606</v>
      </c>
      <c r="C264">
        <v>16631703</v>
      </c>
      <c r="D264">
        <v>15247974</v>
      </c>
      <c r="E264">
        <v>1</v>
      </c>
      <c r="F264">
        <v>1</v>
      </c>
      <c r="G264">
        <v>1</v>
      </c>
      <c r="H264">
        <v>2</v>
      </c>
      <c r="I264" t="s">
        <v>1151</v>
      </c>
      <c r="J264" t="s">
        <v>1152</v>
      </c>
      <c r="K264" t="s">
        <v>1153</v>
      </c>
      <c r="L264">
        <v>1368</v>
      </c>
      <c r="N264">
        <v>1011</v>
      </c>
      <c r="O264" t="s">
        <v>1154</v>
      </c>
      <c r="P264" t="s">
        <v>1154</v>
      </c>
      <c r="Q264">
        <v>1</v>
      </c>
      <c r="W264">
        <v>0</v>
      </c>
      <c r="X264">
        <v>1188625873</v>
      </c>
      <c r="Y264">
        <v>1.2500000000000001E-2</v>
      </c>
      <c r="AA264">
        <v>0</v>
      </c>
      <c r="AB264">
        <v>222.88</v>
      </c>
      <c r="AC264">
        <v>13.5</v>
      </c>
      <c r="AD264">
        <v>0</v>
      </c>
      <c r="AE264">
        <v>0</v>
      </c>
      <c r="AF264">
        <v>31.26</v>
      </c>
      <c r="AG264">
        <v>13.5</v>
      </c>
      <c r="AH264">
        <v>0</v>
      </c>
      <c r="AI264">
        <v>1</v>
      </c>
      <c r="AJ264">
        <v>7.13</v>
      </c>
      <c r="AK264">
        <v>1</v>
      </c>
      <c r="AL264">
        <v>1</v>
      </c>
      <c r="AN264">
        <v>0</v>
      </c>
      <c r="AO264">
        <v>1</v>
      </c>
      <c r="AP264">
        <v>1</v>
      </c>
      <c r="AQ264">
        <v>0</v>
      </c>
      <c r="AR264">
        <v>0</v>
      </c>
      <c r="AS264" t="s">
        <v>6</v>
      </c>
      <c r="AT264">
        <v>0.01</v>
      </c>
      <c r="AU264" t="s">
        <v>81</v>
      </c>
      <c r="AV264">
        <v>0</v>
      </c>
      <c r="AW264">
        <v>2</v>
      </c>
      <c r="AX264">
        <v>16631717</v>
      </c>
      <c r="AY264">
        <v>1</v>
      </c>
      <c r="AZ264">
        <v>0</v>
      </c>
      <c r="BA264">
        <v>271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Y264*Source!I107</f>
        <v>6.0312500000000002E-3</v>
      </c>
      <c r="CY264">
        <f>AB264</f>
        <v>222.88</v>
      </c>
      <c r="CZ264">
        <f>AF264</f>
        <v>31.26</v>
      </c>
      <c r="DA264">
        <f>AJ264</f>
        <v>7.13</v>
      </c>
      <c r="DB264">
        <f>ROUND((ROUND(AT264*CZ264,2)*1.25),2)</f>
        <v>0.39</v>
      </c>
      <c r="DC264">
        <f>ROUND((ROUND(AT264*AG264,2)*1.25),2)</f>
        <v>0.18</v>
      </c>
    </row>
    <row r="265" spans="1:107" x14ac:dyDescent="0.2">
      <c r="A265">
        <f>ROW(Source!A107)</f>
        <v>107</v>
      </c>
      <c r="B265">
        <v>16630606</v>
      </c>
      <c r="C265">
        <v>16631703</v>
      </c>
      <c r="D265">
        <v>15249073</v>
      </c>
      <c r="E265">
        <v>1</v>
      </c>
      <c r="F265">
        <v>1</v>
      </c>
      <c r="G265">
        <v>1</v>
      </c>
      <c r="H265">
        <v>2</v>
      </c>
      <c r="I265" t="s">
        <v>1157</v>
      </c>
      <c r="J265" t="s">
        <v>1158</v>
      </c>
      <c r="K265" t="s">
        <v>1159</v>
      </c>
      <c r="L265">
        <v>1368</v>
      </c>
      <c r="N265">
        <v>1011</v>
      </c>
      <c r="O265" t="s">
        <v>1154</v>
      </c>
      <c r="P265" t="s">
        <v>1154</v>
      </c>
      <c r="Q265">
        <v>1</v>
      </c>
      <c r="W265">
        <v>0</v>
      </c>
      <c r="X265">
        <v>1372534845</v>
      </c>
      <c r="Y265">
        <v>1.2500000000000001E-2</v>
      </c>
      <c r="AA265">
        <v>0</v>
      </c>
      <c r="AB265">
        <v>468.51</v>
      </c>
      <c r="AC265">
        <v>11.6</v>
      </c>
      <c r="AD265">
        <v>0</v>
      </c>
      <c r="AE265">
        <v>0</v>
      </c>
      <c r="AF265">
        <v>65.709999999999994</v>
      </c>
      <c r="AG265">
        <v>11.6</v>
      </c>
      <c r="AH265">
        <v>0</v>
      </c>
      <c r="AI265">
        <v>1</v>
      </c>
      <c r="AJ265">
        <v>7.13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6</v>
      </c>
      <c r="AT265">
        <v>0.01</v>
      </c>
      <c r="AU265" t="s">
        <v>81</v>
      </c>
      <c r="AV265">
        <v>0</v>
      </c>
      <c r="AW265">
        <v>2</v>
      </c>
      <c r="AX265">
        <v>16631718</v>
      </c>
      <c r="AY265">
        <v>1</v>
      </c>
      <c r="AZ265">
        <v>0</v>
      </c>
      <c r="BA265">
        <v>272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Y265*Source!I107</f>
        <v>6.0312500000000002E-3</v>
      </c>
      <c r="CY265">
        <f>AB265</f>
        <v>468.51</v>
      </c>
      <c r="CZ265">
        <f>AF265</f>
        <v>65.709999999999994</v>
      </c>
      <c r="DA265">
        <f>AJ265</f>
        <v>7.13</v>
      </c>
      <c r="DB265">
        <f>ROUND((ROUND(AT265*CZ265,2)*1.25),2)</f>
        <v>0.83</v>
      </c>
      <c r="DC265">
        <f>ROUND((ROUND(AT265*AG265,2)*1.25),2)</f>
        <v>0.15</v>
      </c>
    </row>
    <row r="266" spans="1:107" x14ac:dyDescent="0.2">
      <c r="A266">
        <f>ROW(Source!A107)</f>
        <v>107</v>
      </c>
      <c r="B266">
        <v>16630606</v>
      </c>
      <c r="C266">
        <v>16631703</v>
      </c>
      <c r="D266">
        <v>15166931</v>
      </c>
      <c r="E266">
        <v>1</v>
      </c>
      <c r="F266">
        <v>1</v>
      </c>
      <c r="G266">
        <v>1</v>
      </c>
      <c r="H266">
        <v>3</v>
      </c>
      <c r="I266" t="s">
        <v>364</v>
      </c>
      <c r="J266" t="s">
        <v>367</v>
      </c>
      <c r="K266" t="s">
        <v>365</v>
      </c>
      <c r="L266">
        <v>1330</v>
      </c>
      <c r="N266">
        <v>1005</v>
      </c>
      <c r="O266" t="s">
        <v>366</v>
      </c>
      <c r="P266" t="s">
        <v>366</v>
      </c>
      <c r="Q266">
        <v>10</v>
      </c>
      <c r="W266">
        <v>0</v>
      </c>
      <c r="X266">
        <v>-1663288052</v>
      </c>
      <c r="Y266">
        <v>1.1299999999999999</v>
      </c>
      <c r="AA266">
        <v>786.8</v>
      </c>
      <c r="AB266">
        <v>0</v>
      </c>
      <c r="AC266">
        <v>0</v>
      </c>
      <c r="AD266">
        <v>0</v>
      </c>
      <c r="AE266">
        <v>110.35</v>
      </c>
      <c r="AF266">
        <v>0</v>
      </c>
      <c r="AG266">
        <v>0</v>
      </c>
      <c r="AH266">
        <v>0</v>
      </c>
      <c r="AI266">
        <v>7.13</v>
      </c>
      <c r="AJ266">
        <v>1</v>
      </c>
      <c r="AK266">
        <v>1</v>
      </c>
      <c r="AL266">
        <v>1</v>
      </c>
      <c r="AN266">
        <v>0</v>
      </c>
      <c r="AO266">
        <v>0</v>
      </c>
      <c r="AP266">
        <v>0</v>
      </c>
      <c r="AQ266">
        <v>0</v>
      </c>
      <c r="AR266">
        <v>0</v>
      </c>
      <c r="AS266" t="s">
        <v>6</v>
      </c>
      <c r="AT266">
        <v>1.1299999999999999</v>
      </c>
      <c r="AU266" t="s">
        <v>6</v>
      </c>
      <c r="AV266">
        <v>0</v>
      </c>
      <c r="AW266">
        <v>1</v>
      </c>
      <c r="AX266">
        <v>-1</v>
      </c>
      <c r="AY266">
        <v>0</v>
      </c>
      <c r="AZ266">
        <v>0</v>
      </c>
      <c r="BA266" t="s">
        <v>6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Y266*Source!I107</f>
        <v>0.54522499999999996</v>
      </c>
      <c r="CY266">
        <f t="shared" ref="CY266:CY272" si="35">AA266</f>
        <v>786.8</v>
      </c>
      <c r="CZ266">
        <f t="shared" ref="CZ266:CZ272" si="36">AE266</f>
        <v>110.35</v>
      </c>
      <c r="DA266">
        <f t="shared" ref="DA266:DA272" si="37">AI266</f>
        <v>7.13</v>
      </c>
      <c r="DB266">
        <f t="shared" ref="DB266:DB272" si="38">ROUND(ROUND(AT266*CZ266,2),2)</f>
        <v>124.7</v>
      </c>
      <c r="DC266">
        <f t="shared" ref="DC266:DC272" si="39">ROUND(ROUND(AT266*AG266,2),2)</f>
        <v>0</v>
      </c>
    </row>
    <row r="267" spans="1:107" x14ac:dyDescent="0.2">
      <c r="A267">
        <f>ROW(Source!A107)</f>
        <v>107</v>
      </c>
      <c r="B267">
        <v>16630606</v>
      </c>
      <c r="C267">
        <v>16631703</v>
      </c>
      <c r="D267">
        <v>15167277</v>
      </c>
      <c r="E267">
        <v>1</v>
      </c>
      <c r="F267">
        <v>1</v>
      </c>
      <c r="G267">
        <v>1</v>
      </c>
      <c r="H267">
        <v>3</v>
      </c>
      <c r="I267" t="s">
        <v>1387</v>
      </c>
      <c r="J267" t="s">
        <v>1388</v>
      </c>
      <c r="K267" t="s">
        <v>1389</v>
      </c>
      <c r="L267">
        <v>1348</v>
      </c>
      <c r="N267">
        <v>1009</v>
      </c>
      <c r="O267" t="s">
        <v>98</v>
      </c>
      <c r="P267" t="s">
        <v>98</v>
      </c>
      <c r="Q267">
        <v>1000</v>
      </c>
      <c r="W267">
        <v>0</v>
      </c>
      <c r="X267">
        <v>-107449080</v>
      </c>
      <c r="Y267">
        <v>7.1000000000000004E-3</v>
      </c>
      <c r="AA267">
        <v>40284.5</v>
      </c>
      <c r="AB267">
        <v>0</v>
      </c>
      <c r="AC267">
        <v>0</v>
      </c>
      <c r="AD267">
        <v>0</v>
      </c>
      <c r="AE267">
        <v>5650</v>
      </c>
      <c r="AF267">
        <v>0</v>
      </c>
      <c r="AG267">
        <v>0</v>
      </c>
      <c r="AH267">
        <v>0</v>
      </c>
      <c r="AI267">
        <v>7.13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6</v>
      </c>
      <c r="AT267">
        <v>7.1000000000000004E-3</v>
      </c>
      <c r="AU267" t="s">
        <v>6</v>
      </c>
      <c r="AV267">
        <v>0</v>
      </c>
      <c r="AW267">
        <v>2</v>
      </c>
      <c r="AX267">
        <v>16631720</v>
      </c>
      <c r="AY267">
        <v>1</v>
      </c>
      <c r="AZ267">
        <v>0</v>
      </c>
      <c r="BA267">
        <v>274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Y267*Source!I107</f>
        <v>3.42575E-3</v>
      </c>
      <c r="CY267">
        <f t="shared" si="35"/>
        <v>40284.5</v>
      </c>
      <c r="CZ267">
        <f t="shared" si="36"/>
        <v>5650</v>
      </c>
      <c r="DA267">
        <f t="shared" si="37"/>
        <v>7.13</v>
      </c>
      <c r="DB267">
        <f t="shared" si="38"/>
        <v>40.119999999999997</v>
      </c>
      <c r="DC267">
        <f t="shared" si="39"/>
        <v>0</v>
      </c>
    </row>
    <row r="268" spans="1:107" x14ac:dyDescent="0.2">
      <c r="A268">
        <f>ROW(Source!A107)</f>
        <v>107</v>
      </c>
      <c r="B268">
        <v>16630606</v>
      </c>
      <c r="C268">
        <v>16631703</v>
      </c>
      <c r="D268">
        <v>15167286</v>
      </c>
      <c r="E268">
        <v>1</v>
      </c>
      <c r="F268">
        <v>1</v>
      </c>
      <c r="G268">
        <v>1</v>
      </c>
      <c r="H268">
        <v>3</v>
      </c>
      <c r="I268" t="s">
        <v>1265</v>
      </c>
      <c r="J268" t="s">
        <v>1266</v>
      </c>
      <c r="K268" t="s">
        <v>1267</v>
      </c>
      <c r="L268">
        <v>1339</v>
      </c>
      <c r="N268">
        <v>1007</v>
      </c>
      <c r="O268" t="s">
        <v>203</v>
      </c>
      <c r="P268" t="s">
        <v>203</v>
      </c>
      <c r="Q268">
        <v>1</v>
      </c>
      <c r="W268">
        <v>0</v>
      </c>
      <c r="X268">
        <v>-1660354250</v>
      </c>
      <c r="Y268">
        <v>0.01</v>
      </c>
      <c r="AA268">
        <v>17.399999999999999</v>
      </c>
      <c r="AB268">
        <v>0</v>
      </c>
      <c r="AC268">
        <v>0</v>
      </c>
      <c r="AD268">
        <v>0</v>
      </c>
      <c r="AE268">
        <v>2.44</v>
      </c>
      <c r="AF268">
        <v>0</v>
      </c>
      <c r="AG268">
        <v>0</v>
      </c>
      <c r="AH268">
        <v>0</v>
      </c>
      <c r="AI268">
        <v>7.13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6</v>
      </c>
      <c r="AT268">
        <v>0.01</v>
      </c>
      <c r="AU268" t="s">
        <v>6</v>
      </c>
      <c r="AV268">
        <v>0</v>
      </c>
      <c r="AW268">
        <v>2</v>
      </c>
      <c r="AX268">
        <v>16631721</v>
      </c>
      <c r="AY268">
        <v>1</v>
      </c>
      <c r="AZ268">
        <v>0</v>
      </c>
      <c r="BA268">
        <v>275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Y268*Source!I107</f>
        <v>4.8250000000000003E-3</v>
      </c>
      <c r="CY268">
        <f t="shared" si="35"/>
        <v>17.399999999999999</v>
      </c>
      <c r="CZ268">
        <f t="shared" si="36"/>
        <v>2.44</v>
      </c>
      <c r="DA268">
        <f t="shared" si="37"/>
        <v>7.13</v>
      </c>
      <c r="DB268">
        <f t="shared" si="38"/>
        <v>0.02</v>
      </c>
      <c r="DC268">
        <f t="shared" si="39"/>
        <v>0</v>
      </c>
    </row>
    <row r="269" spans="1:107" x14ac:dyDescent="0.2">
      <c r="A269">
        <f>ROW(Source!A107)</f>
        <v>107</v>
      </c>
      <c r="B269">
        <v>16630606</v>
      </c>
      <c r="C269">
        <v>16631703</v>
      </c>
      <c r="D269">
        <v>15171018</v>
      </c>
      <c r="E269">
        <v>1</v>
      </c>
      <c r="F269">
        <v>1</v>
      </c>
      <c r="G269">
        <v>1</v>
      </c>
      <c r="H269">
        <v>3</v>
      </c>
      <c r="I269" t="s">
        <v>1204</v>
      </c>
      <c r="J269" t="s">
        <v>1205</v>
      </c>
      <c r="K269" t="s">
        <v>1206</v>
      </c>
      <c r="L269">
        <v>1346</v>
      </c>
      <c r="N269">
        <v>1009</v>
      </c>
      <c r="O269" t="s">
        <v>102</v>
      </c>
      <c r="P269" t="s">
        <v>102</v>
      </c>
      <c r="Q269">
        <v>1</v>
      </c>
      <c r="W269">
        <v>0</v>
      </c>
      <c r="X269">
        <v>813963326</v>
      </c>
      <c r="Y269">
        <v>0.01</v>
      </c>
      <c r="AA269">
        <v>12.98</v>
      </c>
      <c r="AB269">
        <v>0</v>
      </c>
      <c r="AC269">
        <v>0</v>
      </c>
      <c r="AD269">
        <v>0</v>
      </c>
      <c r="AE269">
        <v>1.82</v>
      </c>
      <c r="AF269">
        <v>0</v>
      </c>
      <c r="AG269">
        <v>0</v>
      </c>
      <c r="AH269">
        <v>0</v>
      </c>
      <c r="AI269">
        <v>7.13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6</v>
      </c>
      <c r="AT269">
        <v>0.01</v>
      </c>
      <c r="AU269" t="s">
        <v>6</v>
      </c>
      <c r="AV269">
        <v>0</v>
      </c>
      <c r="AW269">
        <v>2</v>
      </c>
      <c r="AX269">
        <v>16631722</v>
      </c>
      <c r="AY269">
        <v>1</v>
      </c>
      <c r="AZ269">
        <v>0</v>
      </c>
      <c r="BA269">
        <v>276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Y269*Source!I107</f>
        <v>4.8250000000000003E-3</v>
      </c>
      <c r="CY269">
        <f t="shared" si="35"/>
        <v>12.98</v>
      </c>
      <c r="CZ269">
        <f t="shared" si="36"/>
        <v>1.82</v>
      </c>
      <c r="DA269">
        <f t="shared" si="37"/>
        <v>7.13</v>
      </c>
      <c r="DB269">
        <f t="shared" si="38"/>
        <v>0.02</v>
      </c>
      <c r="DC269">
        <f t="shared" si="39"/>
        <v>0</v>
      </c>
    </row>
    <row r="270" spans="1:107" x14ac:dyDescent="0.2">
      <c r="A270">
        <f>ROW(Source!A107)</f>
        <v>107</v>
      </c>
      <c r="B270">
        <v>16630606</v>
      </c>
      <c r="C270">
        <v>16631703</v>
      </c>
      <c r="D270">
        <v>15171907</v>
      </c>
      <c r="E270">
        <v>1</v>
      </c>
      <c r="F270">
        <v>1</v>
      </c>
      <c r="G270">
        <v>1</v>
      </c>
      <c r="H270">
        <v>3</v>
      </c>
      <c r="I270" t="s">
        <v>1210</v>
      </c>
      <c r="J270" t="s">
        <v>1211</v>
      </c>
      <c r="K270" t="s">
        <v>1212</v>
      </c>
      <c r="L270">
        <v>1339</v>
      </c>
      <c r="N270">
        <v>1007</v>
      </c>
      <c r="O270" t="s">
        <v>203</v>
      </c>
      <c r="P270" t="s">
        <v>203</v>
      </c>
      <c r="Q270">
        <v>1</v>
      </c>
      <c r="W270">
        <v>0</v>
      </c>
      <c r="X270">
        <v>1795918813</v>
      </c>
      <c r="Y270">
        <v>4.0000000000000002E-4</v>
      </c>
      <c r="AA270">
        <v>531.76</v>
      </c>
      <c r="AB270">
        <v>0</v>
      </c>
      <c r="AC270">
        <v>0</v>
      </c>
      <c r="AD270">
        <v>0</v>
      </c>
      <c r="AE270">
        <v>74.58</v>
      </c>
      <c r="AF270">
        <v>0</v>
      </c>
      <c r="AG270">
        <v>0</v>
      </c>
      <c r="AH270">
        <v>0</v>
      </c>
      <c r="AI270">
        <v>7.13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6</v>
      </c>
      <c r="AT270">
        <v>4.0000000000000002E-4</v>
      </c>
      <c r="AU270" t="s">
        <v>6</v>
      </c>
      <c r="AV270">
        <v>0</v>
      </c>
      <c r="AW270">
        <v>2</v>
      </c>
      <c r="AX270">
        <v>16631723</v>
      </c>
      <c r="AY270">
        <v>1</v>
      </c>
      <c r="AZ270">
        <v>0</v>
      </c>
      <c r="BA270">
        <v>277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Y270*Source!I107</f>
        <v>1.93E-4</v>
      </c>
      <c r="CY270">
        <f t="shared" si="35"/>
        <v>531.76</v>
      </c>
      <c r="CZ270">
        <f t="shared" si="36"/>
        <v>74.58</v>
      </c>
      <c r="DA270">
        <f t="shared" si="37"/>
        <v>7.13</v>
      </c>
      <c r="DB270">
        <f t="shared" si="38"/>
        <v>0.03</v>
      </c>
      <c r="DC270">
        <f t="shared" si="39"/>
        <v>0</v>
      </c>
    </row>
    <row r="271" spans="1:107" x14ac:dyDescent="0.2">
      <c r="A271">
        <f>ROW(Source!A107)</f>
        <v>107</v>
      </c>
      <c r="B271">
        <v>16630606</v>
      </c>
      <c r="C271">
        <v>16631703</v>
      </c>
      <c r="D271">
        <v>15202473</v>
      </c>
      <c r="E271">
        <v>1</v>
      </c>
      <c r="F271">
        <v>1</v>
      </c>
      <c r="G271">
        <v>1</v>
      </c>
      <c r="H271">
        <v>3</v>
      </c>
      <c r="I271" t="s">
        <v>1390</v>
      </c>
      <c r="J271" t="s">
        <v>1391</v>
      </c>
      <c r="K271" t="s">
        <v>1392</v>
      </c>
      <c r="L271">
        <v>1348</v>
      </c>
      <c r="N271">
        <v>1009</v>
      </c>
      <c r="O271" t="s">
        <v>98</v>
      </c>
      <c r="P271" t="s">
        <v>98</v>
      </c>
      <c r="Q271">
        <v>1000</v>
      </c>
      <c r="W271">
        <v>0</v>
      </c>
      <c r="X271">
        <v>1034009243</v>
      </c>
      <c r="Y271">
        <v>2E-3</v>
      </c>
      <c r="AA271">
        <v>185308.7</v>
      </c>
      <c r="AB271">
        <v>0</v>
      </c>
      <c r="AC271">
        <v>0</v>
      </c>
      <c r="AD271">
        <v>0</v>
      </c>
      <c r="AE271">
        <v>25990</v>
      </c>
      <c r="AF271">
        <v>0</v>
      </c>
      <c r="AG271">
        <v>0</v>
      </c>
      <c r="AH271">
        <v>0</v>
      </c>
      <c r="AI271">
        <v>7.13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6</v>
      </c>
      <c r="AT271">
        <v>2E-3</v>
      </c>
      <c r="AU271" t="s">
        <v>6</v>
      </c>
      <c r="AV271">
        <v>0</v>
      </c>
      <c r="AW271">
        <v>2</v>
      </c>
      <c r="AX271">
        <v>16631724</v>
      </c>
      <c r="AY271">
        <v>1</v>
      </c>
      <c r="AZ271">
        <v>0</v>
      </c>
      <c r="BA271">
        <v>278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Y271*Source!I107</f>
        <v>9.6500000000000004E-4</v>
      </c>
      <c r="CY271">
        <f t="shared" si="35"/>
        <v>185308.7</v>
      </c>
      <c r="CZ271">
        <f t="shared" si="36"/>
        <v>25990</v>
      </c>
      <c r="DA271">
        <f t="shared" si="37"/>
        <v>7.13</v>
      </c>
      <c r="DB271">
        <f t="shared" si="38"/>
        <v>51.98</v>
      </c>
      <c r="DC271">
        <f t="shared" si="39"/>
        <v>0</v>
      </c>
    </row>
    <row r="272" spans="1:107" x14ac:dyDescent="0.2">
      <c r="A272">
        <f>ROW(Source!A107)</f>
        <v>107</v>
      </c>
      <c r="B272">
        <v>16630606</v>
      </c>
      <c r="C272">
        <v>16631703</v>
      </c>
      <c r="D272">
        <v>15204729</v>
      </c>
      <c r="E272">
        <v>1</v>
      </c>
      <c r="F272">
        <v>1</v>
      </c>
      <c r="G272">
        <v>1</v>
      </c>
      <c r="H272">
        <v>3</v>
      </c>
      <c r="I272" t="s">
        <v>1236</v>
      </c>
      <c r="J272" t="s">
        <v>1237</v>
      </c>
      <c r="K272" t="s">
        <v>1238</v>
      </c>
      <c r="L272">
        <v>1348</v>
      </c>
      <c r="N272">
        <v>1009</v>
      </c>
      <c r="O272" t="s">
        <v>98</v>
      </c>
      <c r="P272" t="s">
        <v>98</v>
      </c>
      <c r="Q272">
        <v>1000</v>
      </c>
      <c r="W272">
        <v>0</v>
      </c>
      <c r="X272">
        <v>-2084827333</v>
      </c>
      <c r="Y272">
        <v>6.7000000000000002E-3</v>
      </c>
      <c r="AA272">
        <v>30616.22</v>
      </c>
      <c r="AB272">
        <v>0</v>
      </c>
      <c r="AC272">
        <v>0</v>
      </c>
      <c r="AD272">
        <v>0</v>
      </c>
      <c r="AE272">
        <v>4294</v>
      </c>
      <c r="AF272">
        <v>0</v>
      </c>
      <c r="AG272">
        <v>0</v>
      </c>
      <c r="AH272">
        <v>0</v>
      </c>
      <c r="AI272">
        <v>7.13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6</v>
      </c>
      <c r="AT272">
        <v>6.7000000000000002E-3</v>
      </c>
      <c r="AU272" t="s">
        <v>6</v>
      </c>
      <c r="AV272">
        <v>0</v>
      </c>
      <c r="AW272">
        <v>2</v>
      </c>
      <c r="AX272">
        <v>16631725</v>
      </c>
      <c r="AY272">
        <v>1</v>
      </c>
      <c r="AZ272">
        <v>0</v>
      </c>
      <c r="BA272">
        <v>279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Y272*Source!I107</f>
        <v>3.2327499999999999E-3</v>
      </c>
      <c r="CY272">
        <f t="shared" si="35"/>
        <v>30616.22</v>
      </c>
      <c r="CZ272">
        <f t="shared" si="36"/>
        <v>4294</v>
      </c>
      <c r="DA272">
        <f t="shared" si="37"/>
        <v>7.13</v>
      </c>
      <c r="DB272">
        <f t="shared" si="38"/>
        <v>28.77</v>
      </c>
      <c r="DC272">
        <f t="shared" si="39"/>
        <v>0</v>
      </c>
    </row>
    <row r="273" spans="1:107" x14ac:dyDescent="0.2">
      <c r="A273">
        <f>ROW(Source!A109)</f>
        <v>109</v>
      </c>
      <c r="B273">
        <v>16630606</v>
      </c>
      <c r="C273">
        <v>16631727</v>
      </c>
      <c r="D273">
        <v>15436556</v>
      </c>
      <c r="E273">
        <v>1</v>
      </c>
      <c r="F273">
        <v>1</v>
      </c>
      <c r="G273">
        <v>1</v>
      </c>
      <c r="H273">
        <v>1</v>
      </c>
      <c r="I273" t="s">
        <v>1354</v>
      </c>
      <c r="J273" t="s">
        <v>6</v>
      </c>
      <c r="K273" t="s">
        <v>1355</v>
      </c>
      <c r="L273">
        <v>1191</v>
      </c>
      <c r="N273">
        <v>1013</v>
      </c>
      <c r="O273" t="s">
        <v>1148</v>
      </c>
      <c r="P273" t="s">
        <v>1148</v>
      </c>
      <c r="Q273">
        <v>1</v>
      </c>
      <c r="W273">
        <v>0</v>
      </c>
      <c r="X273">
        <v>1069510174</v>
      </c>
      <c r="Y273">
        <v>9.6370000000000005</v>
      </c>
      <c r="AA273">
        <v>0</v>
      </c>
      <c r="AB273">
        <v>0</v>
      </c>
      <c r="AC273">
        <v>0</v>
      </c>
      <c r="AD273">
        <v>68.59</v>
      </c>
      <c r="AE273">
        <v>0</v>
      </c>
      <c r="AF273">
        <v>0</v>
      </c>
      <c r="AG273">
        <v>0</v>
      </c>
      <c r="AH273">
        <v>9.6199999999999992</v>
      </c>
      <c r="AI273">
        <v>1</v>
      </c>
      <c r="AJ273">
        <v>1</v>
      </c>
      <c r="AK273">
        <v>1</v>
      </c>
      <c r="AL273">
        <v>7.13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6</v>
      </c>
      <c r="AT273">
        <v>8.3800000000000008</v>
      </c>
      <c r="AU273" t="s">
        <v>82</v>
      </c>
      <c r="AV273">
        <v>1</v>
      </c>
      <c r="AW273">
        <v>2</v>
      </c>
      <c r="AX273">
        <v>16631730</v>
      </c>
      <c r="AY273">
        <v>1</v>
      </c>
      <c r="AZ273">
        <v>0</v>
      </c>
      <c r="BA273">
        <v>280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Y273*Source!I109</f>
        <v>4.6498524999999997</v>
      </c>
      <c r="CY273">
        <f>AD273</f>
        <v>68.59</v>
      </c>
      <c r="CZ273">
        <f>AH273</f>
        <v>9.6199999999999992</v>
      </c>
      <c r="DA273">
        <f>AL273</f>
        <v>7.13</v>
      </c>
      <c r="DB273">
        <f>ROUND((ROUND(AT273*CZ273,2)*1.15),2)</f>
        <v>92.71</v>
      </c>
      <c r="DC273">
        <f>ROUND((ROUND(AT273*AG273,2)*1.15),2)</f>
        <v>0</v>
      </c>
    </row>
    <row r="274" spans="1:107" x14ac:dyDescent="0.2">
      <c r="A274">
        <f>ROW(Source!A109)</f>
        <v>109</v>
      </c>
      <c r="B274">
        <v>16630606</v>
      </c>
      <c r="C274">
        <v>16631727</v>
      </c>
      <c r="D274">
        <v>15203285</v>
      </c>
      <c r="E274">
        <v>1</v>
      </c>
      <c r="F274">
        <v>1</v>
      </c>
      <c r="G274">
        <v>1</v>
      </c>
      <c r="H274">
        <v>3</v>
      </c>
      <c r="I274" t="s">
        <v>373</v>
      </c>
      <c r="J274" t="s">
        <v>375</v>
      </c>
      <c r="K274" t="s">
        <v>374</v>
      </c>
      <c r="L274">
        <v>1348</v>
      </c>
      <c r="N274">
        <v>1009</v>
      </c>
      <c r="O274" t="s">
        <v>98</v>
      </c>
      <c r="P274" t="s">
        <v>98</v>
      </c>
      <c r="Q274">
        <v>1000</v>
      </c>
      <c r="W274">
        <v>0</v>
      </c>
      <c r="X274">
        <v>219954523</v>
      </c>
      <c r="Y274">
        <v>1.6E-2</v>
      </c>
      <c r="AA274">
        <v>33877.910000000003</v>
      </c>
      <c r="AB274">
        <v>0</v>
      </c>
      <c r="AC274">
        <v>0</v>
      </c>
      <c r="AD274">
        <v>0</v>
      </c>
      <c r="AE274">
        <v>4751.46</v>
      </c>
      <c r="AF274">
        <v>0</v>
      </c>
      <c r="AG274">
        <v>0</v>
      </c>
      <c r="AH274">
        <v>0</v>
      </c>
      <c r="AI274">
        <v>7.13</v>
      </c>
      <c r="AJ274">
        <v>1</v>
      </c>
      <c r="AK274">
        <v>1</v>
      </c>
      <c r="AL274">
        <v>1</v>
      </c>
      <c r="AN274">
        <v>0</v>
      </c>
      <c r="AO274">
        <v>0</v>
      </c>
      <c r="AP274">
        <v>0</v>
      </c>
      <c r="AQ274">
        <v>0</v>
      </c>
      <c r="AR274">
        <v>0</v>
      </c>
      <c r="AS274" t="s">
        <v>6</v>
      </c>
      <c r="AT274">
        <v>1.6E-2</v>
      </c>
      <c r="AU274" t="s">
        <v>6</v>
      </c>
      <c r="AV274">
        <v>0</v>
      </c>
      <c r="AW274">
        <v>1</v>
      </c>
      <c r="AX274">
        <v>-1</v>
      </c>
      <c r="AY274">
        <v>0</v>
      </c>
      <c r="AZ274">
        <v>0</v>
      </c>
      <c r="BA274" t="s">
        <v>6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Y274*Source!I109</f>
        <v>7.7200000000000003E-3</v>
      </c>
      <c r="CY274">
        <f>AA274</f>
        <v>33877.910000000003</v>
      </c>
      <c r="CZ274">
        <f>AE274</f>
        <v>4751.46</v>
      </c>
      <c r="DA274">
        <f>AI274</f>
        <v>7.13</v>
      </c>
      <c r="DB274">
        <f>ROUND(ROUND(AT274*CZ274,2),2)</f>
        <v>76.02</v>
      </c>
      <c r="DC274">
        <f>ROUND(ROUND(AT274*AG274,2),2)</f>
        <v>0</v>
      </c>
    </row>
    <row r="275" spans="1:107" x14ac:dyDescent="0.2">
      <c r="A275">
        <f>ROW(Source!A111)</f>
        <v>111</v>
      </c>
      <c r="B275">
        <v>16630606</v>
      </c>
      <c r="C275">
        <v>16631733</v>
      </c>
      <c r="D275">
        <v>15436556</v>
      </c>
      <c r="E275">
        <v>1</v>
      </c>
      <c r="F275">
        <v>1</v>
      </c>
      <c r="G275">
        <v>1</v>
      </c>
      <c r="H275">
        <v>1</v>
      </c>
      <c r="I275" t="s">
        <v>1354</v>
      </c>
      <c r="J275" t="s">
        <v>6</v>
      </c>
      <c r="K275" t="s">
        <v>1355</v>
      </c>
      <c r="L275">
        <v>1191</v>
      </c>
      <c r="N275">
        <v>1013</v>
      </c>
      <c r="O275" t="s">
        <v>1148</v>
      </c>
      <c r="P275" t="s">
        <v>1148</v>
      </c>
      <c r="Q275">
        <v>1</v>
      </c>
      <c r="W275">
        <v>0</v>
      </c>
      <c r="X275">
        <v>1069510174</v>
      </c>
      <c r="Y275">
        <v>9.3149999999999995</v>
      </c>
      <c r="AA275">
        <v>0</v>
      </c>
      <c r="AB275">
        <v>0</v>
      </c>
      <c r="AC275">
        <v>0</v>
      </c>
      <c r="AD275">
        <v>68.59</v>
      </c>
      <c r="AE275">
        <v>0</v>
      </c>
      <c r="AF275">
        <v>0</v>
      </c>
      <c r="AG275">
        <v>0</v>
      </c>
      <c r="AH275">
        <v>9.6199999999999992</v>
      </c>
      <c r="AI275">
        <v>1</v>
      </c>
      <c r="AJ275">
        <v>1</v>
      </c>
      <c r="AK275">
        <v>1</v>
      </c>
      <c r="AL275">
        <v>7.13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6</v>
      </c>
      <c r="AT275">
        <v>8.1</v>
      </c>
      <c r="AU275" t="s">
        <v>82</v>
      </c>
      <c r="AV275">
        <v>1</v>
      </c>
      <c r="AW275">
        <v>2</v>
      </c>
      <c r="AX275">
        <v>16631741</v>
      </c>
      <c r="AY275">
        <v>1</v>
      </c>
      <c r="AZ275">
        <v>0</v>
      </c>
      <c r="BA275">
        <v>282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Y275*Source!I111</f>
        <v>24.55434</v>
      </c>
      <c r="CY275">
        <f>AD275</f>
        <v>68.59</v>
      </c>
      <c r="CZ275">
        <f>AH275</f>
        <v>9.6199999999999992</v>
      </c>
      <c r="DA275">
        <f>AL275</f>
        <v>7.13</v>
      </c>
      <c r="DB275">
        <f>ROUND((ROUND(AT275*CZ275,2)*1.15),2)</f>
        <v>89.61</v>
      </c>
      <c r="DC275">
        <f>ROUND((ROUND(AT275*AG275,2)*1.15),2)</f>
        <v>0</v>
      </c>
    </row>
    <row r="276" spans="1:107" x14ac:dyDescent="0.2">
      <c r="A276">
        <f>ROW(Source!A111)</f>
        <v>111</v>
      </c>
      <c r="B276">
        <v>16630606</v>
      </c>
      <c r="C276">
        <v>16631733</v>
      </c>
      <c r="D276">
        <v>15430395</v>
      </c>
      <c r="E276">
        <v>1</v>
      </c>
      <c r="F276">
        <v>1</v>
      </c>
      <c r="G276">
        <v>1</v>
      </c>
      <c r="H276">
        <v>1</v>
      </c>
      <c r="I276" t="s">
        <v>1149</v>
      </c>
      <c r="J276" t="s">
        <v>6</v>
      </c>
      <c r="K276" t="s">
        <v>1150</v>
      </c>
      <c r="L276">
        <v>1191</v>
      </c>
      <c r="N276">
        <v>1013</v>
      </c>
      <c r="O276" t="s">
        <v>1148</v>
      </c>
      <c r="P276" t="s">
        <v>1148</v>
      </c>
      <c r="Q276">
        <v>1</v>
      </c>
      <c r="W276">
        <v>0</v>
      </c>
      <c r="X276">
        <v>-1417349443</v>
      </c>
      <c r="Y276">
        <v>0.02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1</v>
      </c>
      <c r="AJ276">
        <v>1</v>
      </c>
      <c r="AK276">
        <v>7.13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6</v>
      </c>
      <c r="AT276">
        <v>0.02</v>
      </c>
      <c r="AU276" t="s">
        <v>6</v>
      </c>
      <c r="AV276">
        <v>2</v>
      </c>
      <c r="AW276">
        <v>2</v>
      </c>
      <c r="AX276">
        <v>16631742</v>
      </c>
      <c r="AY276">
        <v>1</v>
      </c>
      <c r="AZ276">
        <v>2048</v>
      </c>
      <c r="BA276">
        <v>283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Y276*Source!I111</f>
        <v>5.2720000000000003E-2</v>
      </c>
      <c r="CY276">
        <f>AD276</f>
        <v>0</v>
      </c>
      <c r="CZ276">
        <f>AH276</f>
        <v>0</v>
      </c>
      <c r="DA276">
        <f>AL276</f>
        <v>1</v>
      </c>
      <c r="DB276">
        <f>ROUND(ROUND(AT276*CZ276,2),2)</f>
        <v>0</v>
      </c>
      <c r="DC276">
        <f>ROUND(ROUND(AT276*AG276,2),2)</f>
        <v>0</v>
      </c>
    </row>
    <row r="277" spans="1:107" x14ac:dyDescent="0.2">
      <c r="A277">
        <f>ROW(Source!A111)</f>
        <v>111</v>
      </c>
      <c r="B277">
        <v>16630606</v>
      </c>
      <c r="C277">
        <v>16631733</v>
      </c>
      <c r="D277">
        <v>15247974</v>
      </c>
      <c r="E277">
        <v>1</v>
      </c>
      <c r="F277">
        <v>1</v>
      </c>
      <c r="G277">
        <v>1</v>
      </c>
      <c r="H277">
        <v>2</v>
      </c>
      <c r="I277" t="s">
        <v>1151</v>
      </c>
      <c r="J277" t="s">
        <v>1152</v>
      </c>
      <c r="K277" t="s">
        <v>1153</v>
      </c>
      <c r="L277">
        <v>1368</v>
      </c>
      <c r="N277">
        <v>1011</v>
      </c>
      <c r="O277" t="s">
        <v>1154</v>
      </c>
      <c r="P277" t="s">
        <v>1154</v>
      </c>
      <c r="Q277">
        <v>1</v>
      </c>
      <c r="W277">
        <v>0</v>
      </c>
      <c r="X277">
        <v>1188625873</v>
      </c>
      <c r="Y277">
        <v>1.2500000000000001E-2</v>
      </c>
      <c r="AA277">
        <v>0</v>
      </c>
      <c r="AB277">
        <v>222.88</v>
      </c>
      <c r="AC277">
        <v>13.5</v>
      </c>
      <c r="AD277">
        <v>0</v>
      </c>
      <c r="AE277">
        <v>0</v>
      </c>
      <c r="AF277">
        <v>31.26</v>
      </c>
      <c r="AG277">
        <v>13.5</v>
      </c>
      <c r="AH277">
        <v>0</v>
      </c>
      <c r="AI277">
        <v>1</v>
      </c>
      <c r="AJ277">
        <v>7.13</v>
      </c>
      <c r="AK277">
        <v>1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6</v>
      </c>
      <c r="AT277">
        <v>0.01</v>
      </c>
      <c r="AU277" t="s">
        <v>81</v>
      </c>
      <c r="AV277">
        <v>0</v>
      </c>
      <c r="AW277">
        <v>2</v>
      </c>
      <c r="AX277">
        <v>16631743</v>
      </c>
      <c r="AY277">
        <v>1</v>
      </c>
      <c r="AZ277">
        <v>0</v>
      </c>
      <c r="BA277">
        <v>284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Y277*Source!I111</f>
        <v>3.295E-2</v>
      </c>
      <c r="CY277">
        <f>AB277</f>
        <v>222.88</v>
      </c>
      <c r="CZ277">
        <f>AF277</f>
        <v>31.26</v>
      </c>
      <c r="DA277">
        <f>AJ277</f>
        <v>7.13</v>
      </c>
      <c r="DB277">
        <f>ROUND((ROUND(AT277*CZ277,2)*1.25),2)</f>
        <v>0.39</v>
      </c>
      <c r="DC277">
        <f>ROUND((ROUND(AT277*AG277,2)*1.25),2)</f>
        <v>0.18</v>
      </c>
    </row>
    <row r="278" spans="1:107" x14ac:dyDescent="0.2">
      <c r="A278">
        <f>ROW(Source!A111)</f>
        <v>111</v>
      </c>
      <c r="B278">
        <v>16630606</v>
      </c>
      <c r="C278">
        <v>16631733</v>
      </c>
      <c r="D278">
        <v>15249073</v>
      </c>
      <c r="E278">
        <v>1</v>
      </c>
      <c r="F278">
        <v>1</v>
      </c>
      <c r="G278">
        <v>1</v>
      </c>
      <c r="H278">
        <v>2</v>
      </c>
      <c r="I278" t="s">
        <v>1157</v>
      </c>
      <c r="J278" t="s">
        <v>1158</v>
      </c>
      <c r="K278" t="s">
        <v>1159</v>
      </c>
      <c r="L278">
        <v>1368</v>
      </c>
      <c r="N278">
        <v>1011</v>
      </c>
      <c r="O278" t="s">
        <v>1154</v>
      </c>
      <c r="P278" t="s">
        <v>1154</v>
      </c>
      <c r="Q278">
        <v>1</v>
      </c>
      <c r="W278">
        <v>0</v>
      </c>
      <c r="X278">
        <v>1372534845</v>
      </c>
      <c r="Y278">
        <v>1.2500000000000001E-2</v>
      </c>
      <c r="AA278">
        <v>0</v>
      </c>
      <c r="AB278">
        <v>468.51</v>
      </c>
      <c r="AC278">
        <v>11.6</v>
      </c>
      <c r="AD278">
        <v>0</v>
      </c>
      <c r="AE278">
        <v>0</v>
      </c>
      <c r="AF278">
        <v>65.709999999999994</v>
      </c>
      <c r="AG278">
        <v>11.6</v>
      </c>
      <c r="AH278">
        <v>0</v>
      </c>
      <c r="AI278">
        <v>1</v>
      </c>
      <c r="AJ278">
        <v>7.13</v>
      </c>
      <c r="AK278">
        <v>1</v>
      </c>
      <c r="AL278">
        <v>1</v>
      </c>
      <c r="AN278">
        <v>0</v>
      </c>
      <c r="AO278">
        <v>1</v>
      </c>
      <c r="AP278">
        <v>1</v>
      </c>
      <c r="AQ278">
        <v>0</v>
      </c>
      <c r="AR278">
        <v>0</v>
      </c>
      <c r="AS278" t="s">
        <v>6</v>
      </c>
      <c r="AT278">
        <v>0.01</v>
      </c>
      <c r="AU278" t="s">
        <v>81</v>
      </c>
      <c r="AV278">
        <v>0</v>
      </c>
      <c r="AW278">
        <v>2</v>
      </c>
      <c r="AX278">
        <v>16631744</v>
      </c>
      <c r="AY278">
        <v>1</v>
      </c>
      <c r="AZ278">
        <v>0</v>
      </c>
      <c r="BA278">
        <v>285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Y278*Source!I111</f>
        <v>3.295E-2</v>
      </c>
      <c r="CY278">
        <f>AB278</f>
        <v>468.51</v>
      </c>
      <c r="CZ278">
        <f>AF278</f>
        <v>65.709999999999994</v>
      </c>
      <c r="DA278">
        <f>AJ278</f>
        <v>7.13</v>
      </c>
      <c r="DB278">
        <f>ROUND((ROUND(AT278*CZ278,2)*1.25),2)</f>
        <v>0.83</v>
      </c>
      <c r="DC278">
        <f>ROUND((ROUND(AT278*AG278,2)*1.25),2)</f>
        <v>0.15</v>
      </c>
    </row>
    <row r="279" spans="1:107" x14ac:dyDescent="0.2">
      <c r="A279">
        <f>ROW(Source!A111)</f>
        <v>111</v>
      </c>
      <c r="B279">
        <v>16630606</v>
      </c>
      <c r="C279">
        <v>16631733</v>
      </c>
      <c r="D279">
        <v>15171018</v>
      </c>
      <c r="E279">
        <v>1</v>
      </c>
      <c r="F279">
        <v>1</v>
      </c>
      <c r="G279">
        <v>1</v>
      </c>
      <c r="H279">
        <v>3</v>
      </c>
      <c r="I279" t="s">
        <v>1204</v>
      </c>
      <c r="J279" t="s">
        <v>1205</v>
      </c>
      <c r="K279" t="s">
        <v>1206</v>
      </c>
      <c r="L279">
        <v>1346</v>
      </c>
      <c r="N279">
        <v>1009</v>
      </c>
      <c r="O279" t="s">
        <v>102</v>
      </c>
      <c r="P279" t="s">
        <v>102</v>
      </c>
      <c r="Q279">
        <v>1</v>
      </c>
      <c r="W279">
        <v>0</v>
      </c>
      <c r="X279">
        <v>813963326</v>
      </c>
      <c r="Y279">
        <v>0.1</v>
      </c>
      <c r="AA279">
        <v>12.98</v>
      </c>
      <c r="AB279">
        <v>0</v>
      </c>
      <c r="AC279">
        <v>0</v>
      </c>
      <c r="AD279">
        <v>0</v>
      </c>
      <c r="AE279">
        <v>1.82</v>
      </c>
      <c r="AF279">
        <v>0</v>
      </c>
      <c r="AG279">
        <v>0</v>
      </c>
      <c r="AH279">
        <v>0</v>
      </c>
      <c r="AI279">
        <v>7.13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6</v>
      </c>
      <c r="AT279">
        <v>0.1</v>
      </c>
      <c r="AU279" t="s">
        <v>6</v>
      </c>
      <c r="AV279">
        <v>0</v>
      </c>
      <c r="AW279">
        <v>2</v>
      </c>
      <c r="AX279">
        <v>16631745</v>
      </c>
      <c r="AY279">
        <v>1</v>
      </c>
      <c r="AZ279">
        <v>0</v>
      </c>
      <c r="BA279">
        <v>286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Y279*Source!I111</f>
        <v>0.2636</v>
      </c>
      <c r="CY279">
        <f>AA279</f>
        <v>12.98</v>
      </c>
      <c r="CZ279">
        <f>AE279</f>
        <v>1.82</v>
      </c>
      <c r="DA279">
        <f>AI279</f>
        <v>7.13</v>
      </c>
      <c r="DB279">
        <f t="shared" ref="DB279:DB288" si="40">ROUND(ROUND(AT279*CZ279,2),2)</f>
        <v>0.18</v>
      </c>
      <c r="DC279">
        <f t="shared" ref="DC279:DC288" si="41">ROUND(ROUND(AT279*AG279,2),2)</f>
        <v>0</v>
      </c>
    </row>
    <row r="280" spans="1:107" x14ac:dyDescent="0.2">
      <c r="A280">
        <f>ROW(Source!A111)</f>
        <v>111</v>
      </c>
      <c r="B280">
        <v>16630606</v>
      </c>
      <c r="C280">
        <v>16631733</v>
      </c>
      <c r="D280">
        <v>15203211</v>
      </c>
      <c r="E280">
        <v>1</v>
      </c>
      <c r="F280">
        <v>1</v>
      </c>
      <c r="G280">
        <v>1</v>
      </c>
      <c r="H280">
        <v>3</v>
      </c>
      <c r="I280" t="s">
        <v>382</v>
      </c>
      <c r="J280" t="s">
        <v>384</v>
      </c>
      <c r="K280" t="s">
        <v>383</v>
      </c>
      <c r="L280">
        <v>1346</v>
      </c>
      <c r="N280">
        <v>1009</v>
      </c>
      <c r="O280" t="s">
        <v>102</v>
      </c>
      <c r="P280" t="s">
        <v>102</v>
      </c>
      <c r="Q280">
        <v>1</v>
      </c>
      <c r="W280">
        <v>0</v>
      </c>
      <c r="X280">
        <v>1453462043</v>
      </c>
      <c r="Y280">
        <v>18.835366</v>
      </c>
      <c r="AA280">
        <v>107.59</v>
      </c>
      <c r="AB280">
        <v>0</v>
      </c>
      <c r="AC280">
        <v>0</v>
      </c>
      <c r="AD280">
        <v>0</v>
      </c>
      <c r="AE280">
        <v>15.09</v>
      </c>
      <c r="AF280">
        <v>0</v>
      </c>
      <c r="AG280">
        <v>0</v>
      </c>
      <c r="AH280">
        <v>0</v>
      </c>
      <c r="AI280">
        <v>7.13</v>
      </c>
      <c r="AJ280">
        <v>1</v>
      </c>
      <c r="AK280">
        <v>1</v>
      </c>
      <c r="AL280">
        <v>1</v>
      </c>
      <c r="AN280">
        <v>0</v>
      </c>
      <c r="AO280">
        <v>0</v>
      </c>
      <c r="AP280">
        <v>0</v>
      </c>
      <c r="AQ280">
        <v>0</v>
      </c>
      <c r="AR280">
        <v>0</v>
      </c>
      <c r="AS280" t="s">
        <v>6</v>
      </c>
      <c r="AT280">
        <v>18.835366</v>
      </c>
      <c r="AU280" t="s">
        <v>6</v>
      </c>
      <c r="AV280">
        <v>0</v>
      </c>
      <c r="AW280">
        <v>1</v>
      </c>
      <c r="AX280">
        <v>-1</v>
      </c>
      <c r="AY280">
        <v>0</v>
      </c>
      <c r="AZ280">
        <v>0</v>
      </c>
      <c r="BA280" t="s">
        <v>6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Y280*Source!I111</f>
        <v>49.650024776000002</v>
      </c>
      <c r="CY280">
        <f>AA280</f>
        <v>107.59</v>
      </c>
      <c r="CZ280">
        <f>AE280</f>
        <v>15.09</v>
      </c>
      <c r="DA280">
        <f>AI280</f>
        <v>7.13</v>
      </c>
      <c r="DB280">
        <f t="shared" si="40"/>
        <v>284.23</v>
      </c>
      <c r="DC280">
        <f t="shared" si="41"/>
        <v>0</v>
      </c>
    </row>
    <row r="281" spans="1:107" x14ac:dyDescent="0.2">
      <c r="A281">
        <f>ROW(Source!A111)</f>
        <v>111</v>
      </c>
      <c r="B281">
        <v>16630606</v>
      </c>
      <c r="C281">
        <v>16631733</v>
      </c>
      <c r="D281">
        <v>15162572</v>
      </c>
      <c r="E281">
        <v>17</v>
      </c>
      <c r="F281">
        <v>1</v>
      </c>
      <c r="G281">
        <v>1</v>
      </c>
      <c r="H281">
        <v>3</v>
      </c>
      <c r="I281" t="s">
        <v>317</v>
      </c>
      <c r="J281" t="s">
        <v>6</v>
      </c>
      <c r="K281" t="s">
        <v>318</v>
      </c>
      <c r="L281">
        <v>1348</v>
      </c>
      <c r="N281">
        <v>1009</v>
      </c>
      <c r="O281" t="s">
        <v>98</v>
      </c>
      <c r="P281" t="s">
        <v>98</v>
      </c>
      <c r="Q281">
        <v>1000</v>
      </c>
      <c r="W281">
        <v>0</v>
      </c>
      <c r="X281">
        <v>-1212923053</v>
      </c>
      <c r="Y281">
        <v>1.2999999999999999E-2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7.13</v>
      </c>
      <c r="AJ281">
        <v>1</v>
      </c>
      <c r="AK281">
        <v>1</v>
      </c>
      <c r="AL281">
        <v>1</v>
      </c>
      <c r="AN281">
        <v>0</v>
      </c>
      <c r="AO281">
        <v>0</v>
      </c>
      <c r="AP281">
        <v>0</v>
      </c>
      <c r="AQ281">
        <v>0</v>
      </c>
      <c r="AR281">
        <v>0</v>
      </c>
      <c r="AS281" t="s">
        <v>6</v>
      </c>
      <c r="AT281">
        <v>1.2999999999999999E-2</v>
      </c>
      <c r="AU281" t="s">
        <v>6</v>
      </c>
      <c r="AV281">
        <v>0</v>
      </c>
      <c r="AW281">
        <v>2</v>
      </c>
      <c r="AX281">
        <v>16631746</v>
      </c>
      <c r="AY281">
        <v>1</v>
      </c>
      <c r="AZ281">
        <v>0</v>
      </c>
      <c r="BA281">
        <v>287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Y281*Source!I111</f>
        <v>3.4268E-2</v>
      </c>
      <c r="CY281">
        <f>AA281</f>
        <v>0</v>
      </c>
      <c r="CZ281">
        <f>AE281</f>
        <v>0</v>
      </c>
      <c r="DA281">
        <f>AI281</f>
        <v>7.13</v>
      </c>
      <c r="DB281">
        <f t="shared" si="40"/>
        <v>0</v>
      </c>
      <c r="DC281">
        <f t="shared" si="41"/>
        <v>0</v>
      </c>
    </row>
    <row r="282" spans="1:107" x14ac:dyDescent="0.2">
      <c r="A282">
        <f>ROW(Source!A114)</f>
        <v>114</v>
      </c>
      <c r="B282">
        <v>16630606</v>
      </c>
      <c r="C282">
        <v>16631779</v>
      </c>
      <c r="D282">
        <v>15430517</v>
      </c>
      <c r="E282">
        <v>1</v>
      </c>
      <c r="F282">
        <v>1</v>
      </c>
      <c r="G282">
        <v>1</v>
      </c>
      <c r="H282">
        <v>1</v>
      </c>
      <c r="I282" t="s">
        <v>1169</v>
      </c>
      <c r="J282" t="s">
        <v>6</v>
      </c>
      <c r="K282" t="s">
        <v>1170</v>
      </c>
      <c r="L282">
        <v>1191</v>
      </c>
      <c r="N282">
        <v>1013</v>
      </c>
      <c r="O282" t="s">
        <v>1148</v>
      </c>
      <c r="P282" t="s">
        <v>1148</v>
      </c>
      <c r="Q282">
        <v>1</v>
      </c>
      <c r="W282">
        <v>0</v>
      </c>
      <c r="X282">
        <v>735429535</v>
      </c>
      <c r="Y282">
        <v>3.77</v>
      </c>
      <c r="AA282">
        <v>0</v>
      </c>
      <c r="AB282">
        <v>0</v>
      </c>
      <c r="AC282">
        <v>0</v>
      </c>
      <c r="AD282">
        <v>55.61</v>
      </c>
      <c r="AE282">
        <v>0</v>
      </c>
      <c r="AF282">
        <v>0</v>
      </c>
      <c r="AG282">
        <v>0</v>
      </c>
      <c r="AH282">
        <v>7.8</v>
      </c>
      <c r="AI282">
        <v>1</v>
      </c>
      <c r="AJ282">
        <v>1</v>
      </c>
      <c r="AK282">
        <v>1</v>
      </c>
      <c r="AL282">
        <v>7.13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6</v>
      </c>
      <c r="AT282">
        <v>3.77</v>
      </c>
      <c r="AU282" t="s">
        <v>6</v>
      </c>
      <c r="AV282">
        <v>1</v>
      </c>
      <c r="AW282">
        <v>2</v>
      </c>
      <c r="AX282">
        <v>16631783</v>
      </c>
      <c r="AY282">
        <v>1</v>
      </c>
      <c r="AZ282">
        <v>0</v>
      </c>
      <c r="BA282">
        <v>288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Y282*Source!I114</f>
        <v>1.2742600000000002</v>
      </c>
      <c r="CY282">
        <f>AD282</f>
        <v>55.61</v>
      </c>
      <c r="CZ282">
        <f>AH282</f>
        <v>7.8</v>
      </c>
      <c r="DA282">
        <f>AL282</f>
        <v>7.13</v>
      </c>
      <c r="DB282">
        <f t="shared" si="40"/>
        <v>29.41</v>
      </c>
      <c r="DC282">
        <f t="shared" si="41"/>
        <v>0</v>
      </c>
    </row>
    <row r="283" spans="1:107" x14ac:dyDescent="0.2">
      <c r="A283">
        <f>ROW(Source!A114)</f>
        <v>114</v>
      </c>
      <c r="B283">
        <v>16630606</v>
      </c>
      <c r="C283">
        <v>16631779</v>
      </c>
      <c r="D283">
        <v>15165926</v>
      </c>
      <c r="E283">
        <v>1</v>
      </c>
      <c r="F283">
        <v>1</v>
      </c>
      <c r="G283">
        <v>1</v>
      </c>
      <c r="H283">
        <v>3</v>
      </c>
      <c r="I283" t="s">
        <v>1393</v>
      </c>
      <c r="J283" t="s">
        <v>1394</v>
      </c>
      <c r="K283" t="s">
        <v>1395</v>
      </c>
      <c r="L283">
        <v>1348</v>
      </c>
      <c r="N283">
        <v>1009</v>
      </c>
      <c r="O283" t="s">
        <v>98</v>
      </c>
      <c r="P283" t="s">
        <v>98</v>
      </c>
      <c r="Q283">
        <v>1000</v>
      </c>
      <c r="W283">
        <v>0</v>
      </c>
      <c r="X283">
        <v>-1565347455</v>
      </c>
      <c r="Y283">
        <v>1E-3</v>
      </c>
      <c r="AA283">
        <v>53981.23</v>
      </c>
      <c r="AB283">
        <v>0</v>
      </c>
      <c r="AC283">
        <v>0</v>
      </c>
      <c r="AD283">
        <v>0</v>
      </c>
      <c r="AE283">
        <v>7571</v>
      </c>
      <c r="AF283">
        <v>0</v>
      </c>
      <c r="AG283">
        <v>0</v>
      </c>
      <c r="AH283">
        <v>0</v>
      </c>
      <c r="AI283">
        <v>7.13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6</v>
      </c>
      <c r="AT283">
        <v>1E-3</v>
      </c>
      <c r="AU283" t="s">
        <v>6</v>
      </c>
      <c r="AV283">
        <v>0</v>
      </c>
      <c r="AW283">
        <v>2</v>
      </c>
      <c r="AX283">
        <v>16631784</v>
      </c>
      <c r="AY283">
        <v>1</v>
      </c>
      <c r="AZ283">
        <v>0</v>
      </c>
      <c r="BA283">
        <v>289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Y283*Source!I114</f>
        <v>3.3800000000000003E-4</v>
      </c>
      <c r="CY283">
        <f>AA283</f>
        <v>53981.23</v>
      </c>
      <c r="CZ283">
        <f>AE283</f>
        <v>7571</v>
      </c>
      <c r="DA283">
        <f>AI283</f>
        <v>7.13</v>
      </c>
      <c r="DB283">
        <f t="shared" si="40"/>
        <v>7.57</v>
      </c>
      <c r="DC283">
        <f t="shared" si="41"/>
        <v>0</v>
      </c>
    </row>
    <row r="284" spans="1:107" x14ac:dyDescent="0.2">
      <c r="A284">
        <f>ROW(Source!A114)</f>
        <v>114</v>
      </c>
      <c r="B284">
        <v>16630606</v>
      </c>
      <c r="C284">
        <v>16631779</v>
      </c>
      <c r="D284">
        <v>15167286</v>
      </c>
      <c r="E284">
        <v>1</v>
      </c>
      <c r="F284">
        <v>1</v>
      </c>
      <c r="G284">
        <v>1</v>
      </c>
      <c r="H284">
        <v>3</v>
      </c>
      <c r="I284" t="s">
        <v>1265</v>
      </c>
      <c r="J284" t="s">
        <v>1266</v>
      </c>
      <c r="K284" t="s">
        <v>1267</v>
      </c>
      <c r="L284">
        <v>1339</v>
      </c>
      <c r="N284">
        <v>1007</v>
      </c>
      <c r="O284" t="s">
        <v>203</v>
      </c>
      <c r="P284" t="s">
        <v>203</v>
      </c>
      <c r="Q284">
        <v>1</v>
      </c>
      <c r="W284">
        <v>0</v>
      </c>
      <c r="X284">
        <v>-1660354250</v>
      </c>
      <c r="Y284">
        <v>0.05</v>
      </c>
      <c r="AA284">
        <v>17.399999999999999</v>
      </c>
      <c r="AB284">
        <v>0</v>
      </c>
      <c r="AC284">
        <v>0</v>
      </c>
      <c r="AD284">
        <v>0</v>
      </c>
      <c r="AE284">
        <v>2.44</v>
      </c>
      <c r="AF284">
        <v>0</v>
      </c>
      <c r="AG284">
        <v>0</v>
      </c>
      <c r="AH284">
        <v>0</v>
      </c>
      <c r="AI284">
        <v>7.13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6</v>
      </c>
      <c r="AT284">
        <v>0.05</v>
      </c>
      <c r="AU284" t="s">
        <v>6</v>
      </c>
      <c r="AV284">
        <v>0</v>
      </c>
      <c r="AW284">
        <v>2</v>
      </c>
      <c r="AX284">
        <v>16631785</v>
      </c>
      <c r="AY284">
        <v>1</v>
      </c>
      <c r="AZ284">
        <v>0</v>
      </c>
      <c r="BA284">
        <v>290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Y284*Source!I114</f>
        <v>1.6900000000000002E-2</v>
      </c>
      <c r="CY284">
        <f>AA284</f>
        <v>17.399999999999999</v>
      </c>
      <c r="CZ284">
        <f>AE284</f>
        <v>2.44</v>
      </c>
      <c r="DA284">
        <f>AI284</f>
        <v>7.13</v>
      </c>
      <c r="DB284">
        <f t="shared" si="40"/>
        <v>0.12</v>
      </c>
      <c r="DC284">
        <f t="shared" si="41"/>
        <v>0</v>
      </c>
    </row>
    <row r="285" spans="1:107" x14ac:dyDescent="0.2">
      <c r="A285">
        <f>ROW(Source!A115)</f>
        <v>115</v>
      </c>
      <c r="B285">
        <v>16630606</v>
      </c>
      <c r="C285">
        <v>16631786</v>
      </c>
      <c r="D285">
        <v>15435609</v>
      </c>
      <c r="E285">
        <v>1</v>
      </c>
      <c r="F285">
        <v>1</v>
      </c>
      <c r="G285">
        <v>1</v>
      </c>
      <c r="H285">
        <v>1</v>
      </c>
      <c r="I285" t="s">
        <v>1231</v>
      </c>
      <c r="J285" t="s">
        <v>6</v>
      </c>
      <c r="K285" t="s">
        <v>1232</v>
      </c>
      <c r="L285">
        <v>1191</v>
      </c>
      <c r="N285">
        <v>1013</v>
      </c>
      <c r="O285" t="s">
        <v>1148</v>
      </c>
      <c r="P285" t="s">
        <v>1148</v>
      </c>
      <c r="Q285">
        <v>1</v>
      </c>
      <c r="W285">
        <v>0</v>
      </c>
      <c r="X285">
        <v>-814890593</v>
      </c>
      <c r="Y285">
        <v>2.71</v>
      </c>
      <c r="AA285">
        <v>0</v>
      </c>
      <c r="AB285">
        <v>0</v>
      </c>
      <c r="AC285">
        <v>0</v>
      </c>
      <c r="AD285">
        <v>63.96</v>
      </c>
      <c r="AE285">
        <v>0</v>
      </c>
      <c r="AF285">
        <v>0</v>
      </c>
      <c r="AG285">
        <v>0</v>
      </c>
      <c r="AH285">
        <v>8.9700000000000006</v>
      </c>
      <c r="AI285">
        <v>1</v>
      </c>
      <c r="AJ285">
        <v>1</v>
      </c>
      <c r="AK285">
        <v>1</v>
      </c>
      <c r="AL285">
        <v>7.13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6</v>
      </c>
      <c r="AT285">
        <v>2.71</v>
      </c>
      <c r="AU285" t="s">
        <v>6</v>
      </c>
      <c r="AV285">
        <v>1</v>
      </c>
      <c r="AW285">
        <v>2</v>
      </c>
      <c r="AX285">
        <v>16631791</v>
      </c>
      <c r="AY285">
        <v>1</v>
      </c>
      <c r="AZ285">
        <v>0</v>
      </c>
      <c r="BA285">
        <v>291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Y285*Source!I115</f>
        <v>13.007999999999999</v>
      </c>
      <c r="CY285">
        <f>AD285</f>
        <v>63.96</v>
      </c>
      <c r="CZ285">
        <f>AH285</f>
        <v>8.9700000000000006</v>
      </c>
      <c r="DA285">
        <f>AL285</f>
        <v>7.13</v>
      </c>
      <c r="DB285">
        <f t="shared" si="40"/>
        <v>24.31</v>
      </c>
      <c r="DC285">
        <f t="shared" si="41"/>
        <v>0</v>
      </c>
    </row>
    <row r="286" spans="1:107" x14ac:dyDescent="0.2">
      <c r="A286">
        <f>ROW(Source!A115)</f>
        <v>115</v>
      </c>
      <c r="B286">
        <v>16630606</v>
      </c>
      <c r="C286">
        <v>16631786</v>
      </c>
      <c r="D286">
        <v>15167286</v>
      </c>
      <c r="E286">
        <v>1</v>
      </c>
      <c r="F286">
        <v>1</v>
      </c>
      <c r="G286">
        <v>1</v>
      </c>
      <c r="H286">
        <v>3</v>
      </c>
      <c r="I286" t="s">
        <v>1265</v>
      </c>
      <c r="J286" t="s">
        <v>1266</v>
      </c>
      <c r="K286" t="s">
        <v>1267</v>
      </c>
      <c r="L286">
        <v>1339</v>
      </c>
      <c r="N286">
        <v>1007</v>
      </c>
      <c r="O286" t="s">
        <v>203</v>
      </c>
      <c r="P286" t="s">
        <v>203</v>
      </c>
      <c r="Q286">
        <v>1</v>
      </c>
      <c r="W286">
        <v>0</v>
      </c>
      <c r="X286">
        <v>-1660354250</v>
      </c>
      <c r="Y286">
        <v>0.01</v>
      </c>
      <c r="AA286">
        <v>17.399999999999999</v>
      </c>
      <c r="AB286">
        <v>0</v>
      </c>
      <c r="AC286">
        <v>0</v>
      </c>
      <c r="AD286">
        <v>0</v>
      </c>
      <c r="AE286">
        <v>2.44</v>
      </c>
      <c r="AF286">
        <v>0</v>
      </c>
      <c r="AG286">
        <v>0</v>
      </c>
      <c r="AH286">
        <v>0</v>
      </c>
      <c r="AI286">
        <v>7.13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6</v>
      </c>
      <c r="AT286">
        <v>0.01</v>
      </c>
      <c r="AU286" t="s">
        <v>6</v>
      </c>
      <c r="AV286">
        <v>0</v>
      </c>
      <c r="AW286">
        <v>2</v>
      </c>
      <c r="AX286">
        <v>16631792</v>
      </c>
      <c r="AY286">
        <v>1</v>
      </c>
      <c r="AZ286">
        <v>0</v>
      </c>
      <c r="BA286">
        <v>292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Y286*Source!I115</f>
        <v>4.8000000000000001E-2</v>
      </c>
      <c r="CY286">
        <f>AA286</f>
        <v>17.399999999999999</v>
      </c>
      <c r="CZ286">
        <f>AE286</f>
        <v>2.44</v>
      </c>
      <c r="DA286">
        <f>AI286</f>
        <v>7.13</v>
      </c>
      <c r="DB286">
        <f t="shared" si="40"/>
        <v>0.02</v>
      </c>
      <c r="DC286">
        <f t="shared" si="41"/>
        <v>0</v>
      </c>
    </row>
    <row r="287" spans="1:107" x14ac:dyDescent="0.2">
      <c r="A287">
        <f>ROW(Source!A115)</f>
        <v>115</v>
      </c>
      <c r="B287">
        <v>16630606</v>
      </c>
      <c r="C287">
        <v>16631786</v>
      </c>
      <c r="D287">
        <v>15161703</v>
      </c>
      <c r="E287">
        <v>17</v>
      </c>
      <c r="F287">
        <v>1</v>
      </c>
      <c r="G287">
        <v>1</v>
      </c>
      <c r="H287">
        <v>3</v>
      </c>
      <c r="I287" t="s">
        <v>397</v>
      </c>
      <c r="J287" t="s">
        <v>6</v>
      </c>
      <c r="K287" t="s">
        <v>398</v>
      </c>
      <c r="L287">
        <v>1339</v>
      </c>
      <c r="N287">
        <v>1007</v>
      </c>
      <c r="O287" t="s">
        <v>203</v>
      </c>
      <c r="P287" t="s">
        <v>203</v>
      </c>
      <c r="Q287">
        <v>1</v>
      </c>
      <c r="W287">
        <v>0</v>
      </c>
      <c r="X287">
        <v>1440854821</v>
      </c>
      <c r="Y287">
        <v>0.02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7.13</v>
      </c>
      <c r="AJ287">
        <v>1</v>
      </c>
      <c r="AK287">
        <v>1</v>
      </c>
      <c r="AL287">
        <v>1</v>
      </c>
      <c r="AN287">
        <v>0</v>
      </c>
      <c r="AO287">
        <v>0</v>
      </c>
      <c r="AP287">
        <v>0</v>
      </c>
      <c r="AQ287">
        <v>0</v>
      </c>
      <c r="AR287">
        <v>0</v>
      </c>
      <c r="AS287" t="s">
        <v>6</v>
      </c>
      <c r="AT287">
        <v>0.02</v>
      </c>
      <c r="AU287" t="s">
        <v>6</v>
      </c>
      <c r="AV287">
        <v>0</v>
      </c>
      <c r="AW287">
        <v>2</v>
      </c>
      <c r="AX287">
        <v>16631793</v>
      </c>
      <c r="AY287">
        <v>1</v>
      </c>
      <c r="AZ287">
        <v>0</v>
      </c>
      <c r="BA287">
        <v>293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Y287*Source!I115</f>
        <v>9.6000000000000002E-2</v>
      </c>
      <c r="CY287">
        <f>AA287</f>
        <v>0</v>
      </c>
      <c r="CZ287">
        <f>AE287</f>
        <v>0</v>
      </c>
      <c r="DA287">
        <f>AI287</f>
        <v>7.13</v>
      </c>
      <c r="DB287">
        <f t="shared" si="40"/>
        <v>0</v>
      </c>
      <c r="DC287">
        <f t="shared" si="41"/>
        <v>0</v>
      </c>
    </row>
    <row r="288" spans="1:107" x14ac:dyDescent="0.2">
      <c r="A288">
        <f>ROW(Source!A115)</f>
        <v>115</v>
      </c>
      <c r="B288">
        <v>16630606</v>
      </c>
      <c r="C288">
        <v>16631786</v>
      </c>
      <c r="D288">
        <v>15173318</v>
      </c>
      <c r="E288">
        <v>1</v>
      </c>
      <c r="F288">
        <v>1</v>
      </c>
      <c r="G288">
        <v>1</v>
      </c>
      <c r="H288">
        <v>3</v>
      </c>
      <c r="I288" t="s">
        <v>400</v>
      </c>
      <c r="J288" t="s">
        <v>402</v>
      </c>
      <c r="K288" t="s">
        <v>401</v>
      </c>
      <c r="L288">
        <v>1348</v>
      </c>
      <c r="N288">
        <v>1009</v>
      </c>
      <c r="O288" t="s">
        <v>98</v>
      </c>
      <c r="P288" t="s">
        <v>98</v>
      </c>
      <c r="Q288">
        <v>1000</v>
      </c>
      <c r="W288">
        <v>0</v>
      </c>
      <c r="X288">
        <v>755883371</v>
      </c>
      <c r="Y288">
        <v>2.4E-2</v>
      </c>
      <c r="AA288">
        <v>5191.6400000000003</v>
      </c>
      <c r="AB288">
        <v>0</v>
      </c>
      <c r="AC288">
        <v>0</v>
      </c>
      <c r="AD288">
        <v>0</v>
      </c>
      <c r="AE288">
        <v>728.14</v>
      </c>
      <c r="AF288">
        <v>0</v>
      </c>
      <c r="AG288">
        <v>0</v>
      </c>
      <c r="AH288">
        <v>0</v>
      </c>
      <c r="AI288">
        <v>7.13</v>
      </c>
      <c r="AJ288">
        <v>1</v>
      </c>
      <c r="AK288">
        <v>1</v>
      </c>
      <c r="AL288">
        <v>1</v>
      </c>
      <c r="AN288">
        <v>0</v>
      </c>
      <c r="AO288">
        <v>0</v>
      </c>
      <c r="AP288">
        <v>0</v>
      </c>
      <c r="AQ288">
        <v>0</v>
      </c>
      <c r="AR288">
        <v>0</v>
      </c>
      <c r="AS288" t="s">
        <v>6</v>
      </c>
      <c r="AT288">
        <v>2.4E-2</v>
      </c>
      <c r="AU288" t="s">
        <v>6</v>
      </c>
      <c r="AV288">
        <v>0</v>
      </c>
      <c r="AW288">
        <v>1</v>
      </c>
      <c r="AX288">
        <v>-1</v>
      </c>
      <c r="AY288">
        <v>0</v>
      </c>
      <c r="AZ288">
        <v>0</v>
      </c>
      <c r="BA288" t="s">
        <v>6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Y288*Source!I115</f>
        <v>0.1152</v>
      </c>
      <c r="CY288">
        <f>AA288</f>
        <v>5191.6400000000003</v>
      </c>
      <c r="CZ288">
        <f>AE288</f>
        <v>728.14</v>
      </c>
      <c r="DA288">
        <f>AI288</f>
        <v>7.13</v>
      </c>
      <c r="DB288">
        <f t="shared" si="40"/>
        <v>17.48</v>
      </c>
      <c r="DC288">
        <f t="shared" si="41"/>
        <v>0</v>
      </c>
    </row>
    <row r="289" spans="1:107" x14ac:dyDescent="0.2">
      <c r="A289">
        <f>ROW(Source!A118)</f>
        <v>118</v>
      </c>
      <c r="B289">
        <v>16630606</v>
      </c>
      <c r="C289">
        <v>16631796</v>
      </c>
      <c r="D289">
        <v>9415746</v>
      </c>
      <c r="E289">
        <v>1</v>
      </c>
      <c r="F289">
        <v>1</v>
      </c>
      <c r="G289">
        <v>1</v>
      </c>
      <c r="H289">
        <v>1</v>
      </c>
      <c r="I289" t="s">
        <v>1396</v>
      </c>
      <c r="J289" t="s">
        <v>6</v>
      </c>
      <c r="K289" t="s">
        <v>1397</v>
      </c>
      <c r="L289">
        <v>1369</v>
      </c>
      <c r="N289">
        <v>1013</v>
      </c>
      <c r="O289" t="s">
        <v>1398</v>
      </c>
      <c r="P289" t="s">
        <v>1398</v>
      </c>
      <c r="Q289">
        <v>1</v>
      </c>
      <c r="W289">
        <v>0</v>
      </c>
      <c r="X289">
        <v>657145562</v>
      </c>
      <c r="Y289">
        <v>81.718999999999994</v>
      </c>
      <c r="AA289">
        <v>0</v>
      </c>
      <c r="AB289">
        <v>0</v>
      </c>
      <c r="AC289">
        <v>0</v>
      </c>
      <c r="AD289">
        <v>63.17</v>
      </c>
      <c r="AE289">
        <v>0</v>
      </c>
      <c r="AF289">
        <v>0</v>
      </c>
      <c r="AG289">
        <v>0</v>
      </c>
      <c r="AH289">
        <v>8.86</v>
      </c>
      <c r="AI289">
        <v>1</v>
      </c>
      <c r="AJ289">
        <v>1</v>
      </c>
      <c r="AK289">
        <v>1</v>
      </c>
      <c r="AL289">
        <v>7.13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6</v>
      </c>
      <c r="AT289">
        <v>71.06</v>
      </c>
      <c r="AU289" t="s">
        <v>82</v>
      </c>
      <c r="AV289">
        <v>1</v>
      </c>
      <c r="AW289">
        <v>2</v>
      </c>
      <c r="AX289">
        <v>16631804</v>
      </c>
      <c r="AY289">
        <v>1</v>
      </c>
      <c r="AZ289">
        <v>0</v>
      </c>
      <c r="BA289">
        <v>294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Y289*Source!I118</f>
        <v>12.302795449999998</v>
      </c>
      <c r="CY289">
        <f>AD289</f>
        <v>63.17</v>
      </c>
      <c r="CZ289">
        <f>AH289</f>
        <v>8.86</v>
      </c>
      <c r="DA289">
        <f>AL289</f>
        <v>7.13</v>
      </c>
      <c r="DB289">
        <f>ROUND((ROUND(AT289*CZ289,2)*1.15),2)</f>
        <v>724.03</v>
      </c>
      <c r="DC289">
        <f>ROUND((ROUND(AT289*AG289,2)*1.15),2)</f>
        <v>0</v>
      </c>
    </row>
    <row r="290" spans="1:107" x14ac:dyDescent="0.2">
      <c r="A290">
        <f>ROW(Source!A118)</f>
        <v>118</v>
      </c>
      <c r="B290">
        <v>16630606</v>
      </c>
      <c r="C290">
        <v>16631796</v>
      </c>
      <c r="D290">
        <v>121548</v>
      </c>
      <c r="E290">
        <v>1</v>
      </c>
      <c r="F290">
        <v>1</v>
      </c>
      <c r="G290">
        <v>1</v>
      </c>
      <c r="H290">
        <v>1</v>
      </c>
      <c r="I290" t="s">
        <v>24</v>
      </c>
      <c r="J290" t="s">
        <v>6</v>
      </c>
      <c r="K290" t="s">
        <v>1150</v>
      </c>
      <c r="L290">
        <v>608254</v>
      </c>
      <c r="N290">
        <v>1013</v>
      </c>
      <c r="O290" t="s">
        <v>1399</v>
      </c>
      <c r="P290" t="s">
        <v>1399</v>
      </c>
      <c r="Q290">
        <v>1</v>
      </c>
      <c r="W290">
        <v>0</v>
      </c>
      <c r="X290">
        <v>-185737400</v>
      </c>
      <c r="Y290">
        <v>1.2500000000000001E-2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1</v>
      </c>
      <c r="AJ290">
        <v>1</v>
      </c>
      <c r="AK290">
        <v>7.13</v>
      </c>
      <c r="AL290">
        <v>1</v>
      </c>
      <c r="AN290">
        <v>0</v>
      </c>
      <c r="AO290">
        <v>1</v>
      </c>
      <c r="AP290">
        <v>1</v>
      </c>
      <c r="AQ290">
        <v>0</v>
      </c>
      <c r="AR290">
        <v>0</v>
      </c>
      <c r="AS290" t="s">
        <v>6</v>
      </c>
      <c r="AT290">
        <v>0.01</v>
      </c>
      <c r="AU290" t="s">
        <v>81</v>
      </c>
      <c r="AV290">
        <v>2</v>
      </c>
      <c r="AW290">
        <v>2</v>
      </c>
      <c r="AX290">
        <v>16631805</v>
      </c>
      <c r="AY290">
        <v>1</v>
      </c>
      <c r="AZ290">
        <v>0</v>
      </c>
      <c r="BA290">
        <v>295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Y290*Source!I118</f>
        <v>1.8818749999999999E-3</v>
      </c>
      <c r="CY290">
        <f>AD290</f>
        <v>0</v>
      </c>
      <c r="CZ290">
        <f>AH290</f>
        <v>0</v>
      </c>
      <c r="DA290">
        <f>AL290</f>
        <v>1</v>
      </c>
      <c r="DB290">
        <f>ROUND((ROUND(AT290*CZ290,2)*1.25),2)</f>
        <v>0</v>
      </c>
      <c r="DC290">
        <f>ROUND((ROUND(AT290*AG290,2)*1.25),2)</f>
        <v>0</v>
      </c>
    </row>
    <row r="291" spans="1:107" x14ac:dyDescent="0.2">
      <c r="A291">
        <f>ROW(Source!A118)</f>
        <v>118</v>
      </c>
      <c r="B291">
        <v>16630606</v>
      </c>
      <c r="C291">
        <v>16631796</v>
      </c>
      <c r="D291">
        <v>12833667</v>
      </c>
      <c r="E291">
        <v>1</v>
      </c>
      <c r="F291">
        <v>1</v>
      </c>
      <c r="G291">
        <v>1</v>
      </c>
      <c r="H291">
        <v>2</v>
      </c>
      <c r="I291" t="s">
        <v>1400</v>
      </c>
      <c r="J291" t="s">
        <v>1401</v>
      </c>
      <c r="K291" t="s">
        <v>1402</v>
      </c>
      <c r="L291">
        <v>1368</v>
      </c>
      <c r="N291">
        <v>1011</v>
      </c>
      <c r="O291" t="s">
        <v>1154</v>
      </c>
      <c r="P291" t="s">
        <v>1154</v>
      </c>
      <c r="Q291">
        <v>1</v>
      </c>
      <c r="W291">
        <v>0</v>
      </c>
      <c r="X291">
        <v>341432456</v>
      </c>
      <c r="Y291">
        <v>1.2500000000000001E-2</v>
      </c>
      <c r="AA291">
        <v>0</v>
      </c>
      <c r="AB291">
        <v>222.88</v>
      </c>
      <c r="AC291">
        <v>13.5</v>
      </c>
      <c r="AD291">
        <v>0</v>
      </c>
      <c r="AE291">
        <v>0</v>
      </c>
      <c r="AF291">
        <v>31.26</v>
      </c>
      <c r="AG291">
        <v>13.5</v>
      </c>
      <c r="AH291">
        <v>0</v>
      </c>
      <c r="AI291">
        <v>1</v>
      </c>
      <c r="AJ291">
        <v>7.13</v>
      </c>
      <c r="AK291">
        <v>1</v>
      </c>
      <c r="AL291">
        <v>1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6</v>
      </c>
      <c r="AT291">
        <v>0.01</v>
      </c>
      <c r="AU291" t="s">
        <v>81</v>
      </c>
      <c r="AV291">
        <v>0</v>
      </c>
      <c r="AW291">
        <v>2</v>
      </c>
      <c r="AX291">
        <v>16631806</v>
      </c>
      <c r="AY291">
        <v>1</v>
      </c>
      <c r="AZ291">
        <v>0</v>
      </c>
      <c r="BA291">
        <v>296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Y291*Source!I118</f>
        <v>1.8818749999999999E-3</v>
      </c>
      <c r="CY291">
        <f>AB291</f>
        <v>222.88</v>
      </c>
      <c r="CZ291">
        <f>AF291</f>
        <v>31.26</v>
      </c>
      <c r="DA291">
        <f>AJ291</f>
        <v>7.13</v>
      </c>
      <c r="DB291">
        <f>ROUND((ROUND(AT291*CZ291,2)*1.25),2)</f>
        <v>0.39</v>
      </c>
      <c r="DC291">
        <f>ROUND((ROUND(AT291*AG291,2)*1.25),2)</f>
        <v>0.18</v>
      </c>
    </row>
    <row r="292" spans="1:107" x14ac:dyDescent="0.2">
      <c r="A292">
        <f>ROW(Source!A118)</f>
        <v>118</v>
      </c>
      <c r="B292">
        <v>16630606</v>
      </c>
      <c r="C292">
        <v>16631796</v>
      </c>
      <c r="D292">
        <v>12836407</v>
      </c>
      <c r="E292">
        <v>1</v>
      </c>
      <c r="F292">
        <v>1</v>
      </c>
      <c r="G292">
        <v>1</v>
      </c>
      <c r="H292">
        <v>2</v>
      </c>
      <c r="I292" t="s">
        <v>1403</v>
      </c>
      <c r="J292" t="s">
        <v>1404</v>
      </c>
      <c r="K292" t="s">
        <v>1159</v>
      </c>
      <c r="L292">
        <v>1368</v>
      </c>
      <c r="N292">
        <v>1011</v>
      </c>
      <c r="O292" t="s">
        <v>1154</v>
      </c>
      <c r="P292" t="s">
        <v>1154</v>
      </c>
      <c r="Q292">
        <v>1</v>
      </c>
      <c r="W292">
        <v>0</v>
      </c>
      <c r="X292">
        <v>-365761310</v>
      </c>
      <c r="Y292">
        <v>3.7499999999999999E-2</v>
      </c>
      <c r="AA292">
        <v>0</v>
      </c>
      <c r="AB292">
        <v>621.52</v>
      </c>
      <c r="AC292">
        <v>11.6</v>
      </c>
      <c r="AD292">
        <v>0</v>
      </c>
      <c r="AE292">
        <v>0</v>
      </c>
      <c r="AF292">
        <v>87.17</v>
      </c>
      <c r="AG292">
        <v>11.6</v>
      </c>
      <c r="AH292">
        <v>0</v>
      </c>
      <c r="AI292">
        <v>1</v>
      </c>
      <c r="AJ292">
        <v>7.13</v>
      </c>
      <c r="AK292">
        <v>1</v>
      </c>
      <c r="AL292">
        <v>1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6</v>
      </c>
      <c r="AT292">
        <v>0.03</v>
      </c>
      <c r="AU292" t="s">
        <v>81</v>
      </c>
      <c r="AV292">
        <v>0</v>
      </c>
      <c r="AW292">
        <v>2</v>
      </c>
      <c r="AX292">
        <v>16631807</v>
      </c>
      <c r="AY292">
        <v>1</v>
      </c>
      <c r="AZ292">
        <v>0</v>
      </c>
      <c r="BA292">
        <v>297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Y292*Source!I118</f>
        <v>5.6456249999999996E-3</v>
      </c>
      <c r="CY292">
        <f>AB292</f>
        <v>621.52</v>
      </c>
      <c r="CZ292">
        <f>AF292</f>
        <v>87.17</v>
      </c>
      <c r="DA292">
        <f>AJ292</f>
        <v>7.13</v>
      </c>
      <c r="DB292">
        <f>ROUND((ROUND(AT292*CZ292,2)*1.25),2)</f>
        <v>3.28</v>
      </c>
      <c r="DC292">
        <f>ROUND((ROUND(AT292*AG292,2)*1.25),2)</f>
        <v>0.44</v>
      </c>
    </row>
    <row r="293" spans="1:107" x14ac:dyDescent="0.2">
      <c r="A293">
        <f>ROW(Source!A118)</f>
        <v>118</v>
      </c>
      <c r="B293">
        <v>16630606</v>
      </c>
      <c r="C293">
        <v>16631796</v>
      </c>
      <c r="D293">
        <v>12862834</v>
      </c>
      <c r="E293">
        <v>1</v>
      </c>
      <c r="F293">
        <v>1</v>
      </c>
      <c r="G293">
        <v>1</v>
      </c>
      <c r="H293">
        <v>3</v>
      </c>
      <c r="I293" t="s">
        <v>1405</v>
      </c>
      <c r="J293" t="s">
        <v>1406</v>
      </c>
      <c r="K293" t="s">
        <v>1407</v>
      </c>
      <c r="L293">
        <v>1348</v>
      </c>
      <c r="N293">
        <v>1009</v>
      </c>
      <c r="O293" t="s">
        <v>98</v>
      </c>
      <c r="P293" t="s">
        <v>98</v>
      </c>
      <c r="Q293">
        <v>1000</v>
      </c>
      <c r="W293">
        <v>0</v>
      </c>
      <c r="X293">
        <v>525677169</v>
      </c>
      <c r="Y293">
        <v>2.46E-2</v>
      </c>
      <c r="AA293">
        <v>111990.91</v>
      </c>
      <c r="AB293">
        <v>0</v>
      </c>
      <c r="AC293">
        <v>0</v>
      </c>
      <c r="AD293">
        <v>0</v>
      </c>
      <c r="AE293">
        <v>15707</v>
      </c>
      <c r="AF293">
        <v>0</v>
      </c>
      <c r="AG293">
        <v>0</v>
      </c>
      <c r="AH293">
        <v>0</v>
      </c>
      <c r="AI293">
        <v>7.13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6</v>
      </c>
      <c r="AT293">
        <v>2.46E-2</v>
      </c>
      <c r="AU293" t="s">
        <v>6</v>
      </c>
      <c r="AV293">
        <v>0</v>
      </c>
      <c r="AW293">
        <v>2</v>
      </c>
      <c r="AX293">
        <v>16631808</v>
      </c>
      <c r="AY293">
        <v>1</v>
      </c>
      <c r="AZ293">
        <v>0</v>
      </c>
      <c r="BA293">
        <v>298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Y293*Source!I118</f>
        <v>3.7035299999999996E-3</v>
      </c>
      <c r="CY293">
        <f>AA293</f>
        <v>111990.91</v>
      </c>
      <c r="CZ293">
        <f>AE293</f>
        <v>15707</v>
      </c>
      <c r="DA293">
        <f>AI293</f>
        <v>7.13</v>
      </c>
      <c r="DB293">
        <f>ROUND(ROUND(AT293*CZ293,2),2)</f>
        <v>386.39</v>
      </c>
      <c r="DC293">
        <f>ROUND(ROUND(AT293*AG293,2),2)</f>
        <v>0</v>
      </c>
    </row>
    <row r="294" spans="1:107" x14ac:dyDescent="0.2">
      <c r="A294">
        <f>ROW(Source!A118)</f>
        <v>118</v>
      </c>
      <c r="B294">
        <v>16630606</v>
      </c>
      <c r="C294">
        <v>16631796</v>
      </c>
      <c r="D294">
        <v>12860382</v>
      </c>
      <c r="E294">
        <v>1</v>
      </c>
      <c r="F294">
        <v>1</v>
      </c>
      <c r="G294">
        <v>1</v>
      </c>
      <c r="H294">
        <v>3</v>
      </c>
      <c r="I294" t="s">
        <v>1408</v>
      </c>
      <c r="J294" t="s">
        <v>1409</v>
      </c>
      <c r="K294" t="s">
        <v>1206</v>
      </c>
      <c r="L294">
        <v>1346</v>
      </c>
      <c r="N294">
        <v>1009</v>
      </c>
      <c r="O294" t="s">
        <v>102</v>
      </c>
      <c r="P294" t="s">
        <v>102</v>
      </c>
      <c r="Q294">
        <v>1</v>
      </c>
      <c r="W294">
        <v>0</v>
      </c>
      <c r="X294">
        <v>1519769894</v>
      </c>
      <c r="Y294">
        <v>0.3</v>
      </c>
      <c r="AA294">
        <v>12.98</v>
      </c>
      <c r="AB294">
        <v>0</v>
      </c>
      <c r="AC294">
        <v>0</v>
      </c>
      <c r="AD294">
        <v>0</v>
      </c>
      <c r="AE294">
        <v>1.82</v>
      </c>
      <c r="AF294">
        <v>0</v>
      </c>
      <c r="AG294">
        <v>0</v>
      </c>
      <c r="AH294">
        <v>0</v>
      </c>
      <c r="AI294">
        <v>7.13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6</v>
      </c>
      <c r="AT294">
        <v>0.3</v>
      </c>
      <c r="AU294" t="s">
        <v>6</v>
      </c>
      <c r="AV294">
        <v>0</v>
      </c>
      <c r="AW294">
        <v>2</v>
      </c>
      <c r="AX294">
        <v>16631809</v>
      </c>
      <c r="AY294">
        <v>1</v>
      </c>
      <c r="AZ294">
        <v>0</v>
      </c>
      <c r="BA294">
        <v>299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Y294*Source!I118</f>
        <v>4.5164999999999997E-2</v>
      </c>
      <c r="CY294">
        <f>AA294</f>
        <v>12.98</v>
      </c>
      <c r="CZ294">
        <f>AE294</f>
        <v>1.82</v>
      </c>
      <c r="DA294">
        <f>AI294</f>
        <v>7.13</v>
      </c>
      <c r="DB294">
        <f>ROUND(ROUND(AT294*CZ294,2),2)</f>
        <v>0.55000000000000004</v>
      </c>
      <c r="DC294">
        <f>ROUND(ROUND(AT294*AG294,2),2)</f>
        <v>0</v>
      </c>
    </row>
    <row r="295" spans="1:107" x14ac:dyDescent="0.2">
      <c r="A295">
        <f>ROW(Source!A118)</f>
        <v>118</v>
      </c>
      <c r="B295">
        <v>16630606</v>
      </c>
      <c r="C295">
        <v>16631796</v>
      </c>
      <c r="D295">
        <v>12863135</v>
      </c>
      <c r="E295">
        <v>1</v>
      </c>
      <c r="F295">
        <v>1</v>
      </c>
      <c r="G295">
        <v>1</v>
      </c>
      <c r="H295">
        <v>3</v>
      </c>
      <c r="I295" t="s">
        <v>1410</v>
      </c>
      <c r="J295" t="s">
        <v>1411</v>
      </c>
      <c r="K295" t="s">
        <v>1219</v>
      </c>
      <c r="L295">
        <v>1346</v>
      </c>
      <c r="N295">
        <v>1009</v>
      </c>
      <c r="O295" t="s">
        <v>102</v>
      </c>
      <c r="P295" t="s">
        <v>102</v>
      </c>
      <c r="Q295">
        <v>1</v>
      </c>
      <c r="W295">
        <v>0</v>
      </c>
      <c r="X295">
        <v>-1369647322</v>
      </c>
      <c r="Y295">
        <v>2.7</v>
      </c>
      <c r="AA295">
        <v>232.44</v>
      </c>
      <c r="AB295">
        <v>0</v>
      </c>
      <c r="AC295">
        <v>0</v>
      </c>
      <c r="AD295">
        <v>0</v>
      </c>
      <c r="AE295">
        <v>32.6</v>
      </c>
      <c r="AF295">
        <v>0</v>
      </c>
      <c r="AG295">
        <v>0</v>
      </c>
      <c r="AH295">
        <v>0</v>
      </c>
      <c r="AI295">
        <v>7.13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6</v>
      </c>
      <c r="AT295">
        <v>2.7</v>
      </c>
      <c r="AU295" t="s">
        <v>6</v>
      </c>
      <c r="AV295">
        <v>0</v>
      </c>
      <c r="AW295">
        <v>2</v>
      </c>
      <c r="AX295">
        <v>16631810</v>
      </c>
      <c r="AY295">
        <v>1</v>
      </c>
      <c r="AZ295">
        <v>0</v>
      </c>
      <c r="BA295">
        <v>300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Y295*Source!I118</f>
        <v>0.40648499999999999</v>
      </c>
      <c r="CY295">
        <f>AA295</f>
        <v>232.44</v>
      </c>
      <c r="CZ295">
        <f>AE295</f>
        <v>32.6</v>
      </c>
      <c r="DA295">
        <f>AI295</f>
        <v>7.13</v>
      </c>
      <c r="DB295">
        <f>ROUND(ROUND(AT295*CZ295,2),2)</f>
        <v>88.02</v>
      </c>
      <c r="DC295">
        <f>ROUND(ROUND(AT295*AG295,2),2)</f>
        <v>0</v>
      </c>
    </row>
    <row r="296" spans="1:107" x14ac:dyDescent="0.2">
      <c r="A296">
        <f>ROW(Source!A119)</f>
        <v>119</v>
      </c>
      <c r="B296">
        <v>16630606</v>
      </c>
      <c r="C296">
        <v>16631811</v>
      </c>
      <c r="D296">
        <v>15433629</v>
      </c>
      <c r="E296">
        <v>1</v>
      </c>
      <c r="F296">
        <v>1</v>
      </c>
      <c r="G296">
        <v>1</v>
      </c>
      <c r="H296">
        <v>1</v>
      </c>
      <c r="I296" t="s">
        <v>1412</v>
      </c>
      <c r="J296" t="s">
        <v>6</v>
      </c>
      <c r="K296" t="s">
        <v>1413</v>
      </c>
      <c r="L296">
        <v>1191</v>
      </c>
      <c r="N296">
        <v>1013</v>
      </c>
      <c r="O296" t="s">
        <v>1148</v>
      </c>
      <c r="P296" t="s">
        <v>1148</v>
      </c>
      <c r="Q296">
        <v>1</v>
      </c>
      <c r="W296">
        <v>0</v>
      </c>
      <c r="X296">
        <v>-576067263</v>
      </c>
      <c r="Y296">
        <v>1.03</v>
      </c>
      <c r="AA296">
        <v>0</v>
      </c>
      <c r="AB296">
        <v>0</v>
      </c>
      <c r="AC296">
        <v>0</v>
      </c>
      <c r="AD296">
        <v>51.26</v>
      </c>
      <c r="AE296">
        <v>0</v>
      </c>
      <c r="AF296">
        <v>0</v>
      </c>
      <c r="AG296">
        <v>0</v>
      </c>
      <c r="AH296">
        <v>7.19</v>
      </c>
      <c r="AI296">
        <v>1</v>
      </c>
      <c r="AJ296">
        <v>1</v>
      </c>
      <c r="AK296">
        <v>1</v>
      </c>
      <c r="AL296">
        <v>7.13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6</v>
      </c>
      <c r="AT296">
        <v>1.03</v>
      </c>
      <c r="AU296" t="s">
        <v>6</v>
      </c>
      <c r="AV296">
        <v>1</v>
      </c>
      <c r="AW296">
        <v>2</v>
      </c>
      <c r="AX296">
        <v>16631814</v>
      </c>
      <c r="AY296">
        <v>1</v>
      </c>
      <c r="AZ296">
        <v>0</v>
      </c>
      <c r="BA296">
        <v>301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Y296*Source!I119</f>
        <v>12.7102</v>
      </c>
      <c r="CY296">
        <f>AD296</f>
        <v>51.26</v>
      </c>
      <c r="CZ296">
        <f>AH296</f>
        <v>7.19</v>
      </c>
      <c r="DA296">
        <f>AL296</f>
        <v>7.13</v>
      </c>
      <c r="DB296">
        <f>ROUND(ROUND(AT296*CZ296,2),2)</f>
        <v>7.41</v>
      </c>
      <c r="DC296">
        <f>ROUND(ROUND(AT296*AG296,2),2)</f>
        <v>0</v>
      </c>
    </row>
    <row r="297" spans="1:107" x14ac:dyDescent="0.2">
      <c r="A297">
        <f>ROW(Source!A119)</f>
        <v>119</v>
      </c>
      <c r="B297">
        <v>16630606</v>
      </c>
      <c r="C297">
        <v>16631811</v>
      </c>
      <c r="D297">
        <v>15170984</v>
      </c>
      <c r="E297">
        <v>1</v>
      </c>
      <c r="F297">
        <v>1</v>
      </c>
      <c r="G297">
        <v>1</v>
      </c>
      <c r="H297">
        <v>3</v>
      </c>
      <c r="I297" t="s">
        <v>1414</v>
      </c>
      <c r="J297" t="s">
        <v>1415</v>
      </c>
      <c r="K297" t="s">
        <v>1416</v>
      </c>
      <c r="L297">
        <v>1355</v>
      </c>
      <c r="N297">
        <v>1010</v>
      </c>
      <c r="O297" t="s">
        <v>243</v>
      </c>
      <c r="P297" t="s">
        <v>243</v>
      </c>
      <c r="Q297">
        <v>100</v>
      </c>
      <c r="W297">
        <v>0</v>
      </c>
      <c r="X297">
        <v>1092967459</v>
      </c>
      <c r="Y297">
        <v>0.2</v>
      </c>
      <c r="AA297">
        <v>584.66</v>
      </c>
      <c r="AB297">
        <v>0</v>
      </c>
      <c r="AC297">
        <v>0</v>
      </c>
      <c r="AD297">
        <v>0</v>
      </c>
      <c r="AE297">
        <v>82</v>
      </c>
      <c r="AF297">
        <v>0</v>
      </c>
      <c r="AG297">
        <v>0</v>
      </c>
      <c r="AH297">
        <v>0</v>
      </c>
      <c r="AI297">
        <v>7.13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6</v>
      </c>
      <c r="AT297">
        <v>0.2</v>
      </c>
      <c r="AU297" t="s">
        <v>6</v>
      </c>
      <c r="AV297">
        <v>0</v>
      </c>
      <c r="AW297">
        <v>2</v>
      </c>
      <c r="AX297">
        <v>16631815</v>
      </c>
      <c r="AY297">
        <v>1</v>
      </c>
      <c r="AZ297">
        <v>0</v>
      </c>
      <c r="BA297">
        <v>302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Y297*Source!I119</f>
        <v>2.468</v>
      </c>
      <c r="CY297">
        <f>AA297</f>
        <v>584.66</v>
      </c>
      <c r="CZ297">
        <f>AE297</f>
        <v>82</v>
      </c>
      <c r="DA297">
        <f>AI297</f>
        <v>7.13</v>
      </c>
      <c r="DB297">
        <f>ROUND(ROUND(AT297*CZ297,2),2)</f>
        <v>16.399999999999999</v>
      </c>
      <c r="DC297">
        <f>ROUND(ROUND(AT297*AG297,2),2)</f>
        <v>0</v>
      </c>
    </row>
    <row r="298" spans="1:107" x14ac:dyDescent="0.2">
      <c r="A298">
        <f>ROW(Source!A159)</f>
        <v>159</v>
      </c>
      <c r="B298">
        <v>16630606</v>
      </c>
      <c r="C298">
        <v>16631818</v>
      </c>
      <c r="D298">
        <v>15442878</v>
      </c>
      <c r="E298">
        <v>1</v>
      </c>
      <c r="F298">
        <v>1</v>
      </c>
      <c r="G298">
        <v>1</v>
      </c>
      <c r="H298">
        <v>1</v>
      </c>
      <c r="I298" t="s">
        <v>1417</v>
      </c>
      <c r="J298" t="s">
        <v>6</v>
      </c>
      <c r="K298" t="s">
        <v>1418</v>
      </c>
      <c r="L298">
        <v>1191</v>
      </c>
      <c r="N298">
        <v>1013</v>
      </c>
      <c r="O298" t="s">
        <v>1148</v>
      </c>
      <c r="P298" t="s">
        <v>1148</v>
      </c>
      <c r="Q298">
        <v>1</v>
      </c>
      <c r="W298">
        <v>0</v>
      </c>
      <c r="X298">
        <v>-362667798</v>
      </c>
      <c r="Y298">
        <v>0.27</v>
      </c>
      <c r="AA298">
        <v>0</v>
      </c>
      <c r="AB298">
        <v>0</v>
      </c>
      <c r="AC298">
        <v>0</v>
      </c>
      <c r="AD298">
        <v>74.87</v>
      </c>
      <c r="AE298">
        <v>0</v>
      </c>
      <c r="AF298">
        <v>0</v>
      </c>
      <c r="AG298">
        <v>0</v>
      </c>
      <c r="AH298">
        <v>10.5</v>
      </c>
      <c r="AI298">
        <v>1</v>
      </c>
      <c r="AJ298">
        <v>1</v>
      </c>
      <c r="AK298">
        <v>1</v>
      </c>
      <c r="AL298">
        <v>7.13</v>
      </c>
      <c r="AN298">
        <v>0</v>
      </c>
      <c r="AO298">
        <v>1</v>
      </c>
      <c r="AP298">
        <v>1</v>
      </c>
      <c r="AQ298">
        <v>0</v>
      </c>
      <c r="AR298">
        <v>0</v>
      </c>
      <c r="AS298" t="s">
        <v>6</v>
      </c>
      <c r="AT298">
        <v>0.9</v>
      </c>
      <c r="AU298" t="s">
        <v>490</v>
      </c>
      <c r="AV298">
        <v>1</v>
      </c>
      <c r="AW298">
        <v>2</v>
      </c>
      <c r="AX298">
        <v>16631827</v>
      </c>
      <c r="AY298">
        <v>1</v>
      </c>
      <c r="AZ298">
        <v>0</v>
      </c>
      <c r="BA298">
        <v>303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Y298*Source!I159</f>
        <v>0.54</v>
      </c>
      <c r="CY298">
        <f>AD298</f>
        <v>74.87</v>
      </c>
      <c r="CZ298">
        <f>AH298</f>
        <v>10.5</v>
      </c>
      <c r="DA298">
        <f>AL298</f>
        <v>7.13</v>
      </c>
      <c r="DB298">
        <f>ROUND((ROUND(AT298*CZ298,2)*0.3),2)</f>
        <v>2.84</v>
      </c>
      <c r="DC298">
        <f>ROUND((ROUND(AT298*AG298,2)*0.3),2)</f>
        <v>0</v>
      </c>
    </row>
    <row r="299" spans="1:107" x14ac:dyDescent="0.2">
      <c r="A299">
        <f>ROW(Source!A159)</f>
        <v>159</v>
      </c>
      <c r="B299">
        <v>16630606</v>
      </c>
      <c r="C299">
        <v>16631818</v>
      </c>
      <c r="D299">
        <v>15430395</v>
      </c>
      <c r="E299">
        <v>1</v>
      </c>
      <c r="F299">
        <v>1</v>
      </c>
      <c r="G299">
        <v>1</v>
      </c>
      <c r="H299">
        <v>1</v>
      </c>
      <c r="I299" t="s">
        <v>1149</v>
      </c>
      <c r="J299" t="s">
        <v>6</v>
      </c>
      <c r="K299" t="s">
        <v>1150</v>
      </c>
      <c r="L299">
        <v>1191</v>
      </c>
      <c r="N299">
        <v>1013</v>
      </c>
      <c r="O299" t="s">
        <v>1148</v>
      </c>
      <c r="P299" t="s">
        <v>1148</v>
      </c>
      <c r="Q299">
        <v>1</v>
      </c>
      <c r="W299">
        <v>0</v>
      </c>
      <c r="X299">
        <v>-1417349443</v>
      </c>
      <c r="Y299">
        <v>0.2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1</v>
      </c>
      <c r="AJ299">
        <v>1</v>
      </c>
      <c r="AK299">
        <v>7.13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6</v>
      </c>
      <c r="AT299">
        <v>0.2</v>
      </c>
      <c r="AU299" t="s">
        <v>6</v>
      </c>
      <c r="AV299">
        <v>2</v>
      </c>
      <c r="AW299">
        <v>2</v>
      </c>
      <c r="AX299">
        <v>16631828</v>
      </c>
      <c r="AY299">
        <v>1</v>
      </c>
      <c r="AZ299">
        <v>2048</v>
      </c>
      <c r="BA299">
        <v>304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Y299*Source!I159</f>
        <v>0.4</v>
      </c>
      <c r="CY299">
        <f>AD299</f>
        <v>0</v>
      </c>
      <c r="CZ299">
        <f>AH299</f>
        <v>0</v>
      </c>
      <c r="DA299">
        <f>AL299</f>
        <v>1</v>
      </c>
      <c r="DB299">
        <f>ROUND(ROUND(AT299*CZ299,2),2)</f>
        <v>0</v>
      </c>
      <c r="DC299">
        <f>ROUND(ROUND(AT299*AG299,2),2)</f>
        <v>0</v>
      </c>
    </row>
    <row r="300" spans="1:107" x14ac:dyDescent="0.2">
      <c r="A300">
        <f>ROW(Source!A159)</f>
        <v>159</v>
      </c>
      <c r="B300">
        <v>16630606</v>
      </c>
      <c r="C300">
        <v>16631818</v>
      </c>
      <c r="D300">
        <v>15247680</v>
      </c>
      <c r="E300">
        <v>1</v>
      </c>
      <c r="F300">
        <v>1</v>
      </c>
      <c r="G300">
        <v>1</v>
      </c>
      <c r="H300">
        <v>2</v>
      </c>
      <c r="I300" t="s">
        <v>1419</v>
      </c>
      <c r="J300" t="s">
        <v>1420</v>
      </c>
      <c r="K300" t="s">
        <v>1421</v>
      </c>
      <c r="L300">
        <v>1368</v>
      </c>
      <c r="N300">
        <v>1011</v>
      </c>
      <c r="O300" t="s">
        <v>1154</v>
      </c>
      <c r="P300" t="s">
        <v>1154</v>
      </c>
      <c r="Q300">
        <v>1</v>
      </c>
      <c r="W300">
        <v>0</v>
      </c>
      <c r="X300">
        <v>-1718674368</v>
      </c>
      <c r="Y300">
        <v>0.03</v>
      </c>
      <c r="AA300">
        <v>0</v>
      </c>
      <c r="AB300">
        <v>798.49</v>
      </c>
      <c r="AC300">
        <v>13.5</v>
      </c>
      <c r="AD300">
        <v>0</v>
      </c>
      <c r="AE300">
        <v>0</v>
      </c>
      <c r="AF300">
        <v>111.99</v>
      </c>
      <c r="AG300">
        <v>13.5</v>
      </c>
      <c r="AH300">
        <v>0</v>
      </c>
      <c r="AI300">
        <v>1</v>
      </c>
      <c r="AJ300">
        <v>7.13</v>
      </c>
      <c r="AK300">
        <v>1</v>
      </c>
      <c r="AL300">
        <v>1</v>
      </c>
      <c r="AN300">
        <v>0</v>
      </c>
      <c r="AO300">
        <v>1</v>
      </c>
      <c r="AP300">
        <v>1</v>
      </c>
      <c r="AQ300">
        <v>0</v>
      </c>
      <c r="AR300">
        <v>0</v>
      </c>
      <c r="AS300" t="s">
        <v>6</v>
      </c>
      <c r="AT300">
        <v>0.1</v>
      </c>
      <c r="AU300" t="s">
        <v>490</v>
      </c>
      <c r="AV300">
        <v>0</v>
      </c>
      <c r="AW300">
        <v>2</v>
      </c>
      <c r="AX300">
        <v>16631829</v>
      </c>
      <c r="AY300">
        <v>1</v>
      </c>
      <c r="AZ300">
        <v>0</v>
      </c>
      <c r="BA300">
        <v>305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Y300*Source!I159</f>
        <v>0.06</v>
      </c>
      <c r="CY300">
        <f>AB300</f>
        <v>798.49</v>
      </c>
      <c r="CZ300">
        <f>AF300</f>
        <v>111.99</v>
      </c>
      <c r="DA300">
        <f>AJ300</f>
        <v>7.13</v>
      </c>
      <c r="DB300">
        <f>ROUND((ROUND(AT300*CZ300,2)*0.3),2)</f>
        <v>3.36</v>
      </c>
      <c r="DC300">
        <f>ROUND((ROUND(AT300*AG300,2)*0.3),2)</f>
        <v>0.41</v>
      </c>
    </row>
    <row r="301" spans="1:107" x14ac:dyDescent="0.2">
      <c r="A301">
        <f>ROW(Source!A159)</f>
        <v>159</v>
      </c>
      <c r="B301">
        <v>16630606</v>
      </c>
      <c r="C301">
        <v>16631818</v>
      </c>
      <c r="D301">
        <v>15249073</v>
      </c>
      <c r="E301">
        <v>1</v>
      </c>
      <c r="F301">
        <v>1</v>
      </c>
      <c r="G301">
        <v>1</v>
      </c>
      <c r="H301">
        <v>2</v>
      </c>
      <c r="I301" t="s">
        <v>1157</v>
      </c>
      <c r="J301" t="s">
        <v>1158</v>
      </c>
      <c r="K301" t="s">
        <v>1159</v>
      </c>
      <c r="L301">
        <v>1368</v>
      </c>
      <c r="N301">
        <v>1011</v>
      </c>
      <c r="O301" t="s">
        <v>1154</v>
      </c>
      <c r="P301" t="s">
        <v>1154</v>
      </c>
      <c r="Q301">
        <v>1</v>
      </c>
      <c r="W301">
        <v>0</v>
      </c>
      <c r="X301">
        <v>1372534845</v>
      </c>
      <c r="Y301">
        <v>0.03</v>
      </c>
      <c r="AA301">
        <v>0</v>
      </c>
      <c r="AB301">
        <v>468.51</v>
      </c>
      <c r="AC301">
        <v>11.6</v>
      </c>
      <c r="AD301">
        <v>0</v>
      </c>
      <c r="AE301">
        <v>0</v>
      </c>
      <c r="AF301">
        <v>65.709999999999994</v>
      </c>
      <c r="AG301">
        <v>11.6</v>
      </c>
      <c r="AH301">
        <v>0</v>
      </c>
      <c r="AI301">
        <v>1</v>
      </c>
      <c r="AJ301">
        <v>7.13</v>
      </c>
      <c r="AK301">
        <v>1</v>
      </c>
      <c r="AL301">
        <v>1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6</v>
      </c>
      <c r="AT301">
        <v>0.1</v>
      </c>
      <c r="AU301" t="s">
        <v>490</v>
      </c>
      <c r="AV301">
        <v>0</v>
      </c>
      <c r="AW301">
        <v>2</v>
      </c>
      <c r="AX301">
        <v>16631830</v>
      </c>
      <c r="AY301">
        <v>1</v>
      </c>
      <c r="AZ301">
        <v>0</v>
      </c>
      <c r="BA301">
        <v>306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Y301*Source!I159</f>
        <v>0.06</v>
      </c>
      <c r="CY301">
        <f>AB301</f>
        <v>468.51</v>
      </c>
      <c r="CZ301">
        <f>AF301</f>
        <v>65.709999999999994</v>
      </c>
      <c r="DA301">
        <f>AJ301</f>
        <v>7.13</v>
      </c>
      <c r="DB301">
        <f>ROUND((ROUND(AT301*CZ301,2)*0.3),2)</f>
        <v>1.97</v>
      </c>
      <c r="DC301">
        <f>ROUND((ROUND(AT301*AG301,2)*0.3),2)</f>
        <v>0.35</v>
      </c>
    </row>
    <row r="302" spans="1:107" x14ac:dyDescent="0.2">
      <c r="A302">
        <f>ROW(Source!A159)</f>
        <v>159</v>
      </c>
      <c r="B302">
        <v>16630606</v>
      </c>
      <c r="C302">
        <v>16631818</v>
      </c>
      <c r="D302">
        <v>15167588</v>
      </c>
      <c r="E302">
        <v>1</v>
      </c>
      <c r="F302">
        <v>1</v>
      </c>
      <c r="G302">
        <v>1</v>
      </c>
      <c r="H302">
        <v>3</v>
      </c>
      <c r="I302" t="s">
        <v>1422</v>
      </c>
      <c r="J302" t="s">
        <v>1423</v>
      </c>
      <c r="K302" t="s">
        <v>1424</v>
      </c>
      <c r="L302">
        <v>1346</v>
      </c>
      <c r="N302">
        <v>1009</v>
      </c>
      <c r="O302" t="s">
        <v>102</v>
      </c>
      <c r="P302" t="s">
        <v>102</v>
      </c>
      <c r="Q302">
        <v>1</v>
      </c>
      <c r="W302">
        <v>0</v>
      </c>
      <c r="X302">
        <v>-1088866022</v>
      </c>
      <c r="Y302">
        <v>0</v>
      </c>
      <c r="AA302">
        <v>216.75</v>
      </c>
      <c r="AB302">
        <v>0</v>
      </c>
      <c r="AC302">
        <v>0</v>
      </c>
      <c r="AD302">
        <v>0</v>
      </c>
      <c r="AE302">
        <v>30.4</v>
      </c>
      <c r="AF302">
        <v>0</v>
      </c>
      <c r="AG302">
        <v>0</v>
      </c>
      <c r="AH302">
        <v>0</v>
      </c>
      <c r="AI302">
        <v>7.13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1</v>
      </c>
      <c r="AQ302">
        <v>0</v>
      </c>
      <c r="AR302">
        <v>0</v>
      </c>
      <c r="AS302" t="s">
        <v>6</v>
      </c>
      <c r="AT302">
        <v>0.01</v>
      </c>
      <c r="AU302" t="s">
        <v>30</v>
      </c>
      <c r="AV302">
        <v>0</v>
      </c>
      <c r="AW302">
        <v>2</v>
      </c>
      <c r="AX302">
        <v>16631831</v>
      </c>
      <c r="AY302">
        <v>1</v>
      </c>
      <c r="AZ302">
        <v>0</v>
      </c>
      <c r="BA302">
        <v>307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Y302*Source!I159</f>
        <v>0</v>
      </c>
      <c r="CY302">
        <f>AA302</f>
        <v>216.75</v>
      </c>
      <c r="CZ302">
        <f>AE302</f>
        <v>30.4</v>
      </c>
      <c r="DA302">
        <f>AI302</f>
        <v>7.13</v>
      </c>
      <c r="DB302">
        <f>ROUND((ROUND(AT302*CZ302,2)*0),2)</f>
        <v>0</v>
      </c>
      <c r="DC302">
        <f>ROUND((ROUND(AT302*AG302,2)*0),2)</f>
        <v>0</v>
      </c>
    </row>
    <row r="303" spans="1:107" x14ac:dyDescent="0.2">
      <c r="A303">
        <f>ROW(Source!A159)</f>
        <v>159</v>
      </c>
      <c r="B303">
        <v>16630606</v>
      </c>
      <c r="C303">
        <v>16631818</v>
      </c>
      <c r="D303">
        <v>15169942</v>
      </c>
      <c r="E303">
        <v>1</v>
      </c>
      <c r="F303">
        <v>1</v>
      </c>
      <c r="G303">
        <v>1</v>
      </c>
      <c r="H303">
        <v>3</v>
      </c>
      <c r="I303" t="s">
        <v>1425</v>
      </c>
      <c r="J303" t="s">
        <v>1426</v>
      </c>
      <c r="K303" t="s">
        <v>1427</v>
      </c>
      <c r="L303">
        <v>1346</v>
      </c>
      <c r="N303">
        <v>1009</v>
      </c>
      <c r="O303" t="s">
        <v>102</v>
      </c>
      <c r="P303" t="s">
        <v>102</v>
      </c>
      <c r="Q303">
        <v>1</v>
      </c>
      <c r="W303">
        <v>0</v>
      </c>
      <c r="X303">
        <v>103900845</v>
      </c>
      <c r="Y303">
        <v>0</v>
      </c>
      <c r="AA303">
        <v>64.459999999999994</v>
      </c>
      <c r="AB303">
        <v>0</v>
      </c>
      <c r="AC303">
        <v>0</v>
      </c>
      <c r="AD303">
        <v>0</v>
      </c>
      <c r="AE303">
        <v>9.0399999999999991</v>
      </c>
      <c r="AF303">
        <v>0</v>
      </c>
      <c r="AG303">
        <v>0</v>
      </c>
      <c r="AH303">
        <v>0</v>
      </c>
      <c r="AI303">
        <v>7.13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6</v>
      </c>
      <c r="AT303">
        <v>0.3</v>
      </c>
      <c r="AU303" t="s">
        <v>30</v>
      </c>
      <c r="AV303">
        <v>0</v>
      </c>
      <c r="AW303">
        <v>2</v>
      </c>
      <c r="AX303">
        <v>16631832</v>
      </c>
      <c r="AY303">
        <v>1</v>
      </c>
      <c r="AZ303">
        <v>0</v>
      </c>
      <c r="BA303">
        <v>308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Y303*Source!I159</f>
        <v>0</v>
      </c>
      <c r="CY303">
        <f>AA303</f>
        <v>64.459999999999994</v>
      </c>
      <c r="CZ303">
        <f>AE303</f>
        <v>9.0399999999999991</v>
      </c>
      <c r="DA303">
        <f>AI303</f>
        <v>7.13</v>
      </c>
      <c r="DB303">
        <f>ROUND((ROUND(AT303*CZ303,2)*0),2)</f>
        <v>0</v>
      </c>
      <c r="DC303">
        <f>ROUND((ROUND(AT303*AG303,2)*0),2)</f>
        <v>0</v>
      </c>
    </row>
    <row r="304" spans="1:107" x14ac:dyDescent="0.2">
      <c r="A304">
        <f>ROW(Source!A159)</f>
        <v>159</v>
      </c>
      <c r="B304">
        <v>16630606</v>
      </c>
      <c r="C304">
        <v>16631818</v>
      </c>
      <c r="D304">
        <v>15191488</v>
      </c>
      <c r="E304">
        <v>1</v>
      </c>
      <c r="F304">
        <v>1</v>
      </c>
      <c r="G304">
        <v>1</v>
      </c>
      <c r="H304">
        <v>3</v>
      </c>
      <c r="I304" t="s">
        <v>1428</v>
      </c>
      <c r="J304" t="s">
        <v>1429</v>
      </c>
      <c r="K304" t="s">
        <v>1430</v>
      </c>
      <c r="L304">
        <v>1348</v>
      </c>
      <c r="N304">
        <v>1009</v>
      </c>
      <c r="O304" t="s">
        <v>98</v>
      </c>
      <c r="P304" t="s">
        <v>98</v>
      </c>
      <c r="Q304">
        <v>1000</v>
      </c>
      <c r="W304">
        <v>0</v>
      </c>
      <c r="X304">
        <v>-1598896989</v>
      </c>
      <c r="Y304">
        <v>0</v>
      </c>
      <c r="AA304">
        <v>35650</v>
      </c>
      <c r="AB304">
        <v>0</v>
      </c>
      <c r="AC304">
        <v>0</v>
      </c>
      <c r="AD304">
        <v>0</v>
      </c>
      <c r="AE304">
        <v>5000</v>
      </c>
      <c r="AF304">
        <v>0</v>
      </c>
      <c r="AG304">
        <v>0</v>
      </c>
      <c r="AH304">
        <v>0</v>
      </c>
      <c r="AI304">
        <v>7.13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6</v>
      </c>
      <c r="AT304">
        <v>5.9999999999999995E-4</v>
      </c>
      <c r="AU304" t="s">
        <v>30</v>
      </c>
      <c r="AV304">
        <v>0</v>
      </c>
      <c r="AW304">
        <v>2</v>
      </c>
      <c r="AX304">
        <v>16631833</v>
      </c>
      <c r="AY304">
        <v>1</v>
      </c>
      <c r="AZ304">
        <v>0</v>
      </c>
      <c r="BA304">
        <v>309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Y304*Source!I159</f>
        <v>0</v>
      </c>
      <c r="CY304">
        <f>AA304</f>
        <v>35650</v>
      </c>
      <c r="CZ304">
        <f>AE304</f>
        <v>5000</v>
      </c>
      <c r="DA304">
        <f>AI304</f>
        <v>7.13</v>
      </c>
      <c r="DB304">
        <f>ROUND((ROUND(AT304*CZ304,2)*0),2)</f>
        <v>0</v>
      </c>
      <c r="DC304">
        <f>ROUND((ROUND(AT304*AG304,2)*0),2)</f>
        <v>0</v>
      </c>
    </row>
    <row r="305" spans="1:107" x14ac:dyDescent="0.2">
      <c r="A305">
        <f>ROW(Source!A159)</f>
        <v>159</v>
      </c>
      <c r="B305">
        <v>16630606</v>
      </c>
      <c r="C305">
        <v>16631818</v>
      </c>
      <c r="D305">
        <v>15164559</v>
      </c>
      <c r="E305">
        <v>17</v>
      </c>
      <c r="F305">
        <v>1</v>
      </c>
      <c r="G305">
        <v>1</v>
      </c>
      <c r="H305">
        <v>3</v>
      </c>
      <c r="I305" t="s">
        <v>1431</v>
      </c>
      <c r="J305" t="s">
        <v>6</v>
      </c>
      <c r="K305" t="s">
        <v>1432</v>
      </c>
      <c r="L305">
        <v>1374</v>
      </c>
      <c r="N305">
        <v>1013</v>
      </c>
      <c r="O305" t="s">
        <v>1433</v>
      </c>
      <c r="P305" t="s">
        <v>1433</v>
      </c>
      <c r="Q305">
        <v>1</v>
      </c>
      <c r="W305">
        <v>0</v>
      </c>
      <c r="X305">
        <v>-1731369543</v>
      </c>
      <c r="Y305">
        <v>0</v>
      </c>
      <c r="AA305">
        <v>1</v>
      </c>
      <c r="AB305">
        <v>0</v>
      </c>
      <c r="AC305">
        <v>0</v>
      </c>
      <c r="AD305">
        <v>0</v>
      </c>
      <c r="AE305">
        <v>1</v>
      </c>
      <c r="AF305">
        <v>0</v>
      </c>
      <c r="AG305">
        <v>0</v>
      </c>
      <c r="AH305">
        <v>0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1</v>
      </c>
      <c r="AQ305">
        <v>0</v>
      </c>
      <c r="AR305">
        <v>0</v>
      </c>
      <c r="AS305" t="s">
        <v>6</v>
      </c>
      <c r="AT305">
        <v>0.19</v>
      </c>
      <c r="AU305" t="s">
        <v>30</v>
      </c>
      <c r="AV305">
        <v>0</v>
      </c>
      <c r="AW305">
        <v>2</v>
      </c>
      <c r="AX305">
        <v>16631834</v>
      </c>
      <c r="AY305">
        <v>1</v>
      </c>
      <c r="AZ305">
        <v>0</v>
      </c>
      <c r="BA305">
        <v>310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Y305*Source!I159</f>
        <v>0</v>
      </c>
      <c r="CY305">
        <f>AA305</f>
        <v>1</v>
      </c>
      <c r="CZ305">
        <f>AE305</f>
        <v>1</v>
      </c>
      <c r="DA305">
        <f>AI305</f>
        <v>1</v>
      </c>
      <c r="DB305">
        <f>ROUND((ROUND(AT305*CZ305,2)*0),2)</f>
        <v>0</v>
      </c>
      <c r="DC305">
        <f>ROUND((ROUND(AT305*AG305,2)*0),2)</f>
        <v>0</v>
      </c>
    </row>
    <row r="306" spans="1:107" x14ac:dyDescent="0.2">
      <c r="A306">
        <f>ROW(Source!A160)</f>
        <v>160</v>
      </c>
      <c r="B306">
        <v>16630606</v>
      </c>
      <c r="C306">
        <v>16631835</v>
      </c>
      <c r="D306">
        <v>15430767</v>
      </c>
      <c r="E306">
        <v>1</v>
      </c>
      <c r="F306">
        <v>1</v>
      </c>
      <c r="G306">
        <v>1</v>
      </c>
      <c r="H306">
        <v>1</v>
      </c>
      <c r="I306" t="s">
        <v>1171</v>
      </c>
      <c r="J306" t="s">
        <v>6</v>
      </c>
      <c r="K306" t="s">
        <v>1172</v>
      </c>
      <c r="L306">
        <v>1191</v>
      </c>
      <c r="N306">
        <v>1013</v>
      </c>
      <c r="O306" t="s">
        <v>1148</v>
      </c>
      <c r="P306" t="s">
        <v>1148</v>
      </c>
      <c r="Q306">
        <v>1</v>
      </c>
      <c r="W306">
        <v>0</v>
      </c>
      <c r="X306">
        <v>-400197608</v>
      </c>
      <c r="Y306">
        <v>25.72</v>
      </c>
      <c r="AA306">
        <v>0</v>
      </c>
      <c r="AB306">
        <v>0</v>
      </c>
      <c r="AC306">
        <v>0</v>
      </c>
      <c r="AD306">
        <v>60.82</v>
      </c>
      <c r="AE306">
        <v>0</v>
      </c>
      <c r="AF306">
        <v>0</v>
      </c>
      <c r="AG306">
        <v>0</v>
      </c>
      <c r="AH306">
        <v>8.5299999999999994</v>
      </c>
      <c r="AI306">
        <v>1</v>
      </c>
      <c r="AJ306">
        <v>1</v>
      </c>
      <c r="AK306">
        <v>1</v>
      </c>
      <c r="AL306">
        <v>7.13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6</v>
      </c>
      <c r="AT306">
        <v>25.72</v>
      </c>
      <c r="AU306" t="s">
        <v>6</v>
      </c>
      <c r="AV306">
        <v>1</v>
      </c>
      <c r="AW306">
        <v>2</v>
      </c>
      <c r="AX306">
        <v>16631839</v>
      </c>
      <c r="AY306">
        <v>1</v>
      </c>
      <c r="AZ306">
        <v>0</v>
      </c>
      <c r="BA306">
        <v>311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Y306*Source!I160</f>
        <v>0.51439999999999997</v>
      </c>
      <c r="CY306">
        <f>AD306</f>
        <v>60.82</v>
      </c>
      <c r="CZ306">
        <f>AH306</f>
        <v>8.5299999999999994</v>
      </c>
      <c r="DA306">
        <f>AL306</f>
        <v>7.13</v>
      </c>
      <c r="DB306">
        <f>ROUND(ROUND(AT306*CZ306,2),2)</f>
        <v>219.39</v>
      </c>
      <c r="DC306">
        <f>ROUND(ROUND(AT306*AG306,2),2)</f>
        <v>0</v>
      </c>
    </row>
    <row r="307" spans="1:107" x14ac:dyDescent="0.2">
      <c r="A307">
        <f>ROW(Source!A160)</f>
        <v>160</v>
      </c>
      <c r="B307">
        <v>16630606</v>
      </c>
      <c r="C307">
        <v>16631835</v>
      </c>
      <c r="D307">
        <v>15430395</v>
      </c>
      <c r="E307">
        <v>1</v>
      </c>
      <c r="F307">
        <v>1</v>
      </c>
      <c r="G307">
        <v>1</v>
      </c>
      <c r="H307">
        <v>1</v>
      </c>
      <c r="I307" t="s">
        <v>1149</v>
      </c>
      <c r="J307" t="s">
        <v>6</v>
      </c>
      <c r="K307" t="s">
        <v>1150</v>
      </c>
      <c r="L307">
        <v>1191</v>
      </c>
      <c r="N307">
        <v>1013</v>
      </c>
      <c r="O307" t="s">
        <v>1148</v>
      </c>
      <c r="P307" t="s">
        <v>1148</v>
      </c>
      <c r="Q307">
        <v>1</v>
      </c>
      <c r="W307">
        <v>0</v>
      </c>
      <c r="X307">
        <v>-1417349443</v>
      </c>
      <c r="Y307">
        <v>7.0000000000000007E-2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1</v>
      </c>
      <c r="AJ307">
        <v>1</v>
      </c>
      <c r="AK307">
        <v>7.13</v>
      </c>
      <c r="AL307">
        <v>1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6</v>
      </c>
      <c r="AT307">
        <v>7.0000000000000007E-2</v>
      </c>
      <c r="AU307" t="s">
        <v>6</v>
      </c>
      <c r="AV307">
        <v>2</v>
      </c>
      <c r="AW307">
        <v>2</v>
      </c>
      <c r="AX307">
        <v>16631840</v>
      </c>
      <c r="AY307">
        <v>1</v>
      </c>
      <c r="AZ307">
        <v>0</v>
      </c>
      <c r="BA307">
        <v>312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Y307*Source!I160</f>
        <v>1.4000000000000002E-3</v>
      </c>
      <c r="CY307">
        <f>AD307</f>
        <v>0</v>
      </c>
      <c r="CZ307">
        <f>AH307</f>
        <v>0</v>
      </c>
      <c r="DA307">
        <f>AL307</f>
        <v>1</v>
      </c>
      <c r="DB307">
        <f>ROUND(ROUND(AT307*CZ307,2),2)</f>
        <v>0</v>
      </c>
      <c r="DC307">
        <f>ROUND(ROUND(AT307*AG307,2),2)</f>
        <v>0</v>
      </c>
    </row>
    <row r="308" spans="1:107" x14ac:dyDescent="0.2">
      <c r="A308">
        <f>ROW(Source!A160)</f>
        <v>160</v>
      </c>
      <c r="B308">
        <v>16630606</v>
      </c>
      <c r="C308">
        <v>16631835</v>
      </c>
      <c r="D308">
        <v>15247974</v>
      </c>
      <c r="E308">
        <v>1</v>
      </c>
      <c r="F308">
        <v>1</v>
      </c>
      <c r="G308">
        <v>1</v>
      </c>
      <c r="H308">
        <v>2</v>
      </c>
      <c r="I308" t="s">
        <v>1151</v>
      </c>
      <c r="J308" t="s">
        <v>1152</v>
      </c>
      <c r="K308" t="s">
        <v>1153</v>
      </c>
      <c r="L308">
        <v>1368</v>
      </c>
      <c r="N308">
        <v>1011</v>
      </c>
      <c r="O308" t="s">
        <v>1154</v>
      </c>
      <c r="P308" t="s">
        <v>1154</v>
      </c>
      <c r="Q308">
        <v>1</v>
      </c>
      <c r="W308">
        <v>0</v>
      </c>
      <c r="X308">
        <v>1188625873</v>
      </c>
      <c r="Y308">
        <v>7.0000000000000007E-2</v>
      </c>
      <c r="AA308">
        <v>0</v>
      </c>
      <c r="AB308">
        <v>222.88</v>
      </c>
      <c r="AC308">
        <v>13.5</v>
      </c>
      <c r="AD308">
        <v>0</v>
      </c>
      <c r="AE308">
        <v>0</v>
      </c>
      <c r="AF308">
        <v>31.26</v>
      </c>
      <c r="AG308">
        <v>13.5</v>
      </c>
      <c r="AH308">
        <v>0</v>
      </c>
      <c r="AI308">
        <v>1</v>
      </c>
      <c r="AJ308">
        <v>7.13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6</v>
      </c>
      <c r="AT308">
        <v>7.0000000000000007E-2</v>
      </c>
      <c r="AU308" t="s">
        <v>6</v>
      </c>
      <c r="AV308">
        <v>0</v>
      </c>
      <c r="AW308">
        <v>2</v>
      </c>
      <c r="AX308">
        <v>16631841</v>
      </c>
      <c r="AY308">
        <v>1</v>
      </c>
      <c r="AZ308">
        <v>0</v>
      </c>
      <c r="BA308">
        <v>313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Y308*Source!I160</f>
        <v>1.4000000000000002E-3</v>
      </c>
      <c r="CY308">
        <f>AB308</f>
        <v>222.88</v>
      </c>
      <c r="CZ308">
        <f>AF308</f>
        <v>31.26</v>
      </c>
      <c r="DA308">
        <f>AJ308</f>
        <v>7.13</v>
      </c>
      <c r="DB308">
        <f>ROUND(ROUND(AT308*CZ308,2),2)</f>
        <v>2.19</v>
      </c>
      <c r="DC308">
        <f>ROUND(ROUND(AT308*AG308,2),2)</f>
        <v>0.95</v>
      </c>
    </row>
    <row r="309" spans="1:107" x14ac:dyDescent="0.2">
      <c r="A309">
        <f>ROW(Source!A161)</f>
        <v>161</v>
      </c>
      <c r="B309">
        <v>16630606</v>
      </c>
      <c r="C309">
        <v>16631842</v>
      </c>
      <c r="D309">
        <v>15430517</v>
      </c>
      <c r="E309">
        <v>1</v>
      </c>
      <c r="F309">
        <v>1</v>
      </c>
      <c r="G309">
        <v>1</v>
      </c>
      <c r="H309">
        <v>1</v>
      </c>
      <c r="I309" t="s">
        <v>1169</v>
      </c>
      <c r="J309" t="s">
        <v>6</v>
      </c>
      <c r="K309" t="s">
        <v>1170</v>
      </c>
      <c r="L309">
        <v>1191</v>
      </c>
      <c r="N309">
        <v>1013</v>
      </c>
      <c r="O309" t="s">
        <v>1148</v>
      </c>
      <c r="P309" t="s">
        <v>1148</v>
      </c>
      <c r="Q309">
        <v>1</v>
      </c>
      <c r="W309">
        <v>0</v>
      </c>
      <c r="X309">
        <v>735429535</v>
      </c>
      <c r="Y309">
        <v>5.84</v>
      </c>
      <c r="AA309">
        <v>0</v>
      </c>
      <c r="AB309">
        <v>0</v>
      </c>
      <c r="AC309">
        <v>0</v>
      </c>
      <c r="AD309">
        <v>55.61</v>
      </c>
      <c r="AE309">
        <v>0</v>
      </c>
      <c r="AF309">
        <v>0</v>
      </c>
      <c r="AG309">
        <v>0</v>
      </c>
      <c r="AH309">
        <v>7.8</v>
      </c>
      <c r="AI309">
        <v>1</v>
      </c>
      <c r="AJ309">
        <v>1</v>
      </c>
      <c r="AK309">
        <v>1</v>
      </c>
      <c r="AL309">
        <v>7.13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6</v>
      </c>
      <c r="AT309">
        <v>5.84</v>
      </c>
      <c r="AU309" t="s">
        <v>6</v>
      </c>
      <c r="AV309">
        <v>1</v>
      </c>
      <c r="AW309">
        <v>2</v>
      </c>
      <c r="AX309">
        <v>16631844</v>
      </c>
      <c r="AY309">
        <v>1</v>
      </c>
      <c r="AZ309">
        <v>0</v>
      </c>
      <c r="BA309">
        <v>314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Y309*Source!I161</f>
        <v>3.4455999999999998</v>
      </c>
      <c r="CY309">
        <f>AD309</f>
        <v>55.61</v>
      </c>
      <c r="CZ309">
        <f>AH309</f>
        <v>7.8</v>
      </c>
      <c r="DA309">
        <f>AL309</f>
        <v>7.13</v>
      </c>
      <c r="DB309">
        <f>ROUND(ROUND(AT309*CZ309,2),2)</f>
        <v>45.55</v>
      </c>
      <c r="DC309">
        <f>ROUND(ROUND(AT309*AG309,2),2)</f>
        <v>0</v>
      </c>
    </row>
    <row r="310" spans="1:107" x14ac:dyDescent="0.2">
      <c r="A310">
        <f>ROW(Source!A162)</f>
        <v>162</v>
      </c>
      <c r="B310">
        <v>16630606</v>
      </c>
      <c r="C310">
        <v>16631845</v>
      </c>
      <c r="D310">
        <v>15435721</v>
      </c>
      <c r="E310">
        <v>1</v>
      </c>
      <c r="F310">
        <v>1</v>
      </c>
      <c r="G310">
        <v>1</v>
      </c>
      <c r="H310">
        <v>1</v>
      </c>
      <c r="I310" t="s">
        <v>1311</v>
      </c>
      <c r="J310" t="s">
        <v>6</v>
      </c>
      <c r="K310" t="s">
        <v>1312</v>
      </c>
      <c r="L310">
        <v>1191</v>
      </c>
      <c r="N310">
        <v>1013</v>
      </c>
      <c r="O310" t="s">
        <v>1148</v>
      </c>
      <c r="P310" t="s">
        <v>1148</v>
      </c>
      <c r="Q310">
        <v>1</v>
      </c>
      <c r="W310">
        <v>0</v>
      </c>
      <c r="X310">
        <v>1983201532</v>
      </c>
      <c r="Y310">
        <v>0.46799999999999997</v>
      </c>
      <c r="AA310">
        <v>0</v>
      </c>
      <c r="AB310">
        <v>0</v>
      </c>
      <c r="AC310">
        <v>0</v>
      </c>
      <c r="AD310">
        <v>67.81</v>
      </c>
      <c r="AE310">
        <v>0</v>
      </c>
      <c r="AF310">
        <v>0</v>
      </c>
      <c r="AG310">
        <v>0</v>
      </c>
      <c r="AH310">
        <v>9.51</v>
      </c>
      <c r="AI310">
        <v>1</v>
      </c>
      <c r="AJ310">
        <v>1</v>
      </c>
      <c r="AK310">
        <v>1</v>
      </c>
      <c r="AL310">
        <v>7.13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6</v>
      </c>
      <c r="AT310">
        <v>1.56</v>
      </c>
      <c r="AU310" t="s">
        <v>490</v>
      </c>
      <c r="AV310">
        <v>1</v>
      </c>
      <c r="AW310">
        <v>2</v>
      </c>
      <c r="AX310">
        <v>16631860</v>
      </c>
      <c r="AY310">
        <v>1</v>
      </c>
      <c r="AZ310">
        <v>0</v>
      </c>
      <c r="BA310">
        <v>315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Y310*Source!I162</f>
        <v>0.93599999999999994</v>
      </c>
      <c r="CY310">
        <f>AD310</f>
        <v>67.81</v>
      </c>
      <c r="CZ310">
        <f>AH310</f>
        <v>9.51</v>
      </c>
      <c r="DA310">
        <f>AL310</f>
        <v>7.13</v>
      </c>
      <c r="DB310">
        <f>ROUND((ROUND(AT310*CZ310,2)*0.3),2)</f>
        <v>4.45</v>
      </c>
      <c r="DC310">
        <f>ROUND((ROUND(AT310*AG310,2)*0.3),2)</f>
        <v>0</v>
      </c>
    </row>
    <row r="311" spans="1:107" x14ac:dyDescent="0.2">
      <c r="A311">
        <f>ROW(Source!A162)</f>
        <v>162</v>
      </c>
      <c r="B311">
        <v>16630606</v>
      </c>
      <c r="C311">
        <v>16631845</v>
      </c>
      <c r="D311">
        <v>15249377</v>
      </c>
      <c r="E311">
        <v>1</v>
      </c>
      <c r="F311">
        <v>1</v>
      </c>
      <c r="G311">
        <v>1</v>
      </c>
      <c r="H311">
        <v>2</v>
      </c>
      <c r="I311" t="s">
        <v>1222</v>
      </c>
      <c r="J311" t="s">
        <v>1223</v>
      </c>
      <c r="K311" t="s">
        <v>1224</v>
      </c>
      <c r="L311">
        <v>1368</v>
      </c>
      <c r="N311">
        <v>1011</v>
      </c>
      <c r="O311" t="s">
        <v>1154</v>
      </c>
      <c r="P311" t="s">
        <v>1154</v>
      </c>
      <c r="Q311">
        <v>1</v>
      </c>
      <c r="W311">
        <v>0</v>
      </c>
      <c r="X311">
        <v>-353815937</v>
      </c>
      <c r="Y311">
        <v>3.9E-2</v>
      </c>
      <c r="AA311">
        <v>0</v>
      </c>
      <c r="AB311">
        <v>57.75</v>
      </c>
      <c r="AC311">
        <v>0</v>
      </c>
      <c r="AD311">
        <v>0</v>
      </c>
      <c r="AE311">
        <v>0</v>
      </c>
      <c r="AF311">
        <v>8.1</v>
      </c>
      <c r="AG311">
        <v>0</v>
      </c>
      <c r="AH311">
        <v>0</v>
      </c>
      <c r="AI311">
        <v>1</v>
      </c>
      <c r="AJ311">
        <v>7.13</v>
      </c>
      <c r="AK311">
        <v>1</v>
      </c>
      <c r="AL311">
        <v>1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6</v>
      </c>
      <c r="AT311">
        <v>0.13</v>
      </c>
      <c r="AU311" t="s">
        <v>490</v>
      </c>
      <c r="AV311">
        <v>0</v>
      </c>
      <c r="AW311">
        <v>2</v>
      </c>
      <c r="AX311">
        <v>16631861</v>
      </c>
      <c r="AY311">
        <v>1</v>
      </c>
      <c r="AZ311">
        <v>0</v>
      </c>
      <c r="BA311">
        <v>316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Y311*Source!I162</f>
        <v>7.8E-2</v>
      </c>
      <c r="CY311">
        <f>AB311</f>
        <v>57.75</v>
      </c>
      <c r="CZ311">
        <f>AF311</f>
        <v>8.1</v>
      </c>
      <c r="DA311">
        <f>AJ311</f>
        <v>7.13</v>
      </c>
      <c r="DB311">
        <f>ROUND((ROUND(AT311*CZ311,2)*0.3),2)</f>
        <v>0.32</v>
      </c>
      <c r="DC311">
        <f>ROUND((ROUND(AT311*AG311,2)*0.3),2)</f>
        <v>0</v>
      </c>
    </row>
    <row r="312" spans="1:107" x14ac:dyDescent="0.2">
      <c r="A312">
        <f>ROW(Source!A162)</f>
        <v>162</v>
      </c>
      <c r="B312">
        <v>16630606</v>
      </c>
      <c r="C312">
        <v>16631845</v>
      </c>
      <c r="D312">
        <v>15165537</v>
      </c>
      <c r="E312">
        <v>1</v>
      </c>
      <c r="F312">
        <v>1</v>
      </c>
      <c r="G312">
        <v>1</v>
      </c>
      <c r="H312">
        <v>3</v>
      </c>
      <c r="I312" t="s">
        <v>1434</v>
      </c>
      <c r="J312" t="s">
        <v>1435</v>
      </c>
      <c r="K312" t="s">
        <v>1436</v>
      </c>
      <c r="L312">
        <v>1346</v>
      </c>
      <c r="N312">
        <v>1009</v>
      </c>
      <c r="O312" t="s">
        <v>102</v>
      </c>
      <c r="P312" t="s">
        <v>102</v>
      </c>
      <c r="Q312">
        <v>1</v>
      </c>
      <c r="W312">
        <v>0</v>
      </c>
      <c r="X312">
        <v>618806536</v>
      </c>
      <c r="Y312">
        <v>0</v>
      </c>
      <c r="AA312">
        <v>320.64</v>
      </c>
      <c r="AB312">
        <v>0</v>
      </c>
      <c r="AC312">
        <v>0</v>
      </c>
      <c r="AD312">
        <v>0</v>
      </c>
      <c r="AE312">
        <v>44.97</v>
      </c>
      <c r="AF312">
        <v>0</v>
      </c>
      <c r="AG312">
        <v>0</v>
      </c>
      <c r="AH312">
        <v>0</v>
      </c>
      <c r="AI312">
        <v>7.13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1</v>
      </c>
      <c r="AQ312">
        <v>0</v>
      </c>
      <c r="AR312">
        <v>0</v>
      </c>
      <c r="AS312" t="s">
        <v>6</v>
      </c>
      <c r="AT312">
        <v>6.0000000000000001E-3</v>
      </c>
      <c r="AU312" t="s">
        <v>30</v>
      </c>
      <c r="AV312">
        <v>0</v>
      </c>
      <c r="AW312">
        <v>2</v>
      </c>
      <c r="AX312">
        <v>16631862</v>
      </c>
      <c r="AY312">
        <v>1</v>
      </c>
      <c r="AZ312">
        <v>0</v>
      </c>
      <c r="BA312">
        <v>317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Y312*Source!I162</f>
        <v>0</v>
      </c>
      <c r="CY312">
        <f t="shared" ref="CY312:CY323" si="42">AA312</f>
        <v>320.64</v>
      </c>
      <c r="CZ312">
        <f t="shared" ref="CZ312:CZ323" si="43">AE312</f>
        <v>44.97</v>
      </c>
      <c r="DA312">
        <f t="shared" ref="DA312:DA323" si="44">AI312</f>
        <v>7.13</v>
      </c>
      <c r="DB312">
        <f t="shared" ref="DB312:DB323" si="45">ROUND((ROUND(AT312*CZ312,2)*0),2)</f>
        <v>0</v>
      </c>
      <c r="DC312">
        <f t="shared" ref="DC312:DC323" si="46">ROUND((ROUND(AT312*AG312,2)*0),2)</f>
        <v>0</v>
      </c>
    </row>
    <row r="313" spans="1:107" x14ac:dyDescent="0.2">
      <c r="A313">
        <f>ROW(Source!A162)</f>
        <v>162</v>
      </c>
      <c r="B313">
        <v>16630606</v>
      </c>
      <c r="C313">
        <v>16631845</v>
      </c>
      <c r="D313">
        <v>15167269</v>
      </c>
      <c r="E313">
        <v>1</v>
      </c>
      <c r="F313">
        <v>1</v>
      </c>
      <c r="G313">
        <v>1</v>
      </c>
      <c r="H313">
        <v>3</v>
      </c>
      <c r="I313" t="s">
        <v>1437</v>
      </c>
      <c r="J313" t="s">
        <v>1438</v>
      </c>
      <c r="K313" t="s">
        <v>1439</v>
      </c>
      <c r="L313">
        <v>1346</v>
      </c>
      <c r="N313">
        <v>1009</v>
      </c>
      <c r="O313" t="s">
        <v>102</v>
      </c>
      <c r="P313" t="s">
        <v>102</v>
      </c>
      <c r="Q313">
        <v>1</v>
      </c>
      <c r="W313">
        <v>0</v>
      </c>
      <c r="X313">
        <v>56922527</v>
      </c>
      <c r="Y313">
        <v>0</v>
      </c>
      <c r="AA313">
        <v>82</v>
      </c>
      <c r="AB313">
        <v>0</v>
      </c>
      <c r="AC313">
        <v>0</v>
      </c>
      <c r="AD313">
        <v>0</v>
      </c>
      <c r="AE313">
        <v>11.5</v>
      </c>
      <c r="AF313">
        <v>0</v>
      </c>
      <c r="AG313">
        <v>0</v>
      </c>
      <c r="AH313">
        <v>0</v>
      </c>
      <c r="AI313">
        <v>7.13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1</v>
      </c>
      <c r="AQ313">
        <v>0</v>
      </c>
      <c r="AR313">
        <v>0</v>
      </c>
      <c r="AS313" t="s">
        <v>6</v>
      </c>
      <c r="AT313">
        <v>1E-3</v>
      </c>
      <c r="AU313" t="s">
        <v>30</v>
      </c>
      <c r="AV313">
        <v>0</v>
      </c>
      <c r="AW313">
        <v>2</v>
      </c>
      <c r="AX313">
        <v>16631863</v>
      </c>
      <c r="AY313">
        <v>1</v>
      </c>
      <c r="AZ313">
        <v>0</v>
      </c>
      <c r="BA313">
        <v>318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Y313*Source!I162</f>
        <v>0</v>
      </c>
      <c r="CY313">
        <f t="shared" si="42"/>
        <v>82</v>
      </c>
      <c r="CZ313">
        <f t="shared" si="43"/>
        <v>11.5</v>
      </c>
      <c r="DA313">
        <f t="shared" si="44"/>
        <v>7.13</v>
      </c>
      <c r="DB313">
        <f t="shared" si="45"/>
        <v>0</v>
      </c>
      <c r="DC313">
        <f t="shared" si="46"/>
        <v>0</v>
      </c>
    </row>
    <row r="314" spans="1:107" x14ac:dyDescent="0.2">
      <c r="A314">
        <f>ROW(Source!A162)</f>
        <v>162</v>
      </c>
      <c r="B314">
        <v>16630606</v>
      </c>
      <c r="C314">
        <v>16631845</v>
      </c>
      <c r="D314">
        <v>15167588</v>
      </c>
      <c r="E314">
        <v>1</v>
      </c>
      <c r="F314">
        <v>1</v>
      </c>
      <c r="G314">
        <v>1</v>
      </c>
      <c r="H314">
        <v>3</v>
      </c>
      <c r="I314" t="s">
        <v>1422</v>
      </c>
      <c r="J314" t="s">
        <v>1423</v>
      </c>
      <c r="K314" t="s">
        <v>1424</v>
      </c>
      <c r="L314">
        <v>1346</v>
      </c>
      <c r="N314">
        <v>1009</v>
      </c>
      <c r="O314" t="s">
        <v>102</v>
      </c>
      <c r="P314" t="s">
        <v>102</v>
      </c>
      <c r="Q314">
        <v>1</v>
      </c>
      <c r="W314">
        <v>0</v>
      </c>
      <c r="X314">
        <v>-1088866022</v>
      </c>
      <c r="Y314">
        <v>0</v>
      </c>
      <c r="AA314">
        <v>216.75</v>
      </c>
      <c r="AB314">
        <v>0</v>
      </c>
      <c r="AC314">
        <v>0</v>
      </c>
      <c r="AD314">
        <v>0</v>
      </c>
      <c r="AE314">
        <v>30.4</v>
      </c>
      <c r="AF314">
        <v>0</v>
      </c>
      <c r="AG314">
        <v>0</v>
      </c>
      <c r="AH314">
        <v>0</v>
      </c>
      <c r="AI314">
        <v>7.13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1</v>
      </c>
      <c r="AQ314">
        <v>0</v>
      </c>
      <c r="AR314">
        <v>0</v>
      </c>
      <c r="AS314" t="s">
        <v>6</v>
      </c>
      <c r="AT314">
        <v>1.2E-2</v>
      </c>
      <c r="AU314" t="s">
        <v>30</v>
      </c>
      <c r="AV314">
        <v>0</v>
      </c>
      <c r="AW314">
        <v>2</v>
      </c>
      <c r="AX314">
        <v>16631864</v>
      </c>
      <c r="AY314">
        <v>1</v>
      </c>
      <c r="AZ314">
        <v>0</v>
      </c>
      <c r="BA314">
        <v>319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Y314*Source!I162</f>
        <v>0</v>
      </c>
      <c r="CY314">
        <f t="shared" si="42"/>
        <v>216.75</v>
      </c>
      <c r="CZ314">
        <f t="shared" si="43"/>
        <v>30.4</v>
      </c>
      <c r="DA314">
        <f t="shared" si="44"/>
        <v>7.13</v>
      </c>
      <c r="DB314">
        <f t="shared" si="45"/>
        <v>0</v>
      </c>
      <c r="DC314">
        <f t="shared" si="46"/>
        <v>0</v>
      </c>
    </row>
    <row r="315" spans="1:107" x14ac:dyDescent="0.2">
      <c r="A315">
        <f>ROW(Source!A162)</f>
        <v>162</v>
      </c>
      <c r="B315">
        <v>16630606</v>
      </c>
      <c r="C315">
        <v>16631845</v>
      </c>
      <c r="D315">
        <v>15168752</v>
      </c>
      <c r="E315">
        <v>1</v>
      </c>
      <c r="F315">
        <v>1</v>
      </c>
      <c r="G315">
        <v>1</v>
      </c>
      <c r="H315">
        <v>3</v>
      </c>
      <c r="I315" t="s">
        <v>1440</v>
      </c>
      <c r="J315" t="s">
        <v>1441</v>
      </c>
      <c r="K315" t="s">
        <v>1442</v>
      </c>
      <c r="L315">
        <v>1346</v>
      </c>
      <c r="N315">
        <v>1009</v>
      </c>
      <c r="O315" t="s">
        <v>102</v>
      </c>
      <c r="P315" t="s">
        <v>102</v>
      </c>
      <c r="Q315">
        <v>1</v>
      </c>
      <c r="W315">
        <v>0</v>
      </c>
      <c r="X315">
        <v>586013393</v>
      </c>
      <c r="Y315">
        <v>0</v>
      </c>
      <c r="AA315">
        <v>75.36</v>
      </c>
      <c r="AB315">
        <v>0</v>
      </c>
      <c r="AC315">
        <v>0</v>
      </c>
      <c r="AD315">
        <v>0</v>
      </c>
      <c r="AE315">
        <v>10.57</v>
      </c>
      <c r="AF315">
        <v>0</v>
      </c>
      <c r="AG315">
        <v>0</v>
      </c>
      <c r="AH315">
        <v>0</v>
      </c>
      <c r="AI315">
        <v>7.13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1</v>
      </c>
      <c r="AQ315">
        <v>0</v>
      </c>
      <c r="AR315">
        <v>0</v>
      </c>
      <c r="AS315" t="s">
        <v>6</v>
      </c>
      <c r="AT315">
        <v>7.0000000000000007E-2</v>
      </c>
      <c r="AU315" t="s">
        <v>30</v>
      </c>
      <c r="AV315">
        <v>0</v>
      </c>
      <c r="AW315">
        <v>2</v>
      </c>
      <c r="AX315">
        <v>16631865</v>
      </c>
      <c r="AY315">
        <v>1</v>
      </c>
      <c r="AZ315">
        <v>0</v>
      </c>
      <c r="BA315">
        <v>320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Y315*Source!I162</f>
        <v>0</v>
      </c>
      <c r="CY315">
        <f t="shared" si="42"/>
        <v>75.36</v>
      </c>
      <c r="CZ315">
        <f t="shared" si="43"/>
        <v>10.57</v>
      </c>
      <c r="DA315">
        <f t="shared" si="44"/>
        <v>7.13</v>
      </c>
      <c r="DB315">
        <f t="shared" si="45"/>
        <v>0</v>
      </c>
      <c r="DC315">
        <f t="shared" si="46"/>
        <v>0</v>
      </c>
    </row>
    <row r="316" spans="1:107" x14ac:dyDescent="0.2">
      <c r="A316">
        <f>ROW(Source!A162)</f>
        <v>162</v>
      </c>
      <c r="B316">
        <v>16630606</v>
      </c>
      <c r="C316">
        <v>16631845</v>
      </c>
      <c r="D316">
        <v>15169942</v>
      </c>
      <c r="E316">
        <v>1</v>
      </c>
      <c r="F316">
        <v>1</v>
      </c>
      <c r="G316">
        <v>1</v>
      </c>
      <c r="H316">
        <v>3</v>
      </c>
      <c r="I316" t="s">
        <v>1425</v>
      </c>
      <c r="J316" t="s">
        <v>1426</v>
      </c>
      <c r="K316" t="s">
        <v>1427</v>
      </c>
      <c r="L316">
        <v>1346</v>
      </c>
      <c r="N316">
        <v>1009</v>
      </c>
      <c r="O316" t="s">
        <v>102</v>
      </c>
      <c r="P316" t="s">
        <v>102</v>
      </c>
      <c r="Q316">
        <v>1</v>
      </c>
      <c r="W316">
        <v>0</v>
      </c>
      <c r="X316">
        <v>103900845</v>
      </c>
      <c r="Y316">
        <v>0</v>
      </c>
      <c r="AA316">
        <v>64.459999999999994</v>
      </c>
      <c r="AB316">
        <v>0</v>
      </c>
      <c r="AC316">
        <v>0</v>
      </c>
      <c r="AD316">
        <v>0</v>
      </c>
      <c r="AE316">
        <v>9.0399999999999991</v>
      </c>
      <c r="AF316">
        <v>0</v>
      </c>
      <c r="AG316">
        <v>0</v>
      </c>
      <c r="AH316">
        <v>0</v>
      </c>
      <c r="AI316">
        <v>7.13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1</v>
      </c>
      <c r="AQ316">
        <v>0</v>
      </c>
      <c r="AR316">
        <v>0</v>
      </c>
      <c r="AS316" t="s">
        <v>6</v>
      </c>
      <c r="AT316">
        <v>4.9000000000000002E-2</v>
      </c>
      <c r="AU316" t="s">
        <v>30</v>
      </c>
      <c r="AV316">
        <v>0</v>
      </c>
      <c r="AW316">
        <v>2</v>
      </c>
      <c r="AX316">
        <v>16631866</v>
      </c>
      <c r="AY316">
        <v>1</v>
      </c>
      <c r="AZ316">
        <v>0</v>
      </c>
      <c r="BA316">
        <v>321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Y316*Source!I162</f>
        <v>0</v>
      </c>
      <c r="CY316">
        <f t="shared" si="42"/>
        <v>64.459999999999994</v>
      </c>
      <c r="CZ316">
        <f t="shared" si="43"/>
        <v>9.0399999999999991</v>
      </c>
      <c r="DA316">
        <f t="shared" si="44"/>
        <v>7.13</v>
      </c>
      <c r="DB316">
        <f t="shared" si="45"/>
        <v>0</v>
      </c>
      <c r="DC316">
        <f t="shared" si="46"/>
        <v>0</v>
      </c>
    </row>
    <row r="317" spans="1:107" x14ac:dyDescent="0.2">
      <c r="A317">
        <f>ROW(Source!A162)</f>
        <v>162</v>
      </c>
      <c r="B317">
        <v>16630606</v>
      </c>
      <c r="C317">
        <v>16631845</v>
      </c>
      <c r="D317">
        <v>15170074</v>
      </c>
      <c r="E317">
        <v>1</v>
      </c>
      <c r="F317">
        <v>1</v>
      </c>
      <c r="G317">
        <v>1</v>
      </c>
      <c r="H317">
        <v>3</v>
      </c>
      <c r="I317" t="s">
        <v>1443</v>
      </c>
      <c r="J317" t="s">
        <v>1444</v>
      </c>
      <c r="K317" t="s">
        <v>1445</v>
      </c>
      <c r="L317">
        <v>1355</v>
      </c>
      <c r="N317">
        <v>1010</v>
      </c>
      <c r="O317" t="s">
        <v>243</v>
      </c>
      <c r="P317" t="s">
        <v>243</v>
      </c>
      <c r="Q317">
        <v>100</v>
      </c>
      <c r="W317">
        <v>0</v>
      </c>
      <c r="X317">
        <v>1794244060</v>
      </c>
      <c r="Y317">
        <v>0</v>
      </c>
      <c r="AA317">
        <v>613.17999999999995</v>
      </c>
      <c r="AB317">
        <v>0</v>
      </c>
      <c r="AC317">
        <v>0</v>
      </c>
      <c r="AD317">
        <v>0</v>
      </c>
      <c r="AE317">
        <v>86</v>
      </c>
      <c r="AF317">
        <v>0</v>
      </c>
      <c r="AG317">
        <v>0</v>
      </c>
      <c r="AH317">
        <v>0</v>
      </c>
      <c r="AI317">
        <v>7.13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1</v>
      </c>
      <c r="AQ317">
        <v>0</v>
      </c>
      <c r="AR317">
        <v>0</v>
      </c>
      <c r="AS317" t="s">
        <v>6</v>
      </c>
      <c r="AT317">
        <v>1.4E-2</v>
      </c>
      <c r="AU317" t="s">
        <v>30</v>
      </c>
      <c r="AV317">
        <v>0</v>
      </c>
      <c r="AW317">
        <v>2</v>
      </c>
      <c r="AX317">
        <v>16631867</v>
      </c>
      <c r="AY317">
        <v>1</v>
      </c>
      <c r="AZ317">
        <v>0</v>
      </c>
      <c r="BA317">
        <v>322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Y317*Source!I162</f>
        <v>0</v>
      </c>
      <c r="CY317">
        <f t="shared" si="42"/>
        <v>613.17999999999995</v>
      </c>
      <c r="CZ317">
        <f t="shared" si="43"/>
        <v>86</v>
      </c>
      <c r="DA317">
        <f t="shared" si="44"/>
        <v>7.13</v>
      </c>
      <c r="DB317">
        <f t="shared" si="45"/>
        <v>0</v>
      </c>
      <c r="DC317">
        <f t="shared" si="46"/>
        <v>0</v>
      </c>
    </row>
    <row r="318" spans="1:107" x14ac:dyDescent="0.2">
      <c r="A318">
        <f>ROW(Source!A162)</f>
        <v>162</v>
      </c>
      <c r="B318">
        <v>16630606</v>
      </c>
      <c r="C318">
        <v>16631845</v>
      </c>
      <c r="D318">
        <v>15170994</v>
      </c>
      <c r="E318">
        <v>1</v>
      </c>
      <c r="F318">
        <v>1</v>
      </c>
      <c r="G318">
        <v>1</v>
      </c>
      <c r="H318">
        <v>3</v>
      </c>
      <c r="I318" t="s">
        <v>1446</v>
      </c>
      <c r="J318" t="s">
        <v>1447</v>
      </c>
      <c r="K318" t="s">
        <v>1448</v>
      </c>
      <c r="L318">
        <v>1346</v>
      </c>
      <c r="N318">
        <v>1009</v>
      </c>
      <c r="O318" t="s">
        <v>102</v>
      </c>
      <c r="P318" t="s">
        <v>102</v>
      </c>
      <c r="Q318">
        <v>1</v>
      </c>
      <c r="W318">
        <v>0</v>
      </c>
      <c r="X318">
        <v>-856710481</v>
      </c>
      <c r="Y318">
        <v>0</v>
      </c>
      <c r="AA318">
        <v>948.65</v>
      </c>
      <c r="AB318">
        <v>0</v>
      </c>
      <c r="AC318">
        <v>0</v>
      </c>
      <c r="AD318">
        <v>0</v>
      </c>
      <c r="AE318">
        <v>133.05000000000001</v>
      </c>
      <c r="AF318">
        <v>0</v>
      </c>
      <c r="AG318">
        <v>0</v>
      </c>
      <c r="AH318">
        <v>0</v>
      </c>
      <c r="AI318">
        <v>7.13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1</v>
      </c>
      <c r="AQ318">
        <v>0</v>
      </c>
      <c r="AR318">
        <v>0</v>
      </c>
      <c r="AS318" t="s">
        <v>6</v>
      </c>
      <c r="AT318">
        <v>1E-3</v>
      </c>
      <c r="AU318" t="s">
        <v>30</v>
      </c>
      <c r="AV318">
        <v>0</v>
      </c>
      <c r="AW318">
        <v>2</v>
      </c>
      <c r="AX318">
        <v>16631868</v>
      </c>
      <c r="AY318">
        <v>1</v>
      </c>
      <c r="AZ318">
        <v>0</v>
      </c>
      <c r="BA318">
        <v>323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Y318*Source!I162</f>
        <v>0</v>
      </c>
      <c r="CY318">
        <f t="shared" si="42"/>
        <v>948.65</v>
      </c>
      <c r="CZ318">
        <f t="shared" si="43"/>
        <v>133.05000000000001</v>
      </c>
      <c r="DA318">
        <f t="shared" si="44"/>
        <v>7.13</v>
      </c>
      <c r="DB318">
        <f t="shared" si="45"/>
        <v>0</v>
      </c>
      <c r="DC318">
        <f t="shared" si="46"/>
        <v>0</v>
      </c>
    </row>
    <row r="319" spans="1:107" x14ac:dyDescent="0.2">
      <c r="A319">
        <f>ROW(Source!A162)</f>
        <v>162</v>
      </c>
      <c r="B319">
        <v>16630606</v>
      </c>
      <c r="C319">
        <v>16631845</v>
      </c>
      <c r="D319">
        <v>15188647</v>
      </c>
      <c r="E319">
        <v>1</v>
      </c>
      <c r="F319">
        <v>1</v>
      </c>
      <c r="G319">
        <v>1</v>
      </c>
      <c r="H319">
        <v>3</v>
      </c>
      <c r="I319" t="s">
        <v>1449</v>
      </c>
      <c r="J319" t="s">
        <v>1450</v>
      </c>
      <c r="K319" t="s">
        <v>1451</v>
      </c>
      <c r="L319">
        <v>1348</v>
      </c>
      <c r="N319">
        <v>1009</v>
      </c>
      <c r="O319" t="s">
        <v>98</v>
      </c>
      <c r="P319" t="s">
        <v>98</v>
      </c>
      <c r="Q319">
        <v>1000</v>
      </c>
      <c r="W319">
        <v>0</v>
      </c>
      <c r="X319">
        <v>426000481</v>
      </c>
      <c r="Y319">
        <v>0</v>
      </c>
      <c r="AA319">
        <v>81995</v>
      </c>
      <c r="AB319">
        <v>0</v>
      </c>
      <c r="AC319">
        <v>0</v>
      </c>
      <c r="AD319">
        <v>0</v>
      </c>
      <c r="AE319">
        <v>11500</v>
      </c>
      <c r="AF319">
        <v>0</v>
      </c>
      <c r="AG319">
        <v>0</v>
      </c>
      <c r="AH319">
        <v>0</v>
      </c>
      <c r="AI319">
        <v>7.13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6</v>
      </c>
      <c r="AT319">
        <v>1E-3</v>
      </c>
      <c r="AU319" t="s">
        <v>30</v>
      </c>
      <c r="AV319">
        <v>0</v>
      </c>
      <c r="AW319">
        <v>2</v>
      </c>
      <c r="AX319">
        <v>16631869</v>
      </c>
      <c r="AY319">
        <v>1</v>
      </c>
      <c r="AZ319">
        <v>0</v>
      </c>
      <c r="BA319">
        <v>324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Y319*Source!I162</f>
        <v>0</v>
      </c>
      <c r="CY319">
        <f t="shared" si="42"/>
        <v>81995</v>
      </c>
      <c r="CZ319">
        <f t="shared" si="43"/>
        <v>11500</v>
      </c>
      <c r="DA319">
        <f t="shared" si="44"/>
        <v>7.13</v>
      </c>
      <c r="DB319">
        <f t="shared" si="45"/>
        <v>0</v>
      </c>
      <c r="DC319">
        <f t="shared" si="46"/>
        <v>0</v>
      </c>
    </row>
    <row r="320" spans="1:107" x14ac:dyDescent="0.2">
      <c r="A320">
        <f>ROW(Source!A162)</f>
        <v>162</v>
      </c>
      <c r="B320">
        <v>16630606</v>
      </c>
      <c r="C320">
        <v>16631845</v>
      </c>
      <c r="D320">
        <v>15203834</v>
      </c>
      <c r="E320">
        <v>1</v>
      </c>
      <c r="F320">
        <v>1</v>
      </c>
      <c r="G320">
        <v>1</v>
      </c>
      <c r="H320">
        <v>3</v>
      </c>
      <c r="I320" t="s">
        <v>1452</v>
      </c>
      <c r="J320" t="s">
        <v>1453</v>
      </c>
      <c r="K320" t="s">
        <v>1454</v>
      </c>
      <c r="L320">
        <v>1346</v>
      </c>
      <c r="N320">
        <v>1009</v>
      </c>
      <c r="O320" t="s">
        <v>102</v>
      </c>
      <c r="P320" t="s">
        <v>102</v>
      </c>
      <c r="Q320">
        <v>1</v>
      </c>
      <c r="W320">
        <v>0</v>
      </c>
      <c r="X320">
        <v>210558753</v>
      </c>
      <c r="Y320">
        <v>0</v>
      </c>
      <c r="AA320">
        <v>203.92</v>
      </c>
      <c r="AB320">
        <v>0</v>
      </c>
      <c r="AC320">
        <v>0</v>
      </c>
      <c r="AD320">
        <v>0</v>
      </c>
      <c r="AE320">
        <v>28.6</v>
      </c>
      <c r="AF320">
        <v>0</v>
      </c>
      <c r="AG320">
        <v>0</v>
      </c>
      <c r="AH320">
        <v>0</v>
      </c>
      <c r="AI320">
        <v>7.13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6</v>
      </c>
      <c r="AT320">
        <v>3.5999999999999997E-2</v>
      </c>
      <c r="AU320" t="s">
        <v>30</v>
      </c>
      <c r="AV320">
        <v>0</v>
      </c>
      <c r="AW320">
        <v>2</v>
      </c>
      <c r="AX320">
        <v>16631870</v>
      </c>
      <c r="AY320">
        <v>1</v>
      </c>
      <c r="AZ320">
        <v>0</v>
      </c>
      <c r="BA320">
        <v>325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Y320*Source!I162</f>
        <v>0</v>
      </c>
      <c r="CY320">
        <f t="shared" si="42"/>
        <v>203.92</v>
      </c>
      <c r="CZ320">
        <f t="shared" si="43"/>
        <v>28.6</v>
      </c>
      <c r="DA320">
        <f t="shared" si="44"/>
        <v>7.13</v>
      </c>
      <c r="DB320">
        <f t="shared" si="45"/>
        <v>0</v>
      </c>
      <c r="DC320">
        <f t="shared" si="46"/>
        <v>0</v>
      </c>
    </row>
    <row r="321" spans="1:107" x14ac:dyDescent="0.2">
      <c r="A321">
        <f>ROW(Source!A162)</f>
        <v>162</v>
      </c>
      <c r="B321">
        <v>16630606</v>
      </c>
      <c r="C321">
        <v>16631845</v>
      </c>
      <c r="D321">
        <v>15203987</v>
      </c>
      <c r="E321">
        <v>1</v>
      </c>
      <c r="F321">
        <v>1</v>
      </c>
      <c r="G321">
        <v>1</v>
      </c>
      <c r="H321">
        <v>3</v>
      </c>
      <c r="I321" t="s">
        <v>1455</v>
      </c>
      <c r="J321" t="s">
        <v>1456</v>
      </c>
      <c r="K321" t="s">
        <v>1457</v>
      </c>
      <c r="L321">
        <v>1346</v>
      </c>
      <c r="N321">
        <v>1009</v>
      </c>
      <c r="O321" t="s">
        <v>102</v>
      </c>
      <c r="P321" t="s">
        <v>102</v>
      </c>
      <c r="Q321">
        <v>1</v>
      </c>
      <c r="W321">
        <v>0</v>
      </c>
      <c r="X321">
        <v>-1274984028</v>
      </c>
      <c r="Y321">
        <v>0</v>
      </c>
      <c r="AA321">
        <v>254.04</v>
      </c>
      <c r="AB321">
        <v>0</v>
      </c>
      <c r="AC321">
        <v>0</v>
      </c>
      <c r="AD321">
        <v>0</v>
      </c>
      <c r="AE321">
        <v>35.630000000000003</v>
      </c>
      <c r="AF321">
        <v>0</v>
      </c>
      <c r="AG321">
        <v>0</v>
      </c>
      <c r="AH321">
        <v>0</v>
      </c>
      <c r="AI321">
        <v>7.13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6</v>
      </c>
      <c r="AT321">
        <v>6.0000000000000001E-3</v>
      </c>
      <c r="AU321" t="s">
        <v>30</v>
      </c>
      <c r="AV321">
        <v>0</v>
      </c>
      <c r="AW321">
        <v>2</v>
      </c>
      <c r="AX321">
        <v>16631871</v>
      </c>
      <c r="AY321">
        <v>1</v>
      </c>
      <c r="AZ321">
        <v>0</v>
      </c>
      <c r="BA321">
        <v>326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Y321*Source!I162</f>
        <v>0</v>
      </c>
      <c r="CY321">
        <f t="shared" si="42"/>
        <v>254.04</v>
      </c>
      <c r="CZ321">
        <f t="shared" si="43"/>
        <v>35.630000000000003</v>
      </c>
      <c r="DA321">
        <f t="shared" si="44"/>
        <v>7.13</v>
      </c>
      <c r="DB321">
        <f t="shared" si="45"/>
        <v>0</v>
      </c>
      <c r="DC321">
        <f t="shared" si="46"/>
        <v>0</v>
      </c>
    </row>
    <row r="322" spans="1:107" x14ac:dyDescent="0.2">
      <c r="A322">
        <f>ROW(Source!A162)</f>
        <v>162</v>
      </c>
      <c r="B322">
        <v>16630606</v>
      </c>
      <c r="C322">
        <v>16631845</v>
      </c>
      <c r="D322">
        <v>15217463</v>
      </c>
      <c r="E322">
        <v>1</v>
      </c>
      <c r="F322">
        <v>1</v>
      </c>
      <c r="G322">
        <v>1</v>
      </c>
      <c r="H322">
        <v>3</v>
      </c>
      <c r="I322" t="s">
        <v>1458</v>
      </c>
      <c r="J322" t="s">
        <v>1459</v>
      </c>
      <c r="K322" t="s">
        <v>1460</v>
      </c>
      <c r="L322">
        <v>1358</v>
      </c>
      <c r="N322">
        <v>1010</v>
      </c>
      <c r="O322" t="s">
        <v>616</v>
      </c>
      <c r="P322" t="s">
        <v>616</v>
      </c>
      <c r="Q322">
        <v>10</v>
      </c>
      <c r="W322">
        <v>0</v>
      </c>
      <c r="X322">
        <v>1386890308</v>
      </c>
      <c r="Y322">
        <v>0</v>
      </c>
      <c r="AA322">
        <v>278.07</v>
      </c>
      <c r="AB322">
        <v>0</v>
      </c>
      <c r="AC322">
        <v>0</v>
      </c>
      <c r="AD322">
        <v>0</v>
      </c>
      <c r="AE322">
        <v>39</v>
      </c>
      <c r="AF322">
        <v>0</v>
      </c>
      <c r="AG322">
        <v>0</v>
      </c>
      <c r="AH322">
        <v>0</v>
      </c>
      <c r="AI322">
        <v>7.13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6</v>
      </c>
      <c r="AT322">
        <v>0.1</v>
      </c>
      <c r="AU322" t="s">
        <v>30</v>
      </c>
      <c r="AV322">
        <v>0</v>
      </c>
      <c r="AW322">
        <v>2</v>
      </c>
      <c r="AX322">
        <v>16631872</v>
      </c>
      <c r="AY322">
        <v>1</v>
      </c>
      <c r="AZ322">
        <v>0</v>
      </c>
      <c r="BA322">
        <v>327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Y322*Source!I162</f>
        <v>0</v>
      </c>
      <c r="CY322">
        <f t="shared" si="42"/>
        <v>278.07</v>
      </c>
      <c r="CZ322">
        <f t="shared" si="43"/>
        <v>39</v>
      </c>
      <c r="DA322">
        <f t="shared" si="44"/>
        <v>7.13</v>
      </c>
      <c r="DB322">
        <f t="shared" si="45"/>
        <v>0</v>
      </c>
      <c r="DC322">
        <f t="shared" si="46"/>
        <v>0</v>
      </c>
    </row>
    <row r="323" spans="1:107" x14ac:dyDescent="0.2">
      <c r="A323">
        <f>ROW(Source!A162)</f>
        <v>162</v>
      </c>
      <c r="B323">
        <v>16630606</v>
      </c>
      <c r="C323">
        <v>16631845</v>
      </c>
      <c r="D323">
        <v>15164559</v>
      </c>
      <c r="E323">
        <v>17</v>
      </c>
      <c r="F323">
        <v>1</v>
      </c>
      <c r="G323">
        <v>1</v>
      </c>
      <c r="H323">
        <v>3</v>
      </c>
      <c r="I323" t="s">
        <v>1431</v>
      </c>
      <c r="J323" t="s">
        <v>6</v>
      </c>
      <c r="K323" t="s">
        <v>1432</v>
      </c>
      <c r="L323">
        <v>1374</v>
      </c>
      <c r="N323">
        <v>1013</v>
      </c>
      <c r="O323" t="s">
        <v>1433</v>
      </c>
      <c r="P323" t="s">
        <v>1433</v>
      </c>
      <c r="Q323">
        <v>1</v>
      </c>
      <c r="W323">
        <v>0</v>
      </c>
      <c r="X323">
        <v>-1731369543</v>
      </c>
      <c r="Y323">
        <v>0</v>
      </c>
      <c r="AA323">
        <v>1</v>
      </c>
      <c r="AB323">
        <v>0</v>
      </c>
      <c r="AC323">
        <v>0</v>
      </c>
      <c r="AD323">
        <v>0</v>
      </c>
      <c r="AE323">
        <v>1</v>
      </c>
      <c r="AF323">
        <v>0</v>
      </c>
      <c r="AG323">
        <v>0</v>
      </c>
      <c r="AH323">
        <v>0</v>
      </c>
      <c r="AI323">
        <v>1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6</v>
      </c>
      <c r="AT323">
        <v>0.3</v>
      </c>
      <c r="AU323" t="s">
        <v>30</v>
      </c>
      <c r="AV323">
        <v>0</v>
      </c>
      <c r="AW323">
        <v>2</v>
      </c>
      <c r="AX323">
        <v>16631873</v>
      </c>
      <c r="AY323">
        <v>1</v>
      </c>
      <c r="AZ323">
        <v>0</v>
      </c>
      <c r="BA323">
        <v>328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Y323*Source!I162</f>
        <v>0</v>
      </c>
      <c r="CY323">
        <f t="shared" si="42"/>
        <v>1</v>
      </c>
      <c r="CZ323">
        <f t="shared" si="43"/>
        <v>1</v>
      </c>
      <c r="DA323">
        <f t="shared" si="44"/>
        <v>1</v>
      </c>
      <c r="DB323">
        <f t="shared" si="45"/>
        <v>0</v>
      </c>
      <c r="DC323">
        <f t="shared" si="46"/>
        <v>0</v>
      </c>
    </row>
    <row r="324" spans="1:107" x14ac:dyDescent="0.2">
      <c r="A324">
        <f>ROW(Source!A163)</f>
        <v>163</v>
      </c>
      <c r="B324">
        <v>16630606</v>
      </c>
      <c r="C324">
        <v>16631874</v>
      </c>
      <c r="D324">
        <v>15436556</v>
      </c>
      <c r="E324">
        <v>1</v>
      </c>
      <c r="F324">
        <v>1</v>
      </c>
      <c r="G324">
        <v>1</v>
      </c>
      <c r="H324">
        <v>1</v>
      </c>
      <c r="I324" t="s">
        <v>1354</v>
      </c>
      <c r="J324" t="s">
        <v>6</v>
      </c>
      <c r="K324" t="s">
        <v>1355</v>
      </c>
      <c r="L324">
        <v>1191</v>
      </c>
      <c r="N324">
        <v>1013</v>
      </c>
      <c r="O324" t="s">
        <v>1148</v>
      </c>
      <c r="P324" t="s">
        <v>1148</v>
      </c>
      <c r="Q324">
        <v>1</v>
      </c>
      <c r="W324">
        <v>0</v>
      </c>
      <c r="X324">
        <v>1069510174</v>
      </c>
      <c r="Y324">
        <v>3.69</v>
      </c>
      <c r="AA324">
        <v>0</v>
      </c>
      <c r="AB324">
        <v>0</v>
      </c>
      <c r="AC324">
        <v>0</v>
      </c>
      <c r="AD324">
        <v>68.59</v>
      </c>
      <c r="AE324">
        <v>0</v>
      </c>
      <c r="AF324">
        <v>0</v>
      </c>
      <c r="AG324">
        <v>0</v>
      </c>
      <c r="AH324">
        <v>9.6199999999999992</v>
      </c>
      <c r="AI324">
        <v>1</v>
      </c>
      <c r="AJ324">
        <v>1</v>
      </c>
      <c r="AK324">
        <v>1</v>
      </c>
      <c r="AL324">
        <v>7.13</v>
      </c>
      <c r="AN324">
        <v>0</v>
      </c>
      <c r="AO324">
        <v>1</v>
      </c>
      <c r="AP324">
        <v>1</v>
      </c>
      <c r="AQ324">
        <v>0</v>
      </c>
      <c r="AR324">
        <v>0</v>
      </c>
      <c r="AS324" t="s">
        <v>6</v>
      </c>
      <c r="AT324">
        <v>12.3</v>
      </c>
      <c r="AU324" t="s">
        <v>490</v>
      </c>
      <c r="AV324">
        <v>1</v>
      </c>
      <c r="AW324">
        <v>2</v>
      </c>
      <c r="AX324">
        <v>16631881</v>
      </c>
      <c r="AY324">
        <v>1</v>
      </c>
      <c r="AZ324">
        <v>0</v>
      </c>
      <c r="BA324">
        <v>329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Y324*Source!I163</f>
        <v>0.29520000000000002</v>
      </c>
      <c r="CY324">
        <f>AD324</f>
        <v>68.59</v>
      </c>
      <c r="CZ324">
        <f>AH324</f>
        <v>9.6199999999999992</v>
      </c>
      <c r="DA324">
        <f>AL324</f>
        <v>7.13</v>
      </c>
      <c r="DB324">
        <f>ROUND((ROUND(AT324*CZ324,2)*0.3),2)</f>
        <v>35.5</v>
      </c>
      <c r="DC324">
        <f>ROUND((ROUND(AT324*AG324,2)*0.3),2)</f>
        <v>0</v>
      </c>
    </row>
    <row r="325" spans="1:107" x14ac:dyDescent="0.2">
      <c r="A325">
        <f>ROW(Source!A163)</f>
        <v>163</v>
      </c>
      <c r="B325">
        <v>16630606</v>
      </c>
      <c r="C325">
        <v>16631874</v>
      </c>
      <c r="D325">
        <v>15430395</v>
      </c>
      <c r="E325">
        <v>1</v>
      </c>
      <c r="F325">
        <v>1</v>
      </c>
      <c r="G325">
        <v>1</v>
      </c>
      <c r="H325">
        <v>1</v>
      </c>
      <c r="I325" t="s">
        <v>1149</v>
      </c>
      <c r="J325" t="s">
        <v>6</v>
      </c>
      <c r="K325" t="s">
        <v>1150</v>
      </c>
      <c r="L325">
        <v>1191</v>
      </c>
      <c r="N325">
        <v>1013</v>
      </c>
      <c r="O325" t="s">
        <v>1148</v>
      </c>
      <c r="P325" t="s">
        <v>1148</v>
      </c>
      <c r="Q325">
        <v>1</v>
      </c>
      <c r="W325">
        <v>0</v>
      </c>
      <c r="X325">
        <v>-1417349443</v>
      </c>
      <c r="Y325">
        <v>0.49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1</v>
      </c>
      <c r="AJ325">
        <v>1</v>
      </c>
      <c r="AK325">
        <v>7.13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6</v>
      </c>
      <c r="AT325">
        <v>0.49</v>
      </c>
      <c r="AU325" t="s">
        <v>6</v>
      </c>
      <c r="AV325">
        <v>2</v>
      </c>
      <c r="AW325">
        <v>2</v>
      </c>
      <c r="AX325">
        <v>16631882</v>
      </c>
      <c r="AY325">
        <v>1</v>
      </c>
      <c r="AZ325">
        <v>2048</v>
      </c>
      <c r="BA325">
        <v>330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Y325*Source!I163</f>
        <v>3.9199999999999999E-2</v>
      </c>
      <c r="CY325">
        <f>AD325</f>
        <v>0</v>
      </c>
      <c r="CZ325">
        <f>AH325</f>
        <v>0</v>
      </c>
      <c r="DA325">
        <f>AL325</f>
        <v>1</v>
      </c>
      <c r="DB325">
        <f>ROUND(ROUND(AT325*CZ325,2),2)</f>
        <v>0</v>
      </c>
      <c r="DC325">
        <f>ROUND(ROUND(AT325*AG325,2),2)</f>
        <v>0</v>
      </c>
    </row>
    <row r="326" spans="1:107" x14ac:dyDescent="0.2">
      <c r="A326">
        <f>ROW(Source!A163)</f>
        <v>163</v>
      </c>
      <c r="B326">
        <v>16630606</v>
      </c>
      <c r="C326">
        <v>16631874</v>
      </c>
      <c r="D326">
        <v>15247905</v>
      </c>
      <c r="E326">
        <v>1</v>
      </c>
      <c r="F326">
        <v>1</v>
      </c>
      <c r="G326">
        <v>1</v>
      </c>
      <c r="H326">
        <v>2</v>
      </c>
      <c r="I326" t="s">
        <v>1330</v>
      </c>
      <c r="J326" t="s">
        <v>1331</v>
      </c>
      <c r="K326" t="s">
        <v>1332</v>
      </c>
      <c r="L326">
        <v>1368</v>
      </c>
      <c r="N326">
        <v>1011</v>
      </c>
      <c r="O326" t="s">
        <v>1154</v>
      </c>
      <c r="P326" t="s">
        <v>1154</v>
      </c>
      <c r="Q326">
        <v>1</v>
      </c>
      <c r="W326">
        <v>0</v>
      </c>
      <c r="X326">
        <v>1225731627</v>
      </c>
      <c r="Y326">
        <v>0.14699999999999999</v>
      </c>
      <c r="AA326">
        <v>0</v>
      </c>
      <c r="AB326">
        <v>641.63</v>
      </c>
      <c r="AC326">
        <v>10.06</v>
      </c>
      <c r="AD326">
        <v>0</v>
      </c>
      <c r="AE326">
        <v>0</v>
      </c>
      <c r="AF326">
        <v>89.99</v>
      </c>
      <c r="AG326">
        <v>10.06</v>
      </c>
      <c r="AH326">
        <v>0</v>
      </c>
      <c r="AI326">
        <v>1</v>
      </c>
      <c r="AJ326">
        <v>7.13</v>
      </c>
      <c r="AK326">
        <v>1</v>
      </c>
      <c r="AL326">
        <v>1</v>
      </c>
      <c r="AN326">
        <v>0</v>
      </c>
      <c r="AO326">
        <v>1</v>
      </c>
      <c r="AP326">
        <v>1</v>
      </c>
      <c r="AQ326">
        <v>0</v>
      </c>
      <c r="AR326">
        <v>0</v>
      </c>
      <c r="AS326" t="s">
        <v>6</v>
      </c>
      <c r="AT326">
        <v>0.49</v>
      </c>
      <c r="AU326" t="s">
        <v>490</v>
      </c>
      <c r="AV326">
        <v>0</v>
      </c>
      <c r="AW326">
        <v>2</v>
      </c>
      <c r="AX326">
        <v>16631883</v>
      </c>
      <c r="AY326">
        <v>1</v>
      </c>
      <c r="AZ326">
        <v>0</v>
      </c>
      <c r="BA326">
        <v>331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Y326*Source!I163</f>
        <v>1.176E-2</v>
      </c>
      <c r="CY326">
        <f>AB326</f>
        <v>641.63</v>
      </c>
      <c r="CZ326">
        <f>AF326</f>
        <v>89.99</v>
      </c>
      <c r="DA326">
        <f>AJ326</f>
        <v>7.13</v>
      </c>
      <c r="DB326">
        <f>ROUND((ROUND(AT326*CZ326,2)*0.3),2)</f>
        <v>13.23</v>
      </c>
      <c r="DC326">
        <f>ROUND((ROUND(AT326*AG326,2)*0.3),2)</f>
        <v>1.48</v>
      </c>
    </row>
    <row r="327" spans="1:107" x14ac:dyDescent="0.2">
      <c r="A327">
        <f>ROW(Source!A163)</f>
        <v>163</v>
      </c>
      <c r="B327">
        <v>16630606</v>
      </c>
      <c r="C327">
        <v>16631874</v>
      </c>
      <c r="D327">
        <v>15203777</v>
      </c>
      <c r="E327">
        <v>1</v>
      </c>
      <c r="F327">
        <v>1</v>
      </c>
      <c r="G327">
        <v>1</v>
      </c>
      <c r="H327">
        <v>3</v>
      </c>
      <c r="I327" t="s">
        <v>1461</v>
      </c>
      <c r="J327" t="s">
        <v>1462</v>
      </c>
      <c r="K327" t="s">
        <v>1463</v>
      </c>
      <c r="L327">
        <v>1348</v>
      </c>
      <c r="N327">
        <v>1009</v>
      </c>
      <c r="O327" t="s">
        <v>98</v>
      </c>
      <c r="P327" t="s">
        <v>98</v>
      </c>
      <c r="Q327">
        <v>1000</v>
      </c>
      <c r="W327">
        <v>0</v>
      </c>
      <c r="X327">
        <v>-1172472284</v>
      </c>
      <c r="Y327">
        <v>0</v>
      </c>
      <c r="AA327">
        <v>192028.15</v>
      </c>
      <c r="AB327">
        <v>0</v>
      </c>
      <c r="AC327">
        <v>0</v>
      </c>
      <c r="AD327">
        <v>0</v>
      </c>
      <c r="AE327">
        <v>26932.42</v>
      </c>
      <c r="AF327">
        <v>0</v>
      </c>
      <c r="AG327">
        <v>0</v>
      </c>
      <c r="AH327">
        <v>0</v>
      </c>
      <c r="AI327">
        <v>7.13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1</v>
      </c>
      <c r="AQ327">
        <v>0</v>
      </c>
      <c r="AR327">
        <v>0</v>
      </c>
      <c r="AS327" t="s">
        <v>6</v>
      </c>
      <c r="AT327">
        <v>3.0000000000000001E-5</v>
      </c>
      <c r="AU327" t="s">
        <v>30</v>
      </c>
      <c r="AV327">
        <v>0</v>
      </c>
      <c r="AW327">
        <v>2</v>
      </c>
      <c r="AX327">
        <v>16631884</v>
      </c>
      <c r="AY327">
        <v>1</v>
      </c>
      <c r="AZ327">
        <v>0</v>
      </c>
      <c r="BA327">
        <v>332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Y327*Source!I163</f>
        <v>0</v>
      </c>
      <c r="CY327">
        <f>AA327</f>
        <v>192028.15</v>
      </c>
      <c r="CZ327">
        <f>AE327</f>
        <v>26932.42</v>
      </c>
      <c r="DA327">
        <f>AI327</f>
        <v>7.13</v>
      </c>
      <c r="DB327">
        <f>ROUND((ROUND(AT327*CZ327,2)*0),2)</f>
        <v>0</v>
      </c>
      <c r="DC327">
        <f>ROUND((ROUND(AT327*AG327,2)*0),2)</f>
        <v>0</v>
      </c>
    </row>
    <row r="328" spans="1:107" x14ac:dyDescent="0.2">
      <c r="A328">
        <f>ROW(Source!A163)</f>
        <v>163</v>
      </c>
      <c r="B328">
        <v>16630606</v>
      </c>
      <c r="C328">
        <v>16631874</v>
      </c>
      <c r="D328">
        <v>15204471</v>
      </c>
      <c r="E328">
        <v>1</v>
      </c>
      <c r="F328">
        <v>1</v>
      </c>
      <c r="G328">
        <v>1</v>
      </c>
      <c r="H328">
        <v>3</v>
      </c>
      <c r="I328" t="s">
        <v>1217</v>
      </c>
      <c r="J328" t="s">
        <v>1218</v>
      </c>
      <c r="K328" t="s">
        <v>1219</v>
      </c>
      <c r="L328">
        <v>1346</v>
      </c>
      <c r="N328">
        <v>1009</v>
      </c>
      <c r="O328" t="s">
        <v>102</v>
      </c>
      <c r="P328" t="s">
        <v>102</v>
      </c>
      <c r="Q328">
        <v>1</v>
      </c>
      <c r="W328">
        <v>0</v>
      </c>
      <c r="X328">
        <v>-608190322</v>
      </c>
      <c r="Y328">
        <v>0</v>
      </c>
      <c r="AA328">
        <v>232.44</v>
      </c>
      <c r="AB328">
        <v>0</v>
      </c>
      <c r="AC328">
        <v>0</v>
      </c>
      <c r="AD328">
        <v>0</v>
      </c>
      <c r="AE328">
        <v>32.6</v>
      </c>
      <c r="AF328">
        <v>0</v>
      </c>
      <c r="AG328">
        <v>0</v>
      </c>
      <c r="AH328">
        <v>0</v>
      </c>
      <c r="AI328">
        <v>7.13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6</v>
      </c>
      <c r="AT328">
        <v>1.0999999999999999E-2</v>
      </c>
      <c r="AU328" t="s">
        <v>30</v>
      </c>
      <c r="AV328">
        <v>0</v>
      </c>
      <c r="AW328">
        <v>2</v>
      </c>
      <c r="AX328">
        <v>16631885</v>
      </c>
      <c r="AY328">
        <v>1</v>
      </c>
      <c r="AZ328">
        <v>0</v>
      </c>
      <c r="BA328">
        <v>333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Y328*Source!I163</f>
        <v>0</v>
      </c>
      <c r="CY328">
        <f>AA328</f>
        <v>232.44</v>
      </c>
      <c r="CZ328">
        <f>AE328</f>
        <v>32.6</v>
      </c>
      <c r="DA328">
        <f>AI328</f>
        <v>7.13</v>
      </c>
      <c r="DB328">
        <f>ROUND((ROUND(AT328*CZ328,2)*0),2)</f>
        <v>0</v>
      </c>
      <c r="DC328">
        <f>ROUND((ROUND(AT328*AG328,2)*0),2)</f>
        <v>0</v>
      </c>
    </row>
    <row r="329" spans="1:107" x14ac:dyDescent="0.2">
      <c r="A329">
        <f>ROW(Source!A163)</f>
        <v>163</v>
      </c>
      <c r="B329">
        <v>16630606</v>
      </c>
      <c r="C329">
        <v>16631874</v>
      </c>
      <c r="D329">
        <v>15164559</v>
      </c>
      <c r="E329">
        <v>17</v>
      </c>
      <c r="F329">
        <v>1</v>
      </c>
      <c r="G329">
        <v>1</v>
      </c>
      <c r="H329">
        <v>3</v>
      </c>
      <c r="I329" t="s">
        <v>1431</v>
      </c>
      <c r="J329" t="s">
        <v>6</v>
      </c>
      <c r="K329" t="s">
        <v>1432</v>
      </c>
      <c r="L329">
        <v>1374</v>
      </c>
      <c r="N329">
        <v>1013</v>
      </c>
      <c r="O329" t="s">
        <v>1433</v>
      </c>
      <c r="P329" t="s">
        <v>1433</v>
      </c>
      <c r="Q329">
        <v>1</v>
      </c>
      <c r="W329">
        <v>0</v>
      </c>
      <c r="X329">
        <v>-1731369543</v>
      </c>
      <c r="Y329">
        <v>0</v>
      </c>
      <c r="AA329">
        <v>1</v>
      </c>
      <c r="AB329">
        <v>0</v>
      </c>
      <c r="AC329">
        <v>0</v>
      </c>
      <c r="AD329">
        <v>0</v>
      </c>
      <c r="AE329">
        <v>1</v>
      </c>
      <c r="AF329">
        <v>0</v>
      </c>
      <c r="AG329">
        <v>0</v>
      </c>
      <c r="AH329">
        <v>0</v>
      </c>
      <c r="AI329">
        <v>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6</v>
      </c>
      <c r="AT329">
        <v>2.37</v>
      </c>
      <c r="AU329" t="s">
        <v>30</v>
      </c>
      <c r="AV329">
        <v>0</v>
      </c>
      <c r="AW329">
        <v>2</v>
      </c>
      <c r="AX329">
        <v>16631886</v>
      </c>
      <c r="AY329">
        <v>1</v>
      </c>
      <c r="AZ329">
        <v>0</v>
      </c>
      <c r="BA329">
        <v>334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Y329*Source!I163</f>
        <v>0</v>
      </c>
      <c r="CY329">
        <f>AA329</f>
        <v>1</v>
      </c>
      <c r="CZ329">
        <f>AE329</f>
        <v>1</v>
      </c>
      <c r="DA329">
        <f>AI329</f>
        <v>1</v>
      </c>
      <c r="DB329">
        <f>ROUND((ROUND(AT329*CZ329,2)*0),2)</f>
        <v>0</v>
      </c>
      <c r="DC329">
        <f>ROUND((ROUND(AT329*AG329,2)*0),2)</f>
        <v>0</v>
      </c>
    </row>
    <row r="330" spans="1:107" x14ac:dyDescent="0.2">
      <c r="A330">
        <f>ROW(Source!A164)</f>
        <v>164</v>
      </c>
      <c r="B330">
        <v>16630606</v>
      </c>
      <c r="C330">
        <v>16631887</v>
      </c>
      <c r="D330">
        <v>15430447</v>
      </c>
      <c r="E330">
        <v>1</v>
      </c>
      <c r="F330">
        <v>1</v>
      </c>
      <c r="G330">
        <v>1</v>
      </c>
      <c r="H330">
        <v>1</v>
      </c>
      <c r="I330" t="s">
        <v>1464</v>
      </c>
      <c r="J330" t="s">
        <v>6</v>
      </c>
      <c r="K330" t="s">
        <v>1465</v>
      </c>
      <c r="L330">
        <v>1191</v>
      </c>
      <c r="N330">
        <v>1013</v>
      </c>
      <c r="O330" t="s">
        <v>1148</v>
      </c>
      <c r="P330" t="s">
        <v>1148</v>
      </c>
      <c r="Q330">
        <v>1</v>
      </c>
      <c r="W330">
        <v>0</v>
      </c>
      <c r="X330">
        <v>145020957</v>
      </c>
      <c r="Y330">
        <v>0.3</v>
      </c>
      <c r="AA330">
        <v>0</v>
      </c>
      <c r="AB330">
        <v>0</v>
      </c>
      <c r="AC330">
        <v>0</v>
      </c>
      <c r="AD330">
        <v>64.67</v>
      </c>
      <c r="AE330">
        <v>0</v>
      </c>
      <c r="AF330">
        <v>0</v>
      </c>
      <c r="AG330">
        <v>0</v>
      </c>
      <c r="AH330">
        <v>9.07</v>
      </c>
      <c r="AI330">
        <v>1</v>
      </c>
      <c r="AJ330">
        <v>1</v>
      </c>
      <c r="AK330">
        <v>1</v>
      </c>
      <c r="AL330">
        <v>7.13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6</v>
      </c>
      <c r="AT330">
        <v>1</v>
      </c>
      <c r="AU330" t="s">
        <v>490</v>
      </c>
      <c r="AV330">
        <v>1</v>
      </c>
      <c r="AW330">
        <v>2</v>
      </c>
      <c r="AX330">
        <v>16631892</v>
      </c>
      <c r="AY330">
        <v>1</v>
      </c>
      <c r="AZ330">
        <v>0</v>
      </c>
      <c r="BA330">
        <v>335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Y330*Source!I164</f>
        <v>0.3</v>
      </c>
      <c r="CY330">
        <f>AD330</f>
        <v>64.67</v>
      </c>
      <c r="CZ330">
        <f>AH330</f>
        <v>9.07</v>
      </c>
      <c r="DA330">
        <f>AL330</f>
        <v>7.13</v>
      </c>
      <c r="DB330">
        <f>ROUND((ROUND(AT330*CZ330,2)*0.3),2)</f>
        <v>2.72</v>
      </c>
      <c r="DC330">
        <f>ROUND((ROUND(AT330*AG330,2)*0.3),2)</f>
        <v>0</v>
      </c>
    </row>
    <row r="331" spans="1:107" x14ac:dyDescent="0.2">
      <c r="A331">
        <f>ROW(Source!A164)</f>
        <v>164</v>
      </c>
      <c r="B331">
        <v>16630606</v>
      </c>
      <c r="C331">
        <v>16631887</v>
      </c>
      <c r="D331">
        <v>15167589</v>
      </c>
      <c r="E331">
        <v>1</v>
      </c>
      <c r="F331">
        <v>1</v>
      </c>
      <c r="G331">
        <v>1</v>
      </c>
      <c r="H331">
        <v>3</v>
      </c>
      <c r="I331" t="s">
        <v>1466</v>
      </c>
      <c r="J331" t="s">
        <v>1467</v>
      </c>
      <c r="K331" t="s">
        <v>1468</v>
      </c>
      <c r="L331">
        <v>1346</v>
      </c>
      <c r="N331">
        <v>1009</v>
      </c>
      <c r="O331" t="s">
        <v>102</v>
      </c>
      <c r="P331" t="s">
        <v>102</v>
      </c>
      <c r="Q331">
        <v>1</v>
      </c>
      <c r="W331">
        <v>0</v>
      </c>
      <c r="X331">
        <v>-2124370092</v>
      </c>
      <c r="Y331">
        <v>0</v>
      </c>
      <c r="AA331">
        <v>650.9</v>
      </c>
      <c r="AB331">
        <v>0</v>
      </c>
      <c r="AC331">
        <v>0</v>
      </c>
      <c r="AD331">
        <v>0</v>
      </c>
      <c r="AE331">
        <v>91.29</v>
      </c>
      <c r="AF331">
        <v>0</v>
      </c>
      <c r="AG331">
        <v>0</v>
      </c>
      <c r="AH331">
        <v>0</v>
      </c>
      <c r="AI331">
        <v>7.13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6</v>
      </c>
      <c r="AT331">
        <v>2E-3</v>
      </c>
      <c r="AU331" t="s">
        <v>30</v>
      </c>
      <c r="AV331">
        <v>0</v>
      </c>
      <c r="AW331">
        <v>2</v>
      </c>
      <c r="AX331">
        <v>16631893</v>
      </c>
      <c r="AY331">
        <v>1</v>
      </c>
      <c r="AZ331">
        <v>0</v>
      </c>
      <c r="BA331">
        <v>336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Y331*Source!I164</f>
        <v>0</v>
      </c>
      <c r="CY331">
        <f>AA331</f>
        <v>650.9</v>
      </c>
      <c r="CZ331">
        <f>AE331</f>
        <v>91.29</v>
      </c>
      <c r="DA331">
        <f>AI331</f>
        <v>7.13</v>
      </c>
      <c r="DB331">
        <f>ROUND((ROUND(AT331*CZ331,2)*0),2)</f>
        <v>0</v>
      </c>
      <c r="DC331">
        <f>ROUND((ROUND(AT331*AG331,2)*0),2)</f>
        <v>0</v>
      </c>
    </row>
    <row r="332" spans="1:107" x14ac:dyDescent="0.2">
      <c r="A332">
        <f>ROW(Source!A164)</f>
        <v>164</v>
      </c>
      <c r="B332">
        <v>16630606</v>
      </c>
      <c r="C332">
        <v>16631887</v>
      </c>
      <c r="D332">
        <v>15195043</v>
      </c>
      <c r="E332">
        <v>1</v>
      </c>
      <c r="F332">
        <v>1</v>
      </c>
      <c r="G332">
        <v>1</v>
      </c>
      <c r="H332">
        <v>3</v>
      </c>
      <c r="I332" t="s">
        <v>1469</v>
      </c>
      <c r="J332" t="s">
        <v>1470</v>
      </c>
      <c r="K332" t="s">
        <v>1471</v>
      </c>
      <c r="L332">
        <v>1346</v>
      </c>
      <c r="N332">
        <v>1009</v>
      </c>
      <c r="O332" t="s">
        <v>102</v>
      </c>
      <c r="P332" t="s">
        <v>102</v>
      </c>
      <c r="Q332">
        <v>1</v>
      </c>
      <c r="W332">
        <v>0</v>
      </c>
      <c r="X332">
        <v>-1726842289</v>
      </c>
      <c r="Y332">
        <v>0</v>
      </c>
      <c r="AA332">
        <v>468.8</v>
      </c>
      <c r="AB332">
        <v>0</v>
      </c>
      <c r="AC332">
        <v>0</v>
      </c>
      <c r="AD332">
        <v>0</v>
      </c>
      <c r="AE332">
        <v>65.75</v>
      </c>
      <c r="AF332">
        <v>0</v>
      </c>
      <c r="AG332">
        <v>0</v>
      </c>
      <c r="AH332">
        <v>0</v>
      </c>
      <c r="AI332">
        <v>7.13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1</v>
      </c>
      <c r="AQ332">
        <v>0</v>
      </c>
      <c r="AR332">
        <v>0</v>
      </c>
      <c r="AS332" t="s">
        <v>6</v>
      </c>
      <c r="AT332">
        <v>4.0000000000000001E-3</v>
      </c>
      <c r="AU332" t="s">
        <v>30</v>
      </c>
      <c r="AV332">
        <v>0</v>
      </c>
      <c r="AW332">
        <v>2</v>
      </c>
      <c r="AX332">
        <v>16631894</v>
      </c>
      <c r="AY332">
        <v>1</v>
      </c>
      <c r="AZ332">
        <v>0</v>
      </c>
      <c r="BA332">
        <v>337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Y332*Source!I164</f>
        <v>0</v>
      </c>
      <c r="CY332">
        <f>AA332</f>
        <v>468.8</v>
      </c>
      <c r="CZ332">
        <f>AE332</f>
        <v>65.75</v>
      </c>
      <c r="DA332">
        <f>AI332</f>
        <v>7.13</v>
      </c>
      <c r="DB332">
        <f>ROUND((ROUND(AT332*CZ332,2)*0),2)</f>
        <v>0</v>
      </c>
      <c r="DC332">
        <f>ROUND((ROUND(AT332*AG332,2)*0),2)</f>
        <v>0</v>
      </c>
    </row>
    <row r="333" spans="1:107" x14ac:dyDescent="0.2">
      <c r="A333">
        <f>ROW(Source!A164)</f>
        <v>164</v>
      </c>
      <c r="B333">
        <v>16630606</v>
      </c>
      <c r="C333">
        <v>16631887</v>
      </c>
      <c r="D333">
        <v>15164559</v>
      </c>
      <c r="E333">
        <v>17</v>
      </c>
      <c r="F333">
        <v>1</v>
      </c>
      <c r="G333">
        <v>1</v>
      </c>
      <c r="H333">
        <v>3</v>
      </c>
      <c r="I333" t="s">
        <v>1431</v>
      </c>
      <c r="J333" t="s">
        <v>6</v>
      </c>
      <c r="K333" t="s">
        <v>1432</v>
      </c>
      <c r="L333">
        <v>1374</v>
      </c>
      <c r="N333">
        <v>1013</v>
      </c>
      <c r="O333" t="s">
        <v>1433</v>
      </c>
      <c r="P333" t="s">
        <v>1433</v>
      </c>
      <c r="Q333">
        <v>1</v>
      </c>
      <c r="W333">
        <v>0</v>
      </c>
      <c r="X333">
        <v>-1731369543</v>
      </c>
      <c r="Y333">
        <v>0</v>
      </c>
      <c r="AA333">
        <v>1</v>
      </c>
      <c r="AB333">
        <v>0</v>
      </c>
      <c r="AC333">
        <v>0</v>
      </c>
      <c r="AD333">
        <v>0</v>
      </c>
      <c r="AE333">
        <v>1</v>
      </c>
      <c r="AF333">
        <v>0</v>
      </c>
      <c r="AG333">
        <v>0</v>
      </c>
      <c r="AH333">
        <v>0</v>
      </c>
      <c r="AI333">
        <v>1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1</v>
      </c>
      <c r="AQ333">
        <v>0</v>
      </c>
      <c r="AR333">
        <v>0</v>
      </c>
      <c r="AS333" t="s">
        <v>6</v>
      </c>
      <c r="AT333">
        <v>0.18</v>
      </c>
      <c r="AU333" t="s">
        <v>30</v>
      </c>
      <c r="AV333">
        <v>0</v>
      </c>
      <c r="AW333">
        <v>2</v>
      </c>
      <c r="AX333">
        <v>16631896</v>
      </c>
      <c r="AY333">
        <v>1</v>
      </c>
      <c r="AZ333">
        <v>0</v>
      </c>
      <c r="BA333">
        <v>339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Y333*Source!I164</f>
        <v>0</v>
      </c>
      <c r="CY333">
        <f>AA333</f>
        <v>1</v>
      </c>
      <c r="CZ333">
        <f>AE333</f>
        <v>1</v>
      </c>
      <c r="DA333">
        <f>AI333</f>
        <v>1</v>
      </c>
      <c r="DB333">
        <f>ROUND((ROUND(AT333*CZ333,2)*0),2)</f>
        <v>0</v>
      </c>
      <c r="DC333">
        <f>ROUND((ROUND(AT333*AG333,2)*0),2)</f>
        <v>0</v>
      </c>
    </row>
    <row r="334" spans="1:107" x14ac:dyDescent="0.2">
      <c r="A334">
        <f>ROW(Source!A165)</f>
        <v>165</v>
      </c>
      <c r="B334">
        <v>16630606</v>
      </c>
      <c r="C334">
        <v>16631897</v>
      </c>
      <c r="D334">
        <v>15430517</v>
      </c>
      <c r="E334">
        <v>1</v>
      </c>
      <c r="F334">
        <v>1</v>
      </c>
      <c r="G334">
        <v>1</v>
      </c>
      <c r="H334">
        <v>1</v>
      </c>
      <c r="I334" t="s">
        <v>1169</v>
      </c>
      <c r="J334" t="s">
        <v>6</v>
      </c>
      <c r="K334" t="s">
        <v>1170</v>
      </c>
      <c r="L334">
        <v>1191</v>
      </c>
      <c r="N334">
        <v>1013</v>
      </c>
      <c r="O334" t="s">
        <v>1148</v>
      </c>
      <c r="P334" t="s">
        <v>1148</v>
      </c>
      <c r="Q334">
        <v>1</v>
      </c>
      <c r="W334">
        <v>0</v>
      </c>
      <c r="X334">
        <v>735429535</v>
      </c>
      <c r="Y334">
        <v>9.64</v>
      </c>
      <c r="AA334">
        <v>0</v>
      </c>
      <c r="AB334">
        <v>0</v>
      </c>
      <c r="AC334">
        <v>0</v>
      </c>
      <c r="AD334">
        <v>55.61</v>
      </c>
      <c r="AE334">
        <v>0</v>
      </c>
      <c r="AF334">
        <v>0</v>
      </c>
      <c r="AG334">
        <v>0</v>
      </c>
      <c r="AH334">
        <v>7.8</v>
      </c>
      <c r="AI334">
        <v>1</v>
      </c>
      <c r="AJ334">
        <v>1</v>
      </c>
      <c r="AK334">
        <v>1</v>
      </c>
      <c r="AL334">
        <v>7.13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6</v>
      </c>
      <c r="AT334">
        <v>9.64</v>
      </c>
      <c r="AU334" t="s">
        <v>6</v>
      </c>
      <c r="AV334">
        <v>1</v>
      </c>
      <c r="AW334">
        <v>2</v>
      </c>
      <c r="AX334">
        <v>16631901</v>
      </c>
      <c r="AY334">
        <v>1</v>
      </c>
      <c r="AZ334">
        <v>0</v>
      </c>
      <c r="BA334">
        <v>340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Y334*Source!I165</f>
        <v>5.3984000000000005</v>
      </c>
      <c r="CY334">
        <f>AD334</f>
        <v>55.61</v>
      </c>
      <c r="CZ334">
        <f>AH334</f>
        <v>7.8</v>
      </c>
      <c r="DA334">
        <f>AL334</f>
        <v>7.13</v>
      </c>
      <c r="DB334">
        <f t="shared" ref="DB334:DB365" si="47">ROUND(ROUND(AT334*CZ334,2),2)</f>
        <v>75.19</v>
      </c>
      <c r="DC334">
        <f t="shared" ref="DC334:DC365" si="48">ROUND(ROUND(AT334*AG334,2),2)</f>
        <v>0</v>
      </c>
    </row>
    <row r="335" spans="1:107" x14ac:dyDescent="0.2">
      <c r="A335">
        <f>ROW(Source!A165)</f>
        <v>165</v>
      </c>
      <c r="B335">
        <v>16630606</v>
      </c>
      <c r="C335">
        <v>16631897</v>
      </c>
      <c r="D335">
        <v>15430395</v>
      </c>
      <c r="E335">
        <v>1</v>
      </c>
      <c r="F335">
        <v>1</v>
      </c>
      <c r="G335">
        <v>1</v>
      </c>
      <c r="H335">
        <v>1</v>
      </c>
      <c r="I335" t="s">
        <v>1149</v>
      </c>
      <c r="J335" t="s">
        <v>6</v>
      </c>
      <c r="K335" t="s">
        <v>1150</v>
      </c>
      <c r="L335">
        <v>1191</v>
      </c>
      <c r="N335">
        <v>1013</v>
      </c>
      <c r="O335" t="s">
        <v>1148</v>
      </c>
      <c r="P335" t="s">
        <v>1148</v>
      </c>
      <c r="Q335">
        <v>1</v>
      </c>
      <c r="W335">
        <v>0</v>
      </c>
      <c r="X335">
        <v>-1417349443</v>
      </c>
      <c r="Y335">
        <v>0.01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1</v>
      </c>
      <c r="AJ335">
        <v>1</v>
      </c>
      <c r="AK335">
        <v>7.13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6</v>
      </c>
      <c r="AT335">
        <v>0.01</v>
      </c>
      <c r="AU335" t="s">
        <v>6</v>
      </c>
      <c r="AV335">
        <v>2</v>
      </c>
      <c r="AW335">
        <v>2</v>
      </c>
      <c r="AX335">
        <v>16631902</v>
      </c>
      <c r="AY335">
        <v>1</v>
      </c>
      <c r="AZ335">
        <v>0</v>
      </c>
      <c r="BA335">
        <v>341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Y335*Source!I165</f>
        <v>5.6000000000000008E-3</v>
      </c>
      <c r="CY335">
        <f>AD335</f>
        <v>0</v>
      </c>
      <c r="CZ335">
        <f>AH335</f>
        <v>0</v>
      </c>
      <c r="DA335">
        <f>AL335</f>
        <v>1</v>
      </c>
      <c r="DB335">
        <f t="shared" si="47"/>
        <v>0</v>
      </c>
      <c r="DC335">
        <f t="shared" si="48"/>
        <v>0</v>
      </c>
    </row>
    <row r="336" spans="1:107" x14ac:dyDescent="0.2">
      <c r="A336">
        <f>ROW(Source!A165)</f>
        <v>165</v>
      </c>
      <c r="B336">
        <v>16630606</v>
      </c>
      <c r="C336">
        <v>16631897</v>
      </c>
      <c r="D336">
        <v>15247974</v>
      </c>
      <c r="E336">
        <v>1</v>
      </c>
      <c r="F336">
        <v>1</v>
      </c>
      <c r="G336">
        <v>1</v>
      </c>
      <c r="H336">
        <v>2</v>
      </c>
      <c r="I336" t="s">
        <v>1151</v>
      </c>
      <c r="J336" t="s">
        <v>1152</v>
      </c>
      <c r="K336" t="s">
        <v>1153</v>
      </c>
      <c r="L336">
        <v>1368</v>
      </c>
      <c r="N336">
        <v>1011</v>
      </c>
      <c r="O336" t="s">
        <v>1154</v>
      </c>
      <c r="P336" t="s">
        <v>1154</v>
      </c>
      <c r="Q336">
        <v>1</v>
      </c>
      <c r="W336">
        <v>0</v>
      </c>
      <c r="X336">
        <v>1188625873</v>
      </c>
      <c r="Y336">
        <v>0.01</v>
      </c>
      <c r="AA336">
        <v>0</v>
      </c>
      <c r="AB336">
        <v>222.88</v>
      </c>
      <c r="AC336">
        <v>13.5</v>
      </c>
      <c r="AD336">
        <v>0</v>
      </c>
      <c r="AE336">
        <v>0</v>
      </c>
      <c r="AF336">
        <v>31.26</v>
      </c>
      <c r="AG336">
        <v>13.5</v>
      </c>
      <c r="AH336">
        <v>0</v>
      </c>
      <c r="AI336">
        <v>1</v>
      </c>
      <c r="AJ336">
        <v>7.13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6</v>
      </c>
      <c r="AT336">
        <v>0.01</v>
      </c>
      <c r="AU336" t="s">
        <v>6</v>
      </c>
      <c r="AV336">
        <v>0</v>
      </c>
      <c r="AW336">
        <v>2</v>
      </c>
      <c r="AX336">
        <v>16631903</v>
      </c>
      <c r="AY336">
        <v>1</v>
      </c>
      <c r="AZ336">
        <v>0</v>
      </c>
      <c r="BA336">
        <v>342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Y336*Source!I165</f>
        <v>5.6000000000000008E-3</v>
      </c>
      <c r="CY336">
        <f>AB336</f>
        <v>222.88</v>
      </c>
      <c r="CZ336">
        <f>AF336</f>
        <v>31.26</v>
      </c>
      <c r="DA336">
        <f>AJ336</f>
        <v>7.13</v>
      </c>
      <c r="DB336">
        <f t="shared" si="47"/>
        <v>0.31</v>
      </c>
      <c r="DC336">
        <f t="shared" si="48"/>
        <v>0.14000000000000001</v>
      </c>
    </row>
    <row r="337" spans="1:107" x14ac:dyDescent="0.2">
      <c r="A337">
        <f>ROW(Source!A166)</f>
        <v>166</v>
      </c>
      <c r="B337">
        <v>16630606</v>
      </c>
      <c r="C337">
        <v>16631904</v>
      </c>
      <c r="D337">
        <v>15430517</v>
      </c>
      <c r="E337">
        <v>1</v>
      </c>
      <c r="F337">
        <v>1</v>
      </c>
      <c r="G337">
        <v>1</v>
      </c>
      <c r="H337">
        <v>1</v>
      </c>
      <c r="I337" t="s">
        <v>1169</v>
      </c>
      <c r="J337" t="s">
        <v>6</v>
      </c>
      <c r="K337" t="s">
        <v>1170</v>
      </c>
      <c r="L337">
        <v>1191</v>
      </c>
      <c r="N337">
        <v>1013</v>
      </c>
      <c r="O337" t="s">
        <v>1148</v>
      </c>
      <c r="P337" t="s">
        <v>1148</v>
      </c>
      <c r="Q337">
        <v>1</v>
      </c>
      <c r="W337">
        <v>0</v>
      </c>
      <c r="X337">
        <v>735429535</v>
      </c>
      <c r="Y337">
        <v>6.32</v>
      </c>
      <c r="AA337">
        <v>0</v>
      </c>
      <c r="AB337">
        <v>0</v>
      </c>
      <c r="AC337">
        <v>0</v>
      </c>
      <c r="AD337">
        <v>55.61</v>
      </c>
      <c r="AE337">
        <v>0</v>
      </c>
      <c r="AF337">
        <v>0</v>
      </c>
      <c r="AG337">
        <v>0</v>
      </c>
      <c r="AH337">
        <v>7.8</v>
      </c>
      <c r="AI337">
        <v>1</v>
      </c>
      <c r="AJ337">
        <v>1</v>
      </c>
      <c r="AK337">
        <v>1</v>
      </c>
      <c r="AL337">
        <v>7.13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6</v>
      </c>
      <c r="AT337">
        <v>6.32</v>
      </c>
      <c r="AU337" t="s">
        <v>6</v>
      </c>
      <c r="AV337">
        <v>1</v>
      </c>
      <c r="AW337">
        <v>2</v>
      </c>
      <c r="AX337">
        <v>16631908</v>
      </c>
      <c r="AY337">
        <v>1</v>
      </c>
      <c r="AZ337">
        <v>0</v>
      </c>
      <c r="BA337">
        <v>343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Y337*Source!I166</f>
        <v>0.50560000000000005</v>
      </c>
      <c r="CY337">
        <f>AD337</f>
        <v>55.61</v>
      </c>
      <c r="CZ337">
        <f>AH337</f>
        <v>7.8</v>
      </c>
      <c r="DA337">
        <f>AL337</f>
        <v>7.13</v>
      </c>
      <c r="DB337">
        <f t="shared" si="47"/>
        <v>49.3</v>
      </c>
      <c r="DC337">
        <f t="shared" si="48"/>
        <v>0</v>
      </c>
    </row>
    <row r="338" spans="1:107" x14ac:dyDescent="0.2">
      <c r="A338">
        <f>ROW(Source!A166)</f>
        <v>166</v>
      </c>
      <c r="B338">
        <v>16630606</v>
      </c>
      <c r="C338">
        <v>16631904</v>
      </c>
      <c r="D338">
        <v>15430395</v>
      </c>
      <c r="E338">
        <v>1</v>
      </c>
      <c r="F338">
        <v>1</v>
      </c>
      <c r="G338">
        <v>1</v>
      </c>
      <c r="H338">
        <v>1</v>
      </c>
      <c r="I338" t="s">
        <v>1149</v>
      </c>
      <c r="J338" t="s">
        <v>6</v>
      </c>
      <c r="K338" t="s">
        <v>1150</v>
      </c>
      <c r="L338">
        <v>1191</v>
      </c>
      <c r="N338">
        <v>1013</v>
      </c>
      <c r="O338" t="s">
        <v>1148</v>
      </c>
      <c r="P338" t="s">
        <v>1148</v>
      </c>
      <c r="Q338">
        <v>1</v>
      </c>
      <c r="W338">
        <v>0</v>
      </c>
      <c r="X338">
        <v>-1417349443</v>
      </c>
      <c r="Y338">
        <v>0.03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7.13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6</v>
      </c>
      <c r="AT338">
        <v>0.03</v>
      </c>
      <c r="AU338" t="s">
        <v>6</v>
      </c>
      <c r="AV338">
        <v>2</v>
      </c>
      <c r="AW338">
        <v>2</v>
      </c>
      <c r="AX338">
        <v>16631909</v>
      </c>
      <c r="AY338">
        <v>1</v>
      </c>
      <c r="AZ338">
        <v>0</v>
      </c>
      <c r="BA338">
        <v>344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Y338*Source!I166</f>
        <v>2.3999999999999998E-3</v>
      </c>
      <c r="CY338">
        <f>AD338</f>
        <v>0</v>
      </c>
      <c r="CZ338">
        <f>AH338</f>
        <v>0</v>
      </c>
      <c r="DA338">
        <f>AL338</f>
        <v>1</v>
      </c>
      <c r="DB338">
        <f t="shared" si="47"/>
        <v>0</v>
      </c>
      <c r="DC338">
        <f t="shared" si="48"/>
        <v>0</v>
      </c>
    </row>
    <row r="339" spans="1:107" x14ac:dyDescent="0.2">
      <c r="A339">
        <f>ROW(Source!A166)</f>
        <v>166</v>
      </c>
      <c r="B339">
        <v>16630606</v>
      </c>
      <c r="C339">
        <v>16631904</v>
      </c>
      <c r="D339">
        <v>15247974</v>
      </c>
      <c r="E339">
        <v>1</v>
      </c>
      <c r="F339">
        <v>1</v>
      </c>
      <c r="G339">
        <v>1</v>
      </c>
      <c r="H339">
        <v>2</v>
      </c>
      <c r="I339" t="s">
        <v>1151</v>
      </c>
      <c r="J339" t="s">
        <v>1152</v>
      </c>
      <c r="K339" t="s">
        <v>1153</v>
      </c>
      <c r="L339">
        <v>1368</v>
      </c>
      <c r="N339">
        <v>1011</v>
      </c>
      <c r="O339" t="s">
        <v>1154</v>
      </c>
      <c r="P339" t="s">
        <v>1154</v>
      </c>
      <c r="Q339">
        <v>1</v>
      </c>
      <c r="W339">
        <v>0</v>
      </c>
      <c r="X339">
        <v>1188625873</v>
      </c>
      <c r="Y339">
        <v>0.03</v>
      </c>
      <c r="AA339">
        <v>0</v>
      </c>
      <c r="AB339">
        <v>222.88</v>
      </c>
      <c r="AC339">
        <v>13.5</v>
      </c>
      <c r="AD339">
        <v>0</v>
      </c>
      <c r="AE339">
        <v>0</v>
      </c>
      <c r="AF339">
        <v>31.26</v>
      </c>
      <c r="AG339">
        <v>13.5</v>
      </c>
      <c r="AH339">
        <v>0</v>
      </c>
      <c r="AI339">
        <v>1</v>
      </c>
      <c r="AJ339">
        <v>7.13</v>
      </c>
      <c r="AK339">
        <v>1</v>
      </c>
      <c r="AL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6</v>
      </c>
      <c r="AT339">
        <v>0.03</v>
      </c>
      <c r="AU339" t="s">
        <v>6</v>
      </c>
      <c r="AV339">
        <v>0</v>
      </c>
      <c r="AW339">
        <v>2</v>
      </c>
      <c r="AX339">
        <v>16631910</v>
      </c>
      <c r="AY339">
        <v>1</v>
      </c>
      <c r="AZ339">
        <v>0</v>
      </c>
      <c r="BA339">
        <v>345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Y339*Source!I166</f>
        <v>2.3999999999999998E-3</v>
      </c>
      <c r="CY339">
        <f>AB339</f>
        <v>222.88</v>
      </c>
      <c r="CZ339">
        <f>AF339</f>
        <v>31.26</v>
      </c>
      <c r="DA339">
        <f>AJ339</f>
        <v>7.13</v>
      </c>
      <c r="DB339">
        <f t="shared" si="47"/>
        <v>0.94</v>
      </c>
      <c r="DC339">
        <f t="shared" si="48"/>
        <v>0.41</v>
      </c>
    </row>
    <row r="340" spans="1:107" x14ac:dyDescent="0.2">
      <c r="A340">
        <f>ROW(Source!A167)</f>
        <v>167</v>
      </c>
      <c r="B340">
        <v>16630606</v>
      </c>
      <c r="C340">
        <v>16631911</v>
      </c>
      <c r="D340">
        <v>15432010</v>
      </c>
      <c r="E340">
        <v>1</v>
      </c>
      <c r="F340">
        <v>1</v>
      </c>
      <c r="G340">
        <v>1</v>
      </c>
      <c r="H340">
        <v>1</v>
      </c>
      <c r="I340" t="s">
        <v>1155</v>
      </c>
      <c r="J340" t="s">
        <v>6</v>
      </c>
      <c r="K340" t="s">
        <v>1156</v>
      </c>
      <c r="L340">
        <v>1191</v>
      </c>
      <c r="N340">
        <v>1013</v>
      </c>
      <c r="O340" t="s">
        <v>1148</v>
      </c>
      <c r="P340" t="s">
        <v>1148</v>
      </c>
      <c r="Q340">
        <v>1</v>
      </c>
      <c r="W340">
        <v>0</v>
      </c>
      <c r="X340">
        <v>-228054128</v>
      </c>
      <c r="Y340">
        <v>17.89</v>
      </c>
      <c r="AA340">
        <v>0</v>
      </c>
      <c r="AB340">
        <v>0</v>
      </c>
      <c r="AC340">
        <v>0</v>
      </c>
      <c r="AD340">
        <v>57.18</v>
      </c>
      <c r="AE340">
        <v>0</v>
      </c>
      <c r="AF340">
        <v>0</v>
      </c>
      <c r="AG340">
        <v>0</v>
      </c>
      <c r="AH340">
        <v>8.02</v>
      </c>
      <c r="AI340">
        <v>1</v>
      </c>
      <c r="AJ340">
        <v>1</v>
      </c>
      <c r="AK340">
        <v>1</v>
      </c>
      <c r="AL340">
        <v>7.13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6</v>
      </c>
      <c r="AT340">
        <v>17.89</v>
      </c>
      <c r="AU340" t="s">
        <v>6</v>
      </c>
      <c r="AV340">
        <v>1</v>
      </c>
      <c r="AW340">
        <v>2</v>
      </c>
      <c r="AX340">
        <v>16631915</v>
      </c>
      <c r="AY340">
        <v>1</v>
      </c>
      <c r="AZ340">
        <v>0</v>
      </c>
      <c r="BA340">
        <v>346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Y340*Source!I167</f>
        <v>6.2614999999999998</v>
      </c>
      <c r="CY340">
        <f>AD340</f>
        <v>57.18</v>
      </c>
      <c r="CZ340">
        <f>AH340</f>
        <v>8.02</v>
      </c>
      <c r="DA340">
        <f>AL340</f>
        <v>7.13</v>
      </c>
      <c r="DB340">
        <f t="shared" si="47"/>
        <v>143.47999999999999</v>
      </c>
      <c r="DC340">
        <f t="shared" si="48"/>
        <v>0</v>
      </c>
    </row>
    <row r="341" spans="1:107" x14ac:dyDescent="0.2">
      <c r="A341">
        <f>ROW(Source!A167)</f>
        <v>167</v>
      </c>
      <c r="B341">
        <v>16630606</v>
      </c>
      <c r="C341">
        <v>16631911</v>
      </c>
      <c r="D341">
        <v>15430395</v>
      </c>
      <c r="E341">
        <v>1</v>
      </c>
      <c r="F341">
        <v>1</v>
      </c>
      <c r="G341">
        <v>1</v>
      </c>
      <c r="H341">
        <v>1</v>
      </c>
      <c r="I341" t="s">
        <v>1149</v>
      </c>
      <c r="J341" t="s">
        <v>6</v>
      </c>
      <c r="K341" t="s">
        <v>1150</v>
      </c>
      <c r="L341">
        <v>1191</v>
      </c>
      <c r="N341">
        <v>1013</v>
      </c>
      <c r="O341" t="s">
        <v>1148</v>
      </c>
      <c r="P341" t="s">
        <v>1148</v>
      </c>
      <c r="Q341">
        <v>1</v>
      </c>
      <c r="W341">
        <v>0</v>
      </c>
      <c r="X341">
        <v>-1417349443</v>
      </c>
      <c r="Y341">
        <v>0.08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1</v>
      </c>
      <c r="AJ341">
        <v>1</v>
      </c>
      <c r="AK341">
        <v>7.13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6</v>
      </c>
      <c r="AT341">
        <v>0.08</v>
      </c>
      <c r="AU341" t="s">
        <v>6</v>
      </c>
      <c r="AV341">
        <v>2</v>
      </c>
      <c r="AW341">
        <v>2</v>
      </c>
      <c r="AX341">
        <v>16631916</v>
      </c>
      <c r="AY341">
        <v>1</v>
      </c>
      <c r="AZ341">
        <v>0</v>
      </c>
      <c r="BA341">
        <v>347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Y341*Source!I167</f>
        <v>2.7999999999999997E-2</v>
      </c>
      <c r="CY341">
        <f>AD341</f>
        <v>0</v>
      </c>
      <c r="CZ341">
        <f>AH341</f>
        <v>0</v>
      </c>
      <c r="DA341">
        <f>AL341</f>
        <v>1</v>
      </c>
      <c r="DB341">
        <f t="shared" si="47"/>
        <v>0</v>
      </c>
      <c r="DC341">
        <f t="shared" si="48"/>
        <v>0</v>
      </c>
    </row>
    <row r="342" spans="1:107" x14ac:dyDescent="0.2">
      <c r="A342">
        <f>ROW(Source!A167)</f>
        <v>167</v>
      </c>
      <c r="B342">
        <v>16630606</v>
      </c>
      <c r="C342">
        <v>16631911</v>
      </c>
      <c r="D342">
        <v>15247974</v>
      </c>
      <c r="E342">
        <v>1</v>
      </c>
      <c r="F342">
        <v>1</v>
      </c>
      <c r="G342">
        <v>1</v>
      </c>
      <c r="H342">
        <v>2</v>
      </c>
      <c r="I342" t="s">
        <v>1151</v>
      </c>
      <c r="J342" t="s">
        <v>1152</v>
      </c>
      <c r="K342" t="s">
        <v>1153</v>
      </c>
      <c r="L342">
        <v>1368</v>
      </c>
      <c r="N342">
        <v>1011</v>
      </c>
      <c r="O342" t="s">
        <v>1154</v>
      </c>
      <c r="P342" t="s">
        <v>1154</v>
      </c>
      <c r="Q342">
        <v>1</v>
      </c>
      <c r="W342">
        <v>0</v>
      </c>
      <c r="X342">
        <v>1188625873</v>
      </c>
      <c r="Y342">
        <v>0.08</v>
      </c>
      <c r="AA342">
        <v>0</v>
      </c>
      <c r="AB342">
        <v>222.88</v>
      </c>
      <c r="AC342">
        <v>13.5</v>
      </c>
      <c r="AD342">
        <v>0</v>
      </c>
      <c r="AE342">
        <v>0</v>
      </c>
      <c r="AF342">
        <v>31.26</v>
      </c>
      <c r="AG342">
        <v>13.5</v>
      </c>
      <c r="AH342">
        <v>0</v>
      </c>
      <c r="AI342">
        <v>1</v>
      </c>
      <c r="AJ342">
        <v>7.13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6</v>
      </c>
      <c r="AT342">
        <v>0.08</v>
      </c>
      <c r="AU342" t="s">
        <v>6</v>
      </c>
      <c r="AV342">
        <v>0</v>
      </c>
      <c r="AW342">
        <v>2</v>
      </c>
      <c r="AX342">
        <v>16631917</v>
      </c>
      <c r="AY342">
        <v>1</v>
      </c>
      <c r="AZ342">
        <v>0</v>
      </c>
      <c r="BA342">
        <v>348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Y342*Source!I167</f>
        <v>2.7999999999999997E-2</v>
      </c>
      <c r="CY342">
        <f>AB342</f>
        <v>222.88</v>
      </c>
      <c r="CZ342">
        <f>AF342</f>
        <v>31.26</v>
      </c>
      <c r="DA342">
        <f>AJ342</f>
        <v>7.13</v>
      </c>
      <c r="DB342">
        <f t="shared" si="47"/>
        <v>2.5</v>
      </c>
      <c r="DC342">
        <f t="shared" si="48"/>
        <v>1.08</v>
      </c>
    </row>
    <row r="343" spans="1:107" x14ac:dyDescent="0.2">
      <c r="A343">
        <f>ROW(Source!A168)</f>
        <v>168</v>
      </c>
      <c r="B343">
        <v>16630606</v>
      </c>
      <c r="C343">
        <v>16631918</v>
      </c>
      <c r="D343">
        <v>15446300</v>
      </c>
      <c r="E343">
        <v>1</v>
      </c>
      <c r="F343">
        <v>1</v>
      </c>
      <c r="G343">
        <v>1</v>
      </c>
      <c r="H343">
        <v>1</v>
      </c>
      <c r="I343" t="s">
        <v>1220</v>
      </c>
      <c r="J343" t="s">
        <v>6</v>
      </c>
      <c r="K343" t="s">
        <v>1221</v>
      </c>
      <c r="L343">
        <v>1191</v>
      </c>
      <c r="N343">
        <v>1013</v>
      </c>
      <c r="O343" t="s">
        <v>1148</v>
      </c>
      <c r="P343" t="s">
        <v>1148</v>
      </c>
      <c r="Q343">
        <v>1</v>
      </c>
      <c r="W343">
        <v>0</v>
      </c>
      <c r="X343">
        <v>912892513</v>
      </c>
      <c r="Y343">
        <v>118.4</v>
      </c>
      <c r="AA343">
        <v>0</v>
      </c>
      <c r="AB343">
        <v>0</v>
      </c>
      <c r="AC343">
        <v>0</v>
      </c>
      <c r="AD343">
        <v>70.73</v>
      </c>
      <c r="AE343">
        <v>0</v>
      </c>
      <c r="AF343">
        <v>0</v>
      </c>
      <c r="AG343">
        <v>0</v>
      </c>
      <c r="AH343">
        <v>9.92</v>
      </c>
      <c r="AI343">
        <v>1</v>
      </c>
      <c r="AJ343">
        <v>1</v>
      </c>
      <c r="AK343">
        <v>1</v>
      </c>
      <c r="AL343">
        <v>7.13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6</v>
      </c>
      <c r="AT343">
        <v>118.4</v>
      </c>
      <c r="AU343" t="s">
        <v>6</v>
      </c>
      <c r="AV343">
        <v>1</v>
      </c>
      <c r="AW343">
        <v>2</v>
      </c>
      <c r="AX343">
        <v>16631928</v>
      </c>
      <c r="AY343">
        <v>1</v>
      </c>
      <c r="AZ343">
        <v>0</v>
      </c>
      <c r="BA343">
        <v>349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Y343*Source!I168</f>
        <v>14.208</v>
      </c>
      <c r="CY343">
        <f>AD343</f>
        <v>70.73</v>
      </c>
      <c r="CZ343">
        <f>AH343</f>
        <v>9.92</v>
      </c>
      <c r="DA343">
        <f>AL343</f>
        <v>7.13</v>
      </c>
      <c r="DB343">
        <f t="shared" si="47"/>
        <v>1174.53</v>
      </c>
      <c r="DC343">
        <f t="shared" si="48"/>
        <v>0</v>
      </c>
    </row>
    <row r="344" spans="1:107" x14ac:dyDescent="0.2">
      <c r="A344">
        <f>ROW(Source!A168)</f>
        <v>168</v>
      </c>
      <c r="B344">
        <v>16630606</v>
      </c>
      <c r="C344">
        <v>16631918</v>
      </c>
      <c r="D344">
        <v>15430395</v>
      </c>
      <c r="E344">
        <v>1</v>
      </c>
      <c r="F344">
        <v>1</v>
      </c>
      <c r="G344">
        <v>1</v>
      </c>
      <c r="H344">
        <v>1</v>
      </c>
      <c r="I344" t="s">
        <v>1149</v>
      </c>
      <c r="J344" t="s">
        <v>6</v>
      </c>
      <c r="K344" t="s">
        <v>1150</v>
      </c>
      <c r="L344">
        <v>1191</v>
      </c>
      <c r="N344">
        <v>1013</v>
      </c>
      <c r="O344" t="s">
        <v>1148</v>
      </c>
      <c r="P344" t="s">
        <v>1148</v>
      </c>
      <c r="Q344">
        <v>1</v>
      </c>
      <c r="W344">
        <v>0</v>
      </c>
      <c r="X344">
        <v>-1417349443</v>
      </c>
      <c r="Y344">
        <v>0.6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1</v>
      </c>
      <c r="AJ344">
        <v>1</v>
      </c>
      <c r="AK344">
        <v>7.13</v>
      </c>
      <c r="AL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6</v>
      </c>
      <c r="AT344">
        <v>0.6</v>
      </c>
      <c r="AU344" t="s">
        <v>6</v>
      </c>
      <c r="AV344">
        <v>2</v>
      </c>
      <c r="AW344">
        <v>2</v>
      </c>
      <c r="AX344">
        <v>16631929</v>
      </c>
      <c r="AY344">
        <v>1</v>
      </c>
      <c r="AZ344">
        <v>0</v>
      </c>
      <c r="BA344">
        <v>350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Y344*Source!I168</f>
        <v>7.1999999999999995E-2</v>
      </c>
      <c r="CY344">
        <f>AD344</f>
        <v>0</v>
      </c>
      <c r="CZ344">
        <f>AH344</f>
        <v>0</v>
      </c>
      <c r="DA344">
        <f>AL344</f>
        <v>1</v>
      </c>
      <c r="DB344">
        <f t="shared" si="47"/>
        <v>0</v>
      </c>
      <c r="DC344">
        <f t="shared" si="48"/>
        <v>0</v>
      </c>
    </row>
    <row r="345" spans="1:107" x14ac:dyDescent="0.2">
      <c r="A345">
        <f>ROW(Source!A168)</f>
        <v>168</v>
      </c>
      <c r="B345">
        <v>16630606</v>
      </c>
      <c r="C345">
        <v>16631918</v>
      </c>
      <c r="D345">
        <v>15247680</v>
      </c>
      <c r="E345">
        <v>1</v>
      </c>
      <c r="F345">
        <v>1</v>
      </c>
      <c r="G345">
        <v>1</v>
      </c>
      <c r="H345">
        <v>2</v>
      </c>
      <c r="I345" t="s">
        <v>1419</v>
      </c>
      <c r="J345" t="s">
        <v>1420</v>
      </c>
      <c r="K345" t="s">
        <v>1421</v>
      </c>
      <c r="L345">
        <v>1368</v>
      </c>
      <c r="N345">
        <v>1011</v>
      </c>
      <c r="O345" t="s">
        <v>1154</v>
      </c>
      <c r="P345" t="s">
        <v>1154</v>
      </c>
      <c r="Q345">
        <v>1</v>
      </c>
      <c r="W345">
        <v>0</v>
      </c>
      <c r="X345">
        <v>-1718674368</v>
      </c>
      <c r="Y345">
        <v>0.3</v>
      </c>
      <c r="AA345">
        <v>0</v>
      </c>
      <c r="AB345">
        <v>798.49</v>
      </c>
      <c r="AC345">
        <v>13.5</v>
      </c>
      <c r="AD345">
        <v>0</v>
      </c>
      <c r="AE345">
        <v>0</v>
      </c>
      <c r="AF345">
        <v>111.99</v>
      </c>
      <c r="AG345">
        <v>13.5</v>
      </c>
      <c r="AH345">
        <v>0</v>
      </c>
      <c r="AI345">
        <v>1</v>
      </c>
      <c r="AJ345">
        <v>7.13</v>
      </c>
      <c r="AK345">
        <v>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6</v>
      </c>
      <c r="AT345">
        <v>0.3</v>
      </c>
      <c r="AU345" t="s">
        <v>6</v>
      </c>
      <c r="AV345">
        <v>0</v>
      </c>
      <c r="AW345">
        <v>2</v>
      </c>
      <c r="AX345">
        <v>16631930</v>
      </c>
      <c r="AY345">
        <v>1</v>
      </c>
      <c r="AZ345">
        <v>0</v>
      </c>
      <c r="BA345">
        <v>351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Y345*Source!I168</f>
        <v>3.5999999999999997E-2</v>
      </c>
      <c r="CY345">
        <f>AB345</f>
        <v>798.49</v>
      </c>
      <c r="CZ345">
        <f>AF345</f>
        <v>111.99</v>
      </c>
      <c r="DA345">
        <f>AJ345</f>
        <v>7.13</v>
      </c>
      <c r="DB345">
        <f t="shared" si="47"/>
        <v>33.6</v>
      </c>
      <c r="DC345">
        <f t="shared" si="48"/>
        <v>4.05</v>
      </c>
    </row>
    <row r="346" spans="1:107" x14ac:dyDescent="0.2">
      <c r="A346">
        <f>ROW(Source!A168)</f>
        <v>168</v>
      </c>
      <c r="B346">
        <v>16630606</v>
      </c>
      <c r="C346">
        <v>16631918</v>
      </c>
      <c r="D346">
        <v>15249073</v>
      </c>
      <c r="E346">
        <v>1</v>
      </c>
      <c r="F346">
        <v>1</v>
      </c>
      <c r="G346">
        <v>1</v>
      </c>
      <c r="H346">
        <v>2</v>
      </c>
      <c r="I346" t="s">
        <v>1157</v>
      </c>
      <c r="J346" t="s">
        <v>1158</v>
      </c>
      <c r="K346" t="s">
        <v>1159</v>
      </c>
      <c r="L346">
        <v>1368</v>
      </c>
      <c r="N346">
        <v>1011</v>
      </c>
      <c r="O346" t="s">
        <v>1154</v>
      </c>
      <c r="P346" t="s">
        <v>1154</v>
      </c>
      <c r="Q346">
        <v>1</v>
      </c>
      <c r="W346">
        <v>0</v>
      </c>
      <c r="X346">
        <v>1372534845</v>
      </c>
      <c r="Y346">
        <v>0.3</v>
      </c>
      <c r="AA346">
        <v>0</v>
      </c>
      <c r="AB346">
        <v>468.51</v>
      </c>
      <c r="AC346">
        <v>11.6</v>
      </c>
      <c r="AD346">
        <v>0</v>
      </c>
      <c r="AE346">
        <v>0</v>
      </c>
      <c r="AF346">
        <v>65.709999999999994</v>
      </c>
      <c r="AG346">
        <v>11.6</v>
      </c>
      <c r="AH346">
        <v>0</v>
      </c>
      <c r="AI346">
        <v>1</v>
      </c>
      <c r="AJ346">
        <v>7.13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6</v>
      </c>
      <c r="AT346">
        <v>0.3</v>
      </c>
      <c r="AU346" t="s">
        <v>6</v>
      </c>
      <c r="AV346">
        <v>0</v>
      </c>
      <c r="AW346">
        <v>2</v>
      </c>
      <c r="AX346">
        <v>16631931</v>
      </c>
      <c r="AY346">
        <v>1</v>
      </c>
      <c r="AZ346">
        <v>0</v>
      </c>
      <c r="BA346">
        <v>352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Y346*Source!I168</f>
        <v>3.5999999999999997E-2</v>
      </c>
      <c r="CY346">
        <f>AB346</f>
        <v>468.51</v>
      </c>
      <c r="CZ346">
        <f>AF346</f>
        <v>65.709999999999994</v>
      </c>
      <c r="DA346">
        <f>AJ346</f>
        <v>7.13</v>
      </c>
      <c r="DB346">
        <f t="shared" si="47"/>
        <v>19.71</v>
      </c>
      <c r="DC346">
        <f t="shared" si="48"/>
        <v>3.48</v>
      </c>
    </row>
    <row r="347" spans="1:107" x14ac:dyDescent="0.2">
      <c r="A347">
        <f>ROW(Source!A168)</f>
        <v>168</v>
      </c>
      <c r="B347">
        <v>16630606</v>
      </c>
      <c r="C347">
        <v>16631918</v>
      </c>
      <c r="D347">
        <v>15171982</v>
      </c>
      <c r="E347">
        <v>1</v>
      </c>
      <c r="F347">
        <v>1</v>
      </c>
      <c r="G347">
        <v>1</v>
      </c>
      <c r="H347">
        <v>3</v>
      </c>
      <c r="I347" t="s">
        <v>1364</v>
      </c>
      <c r="J347" t="s">
        <v>1365</v>
      </c>
      <c r="K347" t="s">
        <v>1366</v>
      </c>
      <c r="L347">
        <v>1348</v>
      </c>
      <c r="N347">
        <v>1009</v>
      </c>
      <c r="O347" t="s">
        <v>98</v>
      </c>
      <c r="P347" t="s">
        <v>98</v>
      </c>
      <c r="Q347">
        <v>1000</v>
      </c>
      <c r="W347">
        <v>0</v>
      </c>
      <c r="X347">
        <v>-1421715385</v>
      </c>
      <c r="Y347">
        <v>3.15E-3</v>
      </c>
      <c r="AA347">
        <v>5204.76</v>
      </c>
      <c r="AB347">
        <v>0</v>
      </c>
      <c r="AC347">
        <v>0</v>
      </c>
      <c r="AD347">
        <v>0</v>
      </c>
      <c r="AE347">
        <v>729.98</v>
      </c>
      <c r="AF347">
        <v>0</v>
      </c>
      <c r="AG347">
        <v>0</v>
      </c>
      <c r="AH347">
        <v>0</v>
      </c>
      <c r="AI347">
        <v>7.13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6</v>
      </c>
      <c r="AT347">
        <v>3.15E-3</v>
      </c>
      <c r="AU347" t="s">
        <v>6</v>
      </c>
      <c r="AV347">
        <v>0</v>
      </c>
      <c r="AW347">
        <v>2</v>
      </c>
      <c r="AX347">
        <v>16631932</v>
      </c>
      <c r="AY347">
        <v>1</v>
      </c>
      <c r="AZ347">
        <v>0</v>
      </c>
      <c r="BA347">
        <v>353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Y347*Source!I168</f>
        <v>3.7799999999999997E-4</v>
      </c>
      <c r="CY347">
        <f>AA347</f>
        <v>5204.76</v>
      </c>
      <c r="CZ347">
        <f>AE347</f>
        <v>729.98</v>
      </c>
      <c r="DA347">
        <f>AI347</f>
        <v>7.13</v>
      </c>
      <c r="DB347">
        <f t="shared" si="47"/>
        <v>2.2999999999999998</v>
      </c>
      <c r="DC347">
        <f t="shared" si="48"/>
        <v>0</v>
      </c>
    </row>
    <row r="348" spans="1:107" x14ac:dyDescent="0.2">
      <c r="A348">
        <f>ROW(Source!A168)</f>
        <v>168</v>
      </c>
      <c r="B348">
        <v>16630606</v>
      </c>
      <c r="C348">
        <v>16631918</v>
      </c>
      <c r="D348">
        <v>15219905</v>
      </c>
      <c r="E348">
        <v>1</v>
      </c>
      <c r="F348">
        <v>1</v>
      </c>
      <c r="G348">
        <v>1</v>
      </c>
      <c r="H348">
        <v>3</v>
      </c>
      <c r="I348" t="s">
        <v>541</v>
      </c>
      <c r="J348" t="s">
        <v>543</v>
      </c>
      <c r="K348" t="s">
        <v>542</v>
      </c>
      <c r="L348">
        <v>1354</v>
      </c>
      <c r="N348">
        <v>1010</v>
      </c>
      <c r="O348" t="s">
        <v>132</v>
      </c>
      <c r="P348" t="s">
        <v>132</v>
      </c>
      <c r="Q348">
        <v>1</v>
      </c>
      <c r="W348">
        <v>0</v>
      </c>
      <c r="X348">
        <v>1153549738</v>
      </c>
      <c r="Y348">
        <v>33.333333000000003</v>
      </c>
      <c r="AA348">
        <v>726.97</v>
      </c>
      <c r="AB348">
        <v>0</v>
      </c>
      <c r="AC348">
        <v>0</v>
      </c>
      <c r="AD348">
        <v>0</v>
      </c>
      <c r="AE348">
        <v>101.96</v>
      </c>
      <c r="AF348">
        <v>0</v>
      </c>
      <c r="AG348">
        <v>0</v>
      </c>
      <c r="AH348">
        <v>0</v>
      </c>
      <c r="AI348">
        <v>7.13</v>
      </c>
      <c r="AJ348">
        <v>1</v>
      </c>
      <c r="AK348">
        <v>1</v>
      </c>
      <c r="AL348">
        <v>1</v>
      </c>
      <c r="AN348">
        <v>0</v>
      </c>
      <c r="AO348">
        <v>0</v>
      </c>
      <c r="AP348">
        <v>0</v>
      </c>
      <c r="AQ348">
        <v>0</v>
      </c>
      <c r="AR348">
        <v>0</v>
      </c>
      <c r="AS348" t="s">
        <v>6</v>
      </c>
      <c r="AT348">
        <v>33.333333000000003</v>
      </c>
      <c r="AU348" t="s">
        <v>6</v>
      </c>
      <c r="AV348">
        <v>0</v>
      </c>
      <c r="AW348">
        <v>1</v>
      </c>
      <c r="AX348">
        <v>-1</v>
      </c>
      <c r="AY348">
        <v>0</v>
      </c>
      <c r="AZ348">
        <v>0</v>
      </c>
      <c r="BA348" t="s">
        <v>6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Y348*Source!I168</f>
        <v>3.9999999600000002</v>
      </c>
      <c r="CY348">
        <f>AA348</f>
        <v>726.97</v>
      </c>
      <c r="CZ348">
        <f>AE348</f>
        <v>101.96</v>
      </c>
      <c r="DA348">
        <f>AI348</f>
        <v>7.13</v>
      </c>
      <c r="DB348">
        <f t="shared" si="47"/>
        <v>3398.67</v>
      </c>
      <c r="DC348">
        <f t="shared" si="48"/>
        <v>0</v>
      </c>
    </row>
    <row r="349" spans="1:107" x14ac:dyDescent="0.2">
      <c r="A349">
        <f>ROW(Source!A168)</f>
        <v>168</v>
      </c>
      <c r="B349">
        <v>16630606</v>
      </c>
      <c r="C349">
        <v>16631918</v>
      </c>
      <c r="D349">
        <v>15219980</v>
      </c>
      <c r="E349">
        <v>1</v>
      </c>
      <c r="F349">
        <v>1</v>
      </c>
      <c r="G349">
        <v>1</v>
      </c>
      <c r="H349">
        <v>3</v>
      </c>
      <c r="I349" t="s">
        <v>537</v>
      </c>
      <c r="J349" t="s">
        <v>539</v>
      </c>
      <c r="K349" t="s">
        <v>538</v>
      </c>
      <c r="L349">
        <v>1354</v>
      </c>
      <c r="N349">
        <v>1010</v>
      </c>
      <c r="O349" t="s">
        <v>132</v>
      </c>
      <c r="P349" t="s">
        <v>132</v>
      </c>
      <c r="Q349">
        <v>1</v>
      </c>
      <c r="W349">
        <v>0</v>
      </c>
      <c r="X349">
        <v>-1636632573</v>
      </c>
      <c r="Y349">
        <v>66.666667000000004</v>
      </c>
      <c r="AA349">
        <v>2313.69</v>
      </c>
      <c r="AB349">
        <v>0</v>
      </c>
      <c r="AC349">
        <v>0</v>
      </c>
      <c r="AD349">
        <v>0</v>
      </c>
      <c r="AE349">
        <v>324.5</v>
      </c>
      <c r="AF349">
        <v>0</v>
      </c>
      <c r="AG349">
        <v>0</v>
      </c>
      <c r="AH349">
        <v>0</v>
      </c>
      <c r="AI349">
        <v>7.13</v>
      </c>
      <c r="AJ349">
        <v>1</v>
      </c>
      <c r="AK349">
        <v>1</v>
      </c>
      <c r="AL349">
        <v>1</v>
      </c>
      <c r="AN349">
        <v>0</v>
      </c>
      <c r="AO349">
        <v>0</v>
      </c>
      <c r="AP349">
        <v>0</v>
      </c>
      <c r="AQ349">
        <v>0</v>
      </c>
      <c r="AR349">
        <v>0</v>
      </c>
      <c r="AS349" t="s">
        <v>6</v>
      </c>
      <c r="AT349">
        <v>66.666667000000004</v>
      </c>
      <c r="AU349" t="s">
        <v>6</v>
      </c>
      <c r="AV349">
        <v>0</v>
      </c>
      <c r="AW349">
        <v>1</v>
      </c>
      <c r="AX349">
        <v>-1</v>
      </c>
      <c r="AY349">
        <v>0</v>
      </c>
      <c r="AZ349">
        <v>0</v>
      </c>
      <c r="BA349" t="s">
        <v>6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Y349*Source!I168</f>
        <v>8.0000000399999998</v>
      </c>
      <c r="CY349">
        <f>AA349</f>
        <v>2313.69</v>
      </c>
      <c r="CZ349">
        <f>AE349</f>
        <v>324.5</v>
      </c>
      <c r="DA349">
        <f>AI349</f>
        <v>7.13</v>
      </c>
      <c r="DB349">
        <f t="shared" si="47"/>
        <v>21633.33</v>
      </c>
      <c r="DC349">
        <f t="shared" si="48"/>
        <v>0</v>
      </c>
    </row>
    <row r="350" spans="1:107" x14ac:dyDescent="0.2">
      <c r="A350">
        <f>ROW(Source!A168)</f>
        <v>168</v>
      </c>
      <c r="B350">
        <v>16630606</v>
      </c>
      <c r="C350">
        <v>16631918</v>
      </c>
      <c r="D350">
        <v>15233312</v>
      </c>
      <c r="E350">
        <v>1</v>
      </c>
      <c r="F350">
        <v>1</v>
      </c>
      <c r="G350">
        <v>1</v>
      </c>
      <c r="H350">
        <v>3</v>
      </c>
      <c r="I350" t="s">
        <v>1472</v>
      </c>
      <c r="J350" t="s">
        <v>1473</v>
      </c>
      <c r="K350" t="s">
        <v>1474</v>
      </c>
      <c r="L350">
        <v>1346</v>
      </c>
      <c r="N350">
        <v>1009</v>
      </c>
      <c r="O350" t="s">
        <v>102</v>
      </c>
      <c r="P350" t="s">
        <v>102</v>
      </c>
      <c r="Q350">
        <v>1</v>
      </c>
      <c r="W350">
        <v>0</v>
      </c>
      <c r="X350">
        <v>1584075688</v>
      </c>
      <c r="Y350">
        <v>3.09</v>
      </c>
      <c r="AA350">
        <v>254.54</v>
      </c>
      <c r="AB350">
        <v>0</v>
      </c>
      <c r="AC350">
        <v>0</v>
      </c>
      <c r="AD350">
        <v>0</v>
      </c>
      <c r="AE350">
        <v>35.700000000000003</v>
      </c>
      <c r="AF350">
        <v>0</v>
      </c>
      <c r="AG350">
        <v>0</v>
      </c>
      <c r="AH350">
        <v>0</v>
      </c>
      <c r="AI350">
        <v>7.13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6</v>
      </c>
      <c r="AT350">
        <v>3.09</v>
      </c>
      <c r="AU350" t="s">
        <v>6</v>
      </c>
      <c r="AV350">
        <v>0</v>
      </c>
      <c r="AW350">
        <v>2</v>
      </c>
      <c r="AX350">
        <v>16631933</v>
      </c>
      <c r="AY350">
        <v>1</v>
      </c>
      <c r="AZ350">
        <v>0</v>
      </c>
      <c r="BA350">
        <v>354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Y350*Source!I168</f>
        <v>0.37079999999999996</v>
      </c>
      <c r="CY350">
        <f>AA350</f>
        <v>254.54</v>
      </c>
      <c r="CZ350">
        <f>AE350</f>
        <v>35.700000000000003</v>
      </c>
      <c r="DA350">
        <f>AI350</f>
        <v>7.13</v>
      </c>
      <c r="DB350">
        <f t="shared" si="47"/>
        <v>110.31</v>
      </c>
      <c r="DC350">
        <f t="shared" si="48"/>
        <v>0</v>
      </c>
    </row>
    <row r="351" spans="1:107" x14ac:dyDescent="0.2">
      <c r="A351">
        <f>ROW(Source!A168)</f>
        <v>168</v>
      </c>
      <c r="B351">
        <v>16630606</v>
      </c>
      <c r="C351">
        <v>16631918</v>
      </c>
      <c r="D351">
        <v>15164559</v>
      </c>
      <c r="E351">
        <v>17</v>
      </c>
      <c r="F351">
        <v>1</v>
      </c>
      <c r="G351">
        <v>1</v>
      </c>
      <c r="H351">
        <v>3</v>
      </c>
      <c r="I351" t="s">
        <v>1431</v>
      </c>
      <c r="J351" t="s">
        <v>6</v>
      </c>
      <c r="K351" t="s">
        <v>1432</v>
      </c>
      <c r="L351">
        <v>1374</v>
      </c>
      <c r="N351">
        <v>1013</v>
      </c>
      <c r="O351" t="s">
        <v>1433</v>
      </c>
      <c r="P351" t="s">
        <v>1433</v>
      </c>
      <c r="Q351">
        <v>1</v>
      </c>
      <c r="W351">
        <v>0</v>
      </c>
      <c r="X351">
        <v>-1731369543</v>
      </c>
      <c r="Y351">
        <v>23.49</v>
      </c>
      <c r="AA351">
        <v>1</v>
      </c>
      <c r="AB351">
        <v>0</v>
      </c>
      <c r="AC351">
        <v>0</v>
      </c>
      <c r="AD351">
        <v>0</v>
      </c>
      <c r="AE351">
        <v>1</v>
      </c>
      <c r="AF351">
        <v>0</v>
      </c>
      <c r="AG351">
        <v>0</v>
      </c>
      <c r="AH351">
        <v>0</v>
      </c>
      <c r="AI351">
        <v>1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6</v>
      </c>
      <c r="AT351">
        <v>23.49</v>
      </c>
      <c r="AU351" t="s">
        <v>6</v>
      </c>
      <c r="AV351">
        <v>0</v>
      </c>
      <c r="AW351">
        <v>2</v>
      </c>
      <c r="AX351">
        <v>16631934</v>
      </c>
      <c r="AY351">
        <v>1</v>
      </c>
      <c r="AZ351">
        <v>0</v>
      </c>
      <c r="BA351">
        <v>355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Y351*Source!I168</f>
        <v>2.8187999999999995</v>
      </c>
      <c r="CY351">
        <f>AA351</f>
        <v>1</v>
      </c>
      <c r="CZ351">
        <f>AE351</f>
        <v>1</v>
      </c>
      <c r="DA351">
        <f>AI351</f>
        <v>1</v>
      </c>
      <c r="DB351">
        <f t="shared" si="47"/>
        <v>23.49</v>
      </c>
      <c r="DC351">
        <f t="shared" si="48"/>
        <v>0</v>
      </c>
    </row>
    <row r="352" spans="1:107" x14ac:dyDescent="0.2">
      <c r="A352">
        <f>ROW(Source!A171)</f>
        <v>171</v>
      </c>
      <c r="B352">
        <v>16630606</v>
      </c>
      <c r="C352">
        <v>16631937</v>
      </c>
      <c r="D352">
        <v>15446300</v>
      </c>
      <c r="E352">
        <v>1</v>
      </c>
      <c r="F352">
        <v>1</v>
      </c>
      <c r="G352">
        <v>1</v>
      </c>
      <c r="H352">
        <v>1</v>
      </c>
      <c r="I352" t="s">
        <v>1220</v>
      </c>
      <c r="J352" t="s">
        <v>6</v>
      </c>
      <c r="K352" t="s">
        <v>1221</v>
      </c>
      <c r="L352">
        <v>1191</v>
      </c>
      <c r="N352">
        <v>1013</v>
      </c>
      <c r="O352" t="s">
        <v>1148</v>
      </c>
      <c r="P352" t="s">
        <v>1148</v>
      </c>
      <c r="Q352">
        <v>1</v>
      </c>
      <c r="W352">
        <v>0</v>
      </c>
      <c r="X352">
        <v>912892513</v>
      </c>
      <c r="Y352">
        <v>148</v>
      </c>
      <c r="AA352">
        <v>0</v>
      </c>
      <c r="AB352">
        <v>0</v>
      </c>
      <c r="AC352">
        <v>0</v>
      </c>
      <c r="AD352">
        <v>70.73</v>
      </c>
      <c r="AE352">
        <v>0</v>
      </c>
      <c r="AF352">
        <v>0</v>
      </c>
      <c r="AG352">
        <v>0</v>
      </c>
      <c r="AH352">
        <v>9.92</v>
      </c>
      <c r="AI352">
        <v>1</v>
      </c>
      <c r="AJ352">
        <v>1</v>
      </c>
      <c r="AK352">
        <v>1</v>
      </c>
      <c r="AL352">
        <v>7.13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6</v>
      </c>
      <c r="AT352">
        <v>148</v>
      </c>
      <c r="AU352" t="s">
        <v>6</v>
      </c>
      <c r="AV352">
        <v>1</v>
      </c>
      <c r="AW352">
        <v>2</v>
      </c>
      <c r="AX352">
        <v>16631946</v>
      </c>
      <c r="AY352">
        <v>1</v>
      </c>
      <c r="AZ352">
        <v>0</v>
      </c>
      <c r="BA352">
        <v>356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Y352*Source!I171</f>
        <v>50.32</v>
      </c>
      <c r="CY352">
        <f>AD352</f>
        <v>70.73</v>
      </c>
      <c r="CZ352">
        <f>AH352</f>
        <v>9.92</v>
      </c>
      <c r="DA352">
        <f>AL352</f>
        <v>7.13</v>
      </c>
      <c r="DB352">
        <f t="shared" si="47"/>
        <v>1468.16</v>
      </c>
      <c r="DC352">
        <f t="shared" si="48"/>
        <v>0</v>
      </c>
    </row>
    <row r="353" spans="1:107" x14ac:dyDescent="0.2">
      <c r="A353">
        <f>ROW(Source!A171)</f>
        <v>171</v>
      </c>
      <c r="B353">
        <v>16630606</v>
      </c>
      <c r="C353">
        <v>16631937</v>
      </c>
      <c r="D353">
        <v>15430395</v>
      </c>
      <c r="E353">
        <v>1</v>
      </c>
      <c r="F353">
        <v>1</v>
      </c>
      <c r="G353">
        <v>1</v>
      </c>
      <c r="H353">
        <v>1</v>
      </c>
      <c r="I353" t="s">
        <v>1149</v>
      </c>
      <c r="J353" t="s">
        <v>6</v>
      </c>
      <c r="K353" t="s">
        <v>1150</v>
      </c>
      <c r="L353">
        <v>1191</v>
      </c>
      <c r="N353">
        <v>1013</v>
      </c>
      <c r="O353" t="s">
        <v>1148</v>
      </c>
      <c r="P353" t="s">
        <v>1148</v>
      </c>
      <c r="Q353">
        <v>1</v>
      </c>
      <c r="W353">
        <v>0</v>
      </c>
      <c r="X353">
        <v>-1417349443</v>
      </c>
      <c r="Y353">
        <v>0.6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1</v>
      </c>
      <c r="AJ353">
        <v>1</v>
      </c>
      <c r="AK353">
        <v>7.13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6</v>
      </c>
      <c r="AT353">
        <v>0.6</v>
      </c>
      <c r="AU353" t="s">
        <v>6</v>
      </c>
      <c r="AV353">
        <v>2</v>
      </c>
      <c r="AW353">
        <v>2</v>
      </c>
      <c r="AX353">
        <v>16631947</v>
      </c>
      <c r="AY353">
        <v>1</v>
      </c>
      <c r="AZ353">
        <v>0</v>
      </c>
      <c r="BA353">
        <v>357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Y353*Source!I171</f>
        <v>0.20400000000000001</v>
      </c>
      <c r="CY353">
        <f>AD353</f>
        <v>0</v>
      </c>
      <c r="CZ353">
        <f>AH353</f>
        <v>0</v>
      </c>
      <c r="DA353">
        <f>AL353</f>
        <v>1</v>
      </c>
      <c r="DB353">
        <f t="shared" si="47"/>
        <v>0</v>
      </c>
      <c r="DC353">
        <f t="shared" si="48"/>
        <v>0</v>
      </c>
    </row>
    <row r="354" spans="1:107" x14ac:dyDescent="0.2">
      <c r="A354">
        <f>ROW(Source!A171)</f>
        <v>171</v>
      </c>
      <c r="B354">
        <v>16630606</v>
      </c>
      <c r="C354">
        <v>16631937</v>
      </c>
      <c r="D354">
        <v>15247680</v>
      </c>
      <c r="E354">
        <v>1</v>
      </c>
      <c r="F354">
        <v>1</v>
      </c>
      <c r="G354">
        <v>1</v>
      </c>
      <c r="H354">
        <v>2</v>
      </c>
      <c r="I354" t="s">
        <v>1419</v>
      </c>
      <c r="J354" t="s">
        <v>1420</v>
      </c>
      <c r="K354" t="s">
        <v>1421</v>
      </c>
      <c r="L354">
        <v>1368</v>
      </c>
      <c r="N354">
        <v>1011</v>
      </c>
      <c r="O354" t="s">
        <v>1154</v>
      </c>
      <c r="P354" t="s">
        <v>1154</v>
      </c>
      <c r="Q354">
        <v>1</v>
      </c>
      <c r="W354">
        <v>0</v>
      </c>
      <c r="X354">
        <v>-1718674368</v>
      </c>
      <c r="Y354">
        <v>0.3</v>
      </c>
      <c r="AA354">
        <v>0</v>
      </c>
      <c r="AB354">
        <v>798.49</v>
      </c>
      <c r="AC354">
        <v>13.5</v>
      </c>
      <c r="AD354">
        <v>0</v>
      </c>
      <c r="AE354">
        <v>0</v>
      </c>
      <c r="AF354">
        <v>111.99</v>
      </c>
      <c r="AG354">
        <v>13.5</v>
      </c>
      <c r="AH354">
        <v>0</v>
      </c>
      <c r="AI354">
        <v>1</v>
      </c>
      <c r="AJ354">
        <v>7.13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6</v>
      </c>
      <c r="AT354">
        <v>0.3</v>
      </c>
      <c r="AU354" t="s">
        <v>6</v>
      </c>
      <c r="AV354">
        <v>0</v>
      </c>
      <c r="AW354">
        <v>2</v>
      </c>
      <c r="AX354">
        <v>16631948</v>
      </c>
      <c r="AY354">
        <v>1</v>
      </c>
      <c r="AZ354">
        <v>0</v>
      </c>
      <c r="BA354">
        <v>358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Y354*Source!I171</f>
        <v>0.10200000000000001</v>
      </c>
      <c r="CY354">
        <f>AB354</f>
        <v>798.49</v>
      </c>
      <c r="CZ354">
        <f>AF354</f>
        <v>111.99</v>
      </c>
      <c r="DA354">
        <f>AJ354</f>
        <v>7.13</v>
      </c>
      <c r="DB354">
        <f t="shared" si="47"/>
        <v>33.6</v>
      </c>
      <c r="DC354">
        <f t="shared" si="48"/>
        <v>4.05</v>
      </c>
    </row>
    <row r="355" spans="1:107" x14ac:dyDescent="0.2">
      <c r="A355">
        <f>ROW(Source!A171)</f>
        <v>171</v>
      </c>
      <c r="B355">
        <v>16630606</v>
      </c>
      <c r="C355">
        <v>16631937</v>
      </c>
      <c r="D355">
        <v>15249073</v>
      </c>
      <c r="E355">
        <v>1</v>
      </c>
      <c r="F355">
        <v>1</v>
      </c>
      <c r="G355">
        <v>1</v>
      </c>
      <c r="H355">
        <v>2</v>
      </c>
      <c r="I355" t="s">
        <v>1157</v>
      </c>
      <c r="J355" t="s">
        <v>1158</v>
      </c>
      <c r="K355" t="s">
        <v>1159</v>
      </c>
      <c r="L355">
        <v>1368</v>
      </c>
      <c r="N355">
        <v>1011</v>
      </c>
      <c r="O355" t="s">
        <v>1154</v>
      </c>
      <c r="P355" t="s">
        <v>1154</v>
      </c>
      <c r="Q355">
        <v>1</v>
      </c>
      <c r="W355">
        <v>0</v>
      </c>
      <c r="X355">
        <v>1372534845</v>
      </c>
      <c r="Y355">
        <v>0.3</v>
      </c>
      <c r="AA355">
        <v>0</v>
      </c>
      <c r="AB355">
        <v>468.51</v>
      </c>
      <c r="AC355">
        <v>11.6</v>
      </c>
      <c r="AD355">
        <v>0</v>
      </c>
      <c r="AE355">
        <v>0</v>
      </c>
      <c r="AF355">
        <v>65.709999999999994</v>
      </c>
      <c r="AG355">
        <v>11.6</v>
      </c>
      <c r="AH355">
        <v>0</v>
      </c>
      <c r="AI355">
        <v>1</v>
      </c>
      <c r="AJ355">
        <v>7.13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6</v>
      </c>
      <c r="AT355">
        <v>0.3</v>
      </c>
      <c r="AU355" t="s">
        <v>6</v>
      </c>
      <c r="AV355">
        <v>0</v>
      </c>
      <c r="AW355">
        <v>2</v>
      </c>
      <c r="AX355">
        <v>16631949</v>
      </c>
      <c r="AY355">
        <v>1</v>
      </c>
      <c r="AZ355">
        <v>0</v>
      </c>
      <c r="BA355">
        <v>359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Y355*Source!I171</f>
        <v>0.10200000000000001</v>
      </c>
      <c r="CY355">
        <f>AB355</f>
        <v>468.51</v>
      </c>
      <c r="CZ355">
        <f>AF355</f>
        <v>65.709999999999994</v>
      </c>
      <c r="DA355">
        <f>AJ355</f>
        <v>7.13</v>
      </c>
      <c r="DB355">
        <f t="shared" si="47"/>
        <v>19.71</v>
      </c>
      <c r="DC355">
        <f t="shared" si="48"/>
        <v>3.48</v>
      </c>
    </row>
    <row r="356" spans="1:107" x14ac:dyDescent="0.2">
      <c r="A356">
        <f>ROW(Source!A171)</f>
        <v>171</v>
      </c>
      <c r="B356">
        <v>16630606</v>
      </c>
      <c r="C356">
        <v>16631937</v>
      </c>
      <c r="D356">
        <v>15171982</v>
      </c>
      <c r="E356">
        <v>1</v>
      </c>
      <c r="F356">
        <v>1</v>
      </c>
      <c r="G356">
        <v>1</v>
      </c>
      <c r="H356">
        <v>3</v>
      </c>
      <c r="I356" t="s">
        <v>1364</v>
      </c>
      <c r="J356" t="s">
        <v>1365</v>
      </c>
      <c r="K356" t="s">
        <v>1366</v>
      </c>
      <c r="L356">
        <v>1348</v>
      </c>
      <c r="N356">
        <v>1009</v>
      </c>
      <c r="O356" t="s">
        <v>98</v>
      </c>
      <c r="P356" t="s">
        <v>98</v>
      </c>
      <c r="Q356">
        <v>1000</v>
      </c>
      <c r="W356">
        <v>0</v>
      </c>
      <c r="X356">
        <v>-1421715385</v>
      </c>
      <c r="Y356">
        <v>3.15E-3</v>
      </c>
      <c r="AA356">
        <v>5204.76</v>
      </c>
      <c r="AB356">
        <v>0</v>
      </c>
      <c r="AC356">
        <v>0</v>
      </c>
      <c r="AD356">
        <v>0</v>
      </c>
      <c r="AE356">
        <v>729.98</v>
      </c>
      <c r="AF356">
        <v>0</v>
      </c>
      <c r="AG356">
        <v>0</v>
      </c>
      <c r="AH356">
        <v>0</v>
      </c>
      <c r="AI356">
        <v>7.13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6</v>
      </c>
      <c r="AT356">
        <v>3.15E-3</v>
      </c>
      <c r="AU356" t="s">
        <v>6</v>
      </c>
      <c r="AV356">
        <v>0</v>
      </c>
      <c r="AW356">
        <v>2</v>
      </c>
      <c r="AX356">
        <v>16631950</v>
      </c>
      <c r="AY356">
        <v>1</v>
      </c>
      <c r="AZ356">
        <v>0</v>
      </c>
      <c r="BA356">
        <v>360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Y356*Source!I171</f>
        <v>1.0710000000000001E-3</v>
      </c>
      <c r="CY356">
        <f>AA356</f>
        <v>5204.76</v>
      </c>
      <c r="CZ356">
        <f>AE356</f>
        <v>729.98</v>
      </c>
      <c r="DA356">
        <f>AI356</f>
        <v>7.13</v>
      </c>
      <c r="DB356">
        <f t="shared" si="47"/>
        <v>2.2999999999999998</v>
      </c>
      <c r="DC356">
        <f t="shared" si="48"/>
        <v>0</v>
      </c>
    </row>
    <row r="357" spans="1:107" x14ac:dyDescent="0.2">
      <c r="A357">
        <f>ROW(Source!A171)</f>
        <v>171</v>
      </c>
      <c r="B357">
        <v>16630606</v>
      </c>
      <c r="C357">
        <v>16631937</v>
      </c>
      <c r="D357">
        <v>15220111</v>
      </c>
      <c r="E357">
        <v>1</v>
      </c>
      <c r="F357">
        <v>1</v>
      </c>
      <c r="G357">
        <v>1</v>
      </c>
      <c r="H357">
        <v>3</v>
      </c>
      <c r="I357" t="s">
        <v>549</v>
      </c>
      <c r="J357" t="s">
        <v>551</v>
      </c>
      <c r="K357" t="s">
        <v>550</v>
      </c>
      <c r="L357">
        <v>1354</v>
      </c>
      <c r="N357">
        <v>1010</v>
      </c>
      <c r="O357" t="s">
        <v>132</v>
      </c>
      <c r="P357" t="s">
        <v>132</v>
      </c>
      <c r="Q357">
        <v>1</v>
      </c>
      <c r="W357">
        <v>0</v>
      </c>
      <c r="X357">
        <v>-1871075309</v>
      </c>
      <c r="Y357">
        <v>100</v>
      </c>
      <c r="AA357">
        <v>2431.4699999999998</v>
      </c>
      <c r="AB357">
        <v>0</v>
      </c>
      <c r="AC357">
        <v>0</v>
      </c>
      <c r="AD357">
        <v>0</v>
      </c>
      <c r="AE357">
        <v>341.02</v>
      </c>
      <c r="AF357">
        <v>0</v>
      </c>
      <c r="AG357">
        <v>0</v>
      </c>
      <c r="AH357">
        <v>0</v>
      </c>
      <c r="AI357">
        <v>7.13</v>
      </c>
      <c r="AJ357">
        <v>1</v>
      </c>
      <c r="AK357">
        <v>1</v>
      </c>
      <c r="AL357">
        <v>1</v>
      </c>
      <c r="AN357">
        <v>0</v>
      </c>
      <c r="AO357">
        <v>0</v>
      </c>
      <c r="AP357">
        <v>0</v>
      </c>
      <c r="AQ357">
        <v>0</v>
      </c>
      <c r="AR357">
        <v>0</v>
      </c>
      <c r="AS357" t="s">
        <v>6</v>
      </c>
      <c r="AT357">
        <v>100</v>
      </c>
      <c r="AU357" t="s">
        <v>6</v>
      </c>
      <c r="AV357">
        <v>0</v>
      </c>
      <c r="AW357">
        <v>1</v>
      </c>
      <c r="AX357">
        <v>-1</v>
      </c>
      <c r="AY357">
        <v>0</v>
      </c>
      <c r="AZ357">
        <v>0</v>
      </c>
      <c r="BA357" t="s">
        <v>6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Y357*Source!I171</f>
        <v>34</v>
      </c>
      <c r="CY357">
        <f>AA357</f>
        <v>2431.4699999999998</v>
      </c>
      <c r="CZ357">
        <f>AE357</f>
        <v>341.02</v>
      </c>
      <c r="DA357">
        <f>AI357</f>
        <v>7.13</v>
      </c>
      <c r="DB357">
        <f t="shared" si="47"/>
        <v>34102</v>
      </c>
      <c r="DC357">
        <f t="shared" si="48"/>
        <v>0</v>
      </c>
    </row>
    <row r="358" spans="1:107" x14ac:dyDescent="0.2">
      <c r="A358">
        <f>ROW(Source!A171)</f>
        <v>171</v>
      </c>
      <c r="B358">
        <v>16630606</v>
      </c>
      <c r="C358">
        <v>16631937</v>
      </c>
      <c r="D358">
        <v>15233312</v>
      </c>
      <c r="E358">
        <v>1</v>
      </c>
      <c r="F358">
        <v>1</v>
      </c>
      <c r="G358">
        <v>1</v>
      </c>
      <c r="H358">
        <v>3</v>
      </c>
      <c r="I358" t="s">
        <v>1472</v>
      </c>
      <c r="J358" t="s">
        <v>1473</v>
      </c>
      <c r="K358" t="s">
        <v>1474</v>
      </c>
      <c r="L358">
        <v>1346</v>
      </c>
      <c r="N358">
        <v>1009</v>
      </c>
      <c r="O358" t="s">
        <v>102</v>
      </c>
      <c r="P358" t="s">
        <v>102</v>
      </c>
      <c r="Q358">
        <v>1</v>
      </c>
      <c r="W358">
        <v>0</v>
      </c>
      <c r="X358">
        <v>1584075688</v>
      </c>
      <c r="Y358">
        <v>3.09</v>
      </c>
      <c r="AA358">
        <v>254.54</v>
      </c>
      <c r="AB358">
        <v>0</v>
      </c>
      <c r="AC358">
        <v>0</v>
      </c>
      <c r="AD358">
        <v>0</v>
      </c>
      <c r="AE358">
        <v>35.700000000000003</v>
      </c>
      <c r="AF358">
        <v>0</v>
      </c>
      <c r="AG358">
        <v>0</v>
      </c>
      <c r="AH358">
        <v>0</v>
      </c>
      <c r="AI358">
        <v>7.13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6</v>
      </c>
      <c r="AT358">
        <v>3.09</v>
      </c>
      <c r="AU358" t="s">
        <v>6</v>
      </c>
      <c r="AV358">
        <v>0</v>
      </c>
      <c r="AW358">
        <v>2</v>
      </c>
      <c r="AX358">
        <v>16631951</v>
      </c>
      <c r="AY358">
        <v>1</v>
      </c>
      <c r="AZ358">
        <v>0</v>
      </c>
      <c r="BA358">
        <v>361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Y358*Source!I171</f>
        <v>1.0506</v>
      </c>
      <c r="CY358">
        <f>AA358</f>
        <v>254.54</v>
      </c>
      <c r="CZ358">
        <f>AE358</f>
        <v>35.700000000000003</v>
      </c>
      <c r="DA358">
        <f>AI358</f>
        <v>7.13</v>
      </c>
      <c r="DB358">
        <f t="shared" si="47"/>
        <v>110.31</v>
      </c>
      <c r="DC358">
        <f t="shared" si="48"/>
        <v>0</v>
      </c>
    </row>
    <row r="359" spans="1:107" x14ac:dyDescent="0.2">
      <c r="A359">
        <f>ROW(Source!A171)</f>
        <v>171</v>
      </c>
      <c r="B359">
        <v>16630606</v>
      </c>
      <c r="C359">
        <v>16631937</v>
      </c>
      <c r="D359">
        <v>15164559</v>
      </c>
      <c r="E359">
        <v>17</v>
      </c>
      <c r="F359">
        <v>1</v>
      </c>
      <c r="G359">
        <v>1</v>
      </c>
      <c r="H359">
        <v>3</v>
      </c>
      <c r="I359" t="s">
        <v>1431</v>
      </c>
      <c r="J359" t="s">
        <v>6</v>
      </c>
      <c r="K359" t="s">
        <v>1432</v>
      </c>
      <c r="L359">
        <v>1374</v>
      </c>
      <c r="N359">
        <v>1013</v>
      </c>
      <c r="O359" t="s">
        <v>1433</v>
      </c>
      <c r="P359" t="s">
        <v>1433</v>
      </c>
      <c r="Q359">
        <v>1</v>
      </c>
      <c r="W359">
        <v>0</v>
      </c>
      <c r="X359">
        <v>-1731369543</v>
      </c>
      <c r="Y359">
        <v>29.36</v>
      </c>
      <c r="AA359">
        <v>1</v>
      </c>
      <c r="AB359">
        <v>0</v>
      </c>
      <c r="AC359">
        <v>0</v>
      </c>
      <c r="AD359">
        <v>0</v>
      </c>
      <c r="AE359">
        <v>1</v>
      </c>
      <c r="AF359">
        <v>0</v>
      </c>
      <c r="AG359">
        <v>0</v>
      </c>
      <c r="AH359">
        <v>0</v>
      </c>
      <c r="AI359">
        <v>1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6</v>
      </c>
      <c r="AT359">
        <v>29.36</v>
      </c>
      <c r="AU359" t="s">
        <v>6</v>
      </c>
      <c r="AV359">
        <v>0</v>
      </c>
      <c r="AW359">
        <v>2</v>
      </c>
      <c r="AX359">
        <v>16631952</v>
      </c>
      <c r="AY359">
        <v>1</v>
      </c>
      <c r="AZ359">
        <v>0</v>
      </c>
      <c r="BA359">
        <v>362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Y359*Source!I171</f>
        <v>9.9824000000000002</v>
      </c>
      <c r="CY359">
        <f>AA359</f>
        <v>1</v>
      </c>
      <c r="CZ359">
        <f>AE359</f>
        <v>1</v>
      </c>
      <c r="DA359">
        <f>AI359</f>
        <v>1</v>
      </c>
      <c r="DB359">
        <f t="shared" si="47"/>
        <v>29.36</v>
      </c>
      <c r="DC359">
        <f t="shared" si="48"/>
        <v>0</v>
      </c>
    </row>
    <row r="360" spans="1:107" x14ac:dyDescent="0.2">
      <c r="A360">
        <f>ROW(Source!A173)</f>
        <v>173</v>
      </c>
      <c r="B360">
        <v>16630606</v>
      </c>
      <c r="C360">
        <v>16631954</v>
      </c>
      <c r="D360">
        <v>15446300</v>
      </c>
      <c r="E360">
        <v>1</v>
      </c>
      <c r="F360">
        <v>1</v>
      </c>
      <c r="G360">
        <v>1</v>
      </c>
      <c r="H360">
        <v>1</v>
      </c>
      <c r="I360" t="s">
        <v>1220</v>
      </c>
      <c r="J360" t="s">
        <v>6</v>
      </c>
      <c r="K360" t="s">
        <v>1221</v>
      </c>
      <c r="L360">
        <v>1191</v>
      </c>
      <c r="N360">
        <v>1013</v>
      </c>
      <c r="O360" t="s">
        <v>1148</v>
      </c>
      <c r="P360" t="s">
        <v>1148</v>
      </c>
      <c r="Q360">
        <v>1</v>
      </c>
      <c r="W360">
        <v>0</v>
      </c>
      <c r="X360">
        <v>912892513</v>
      </c>
      <c r="Y360">
        <v>78.56</v>
      </c>
      <c r="AA360">
        <v>0</v>
      </c>
      <c r="AB360">
        <v>0</v>
      </c>
      <c r="AC360">
        <v>0</v>
      </c>
      <c r="AD360">
        <v>70.73</v>
      </c>
      <c r="AE360">
        <v>0</v>
      </c>
      <c r="AF360">
        <v>0</v>
      </c>
      <c r="AG360">
        <v>0</v>
      </c>
      <c r="AH360">
        <v>9.92</v>
      </c>
      <c r="AI360">
        <v>1</v>
      </c>
      <c r="AJ360">
        <v>1</v>
      </c>
      <c r="AK360">
        <v>1</v>
      </c>
      <c r="AL360">
        <v>7.13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6</v>
      </c>
      <c r="AT360">
        <v>78.56</v>
      </c>
      <c r="AU360" t="s">
        <v>6</v>
      </c>
      <c r="AV360">
        <v>1</v>
      </c>
      <c r="AW360">
        <v>2</v>
      </c>
      <c r="AX360">
        <v>16631964</v>
      </c>
      <c r="AY360">
        <v>1</v>
      </c>
      <c r="AZ360">
        <v>0</v>
      </c>
      <c r="BA360">
        <v>363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Y360*Source!I173</f>
        <v>2.3567999999999998</v>
      </c>
      <c r="CY360">
        <f>AD360</f>
        <v>70.73</v>
      </c>
      <c r="CZ360">
        <f>AH360</f>
        <v>9.92</v>
      </c>
      <c r="DA360">
        <f>AL360</f>
        <v>7.13</v>
      </c>
      <c r="DB360">
        <f t="shared" si="47"/>
        <v>779.32</v>
      </c>
      <c r="DC360">
        <f t="shared" si="48"/>
        <v>0</v>
      </c>
    </row>
    <row r="361" spans="1:107" x14ac:dyDescent="0.2">
      <c r="A361">
        <f>ROW(Source!A173)</f>
        <v>173</v>
      </c>
      <c r="B361">
        <v>16630606</v>
      </c>
      <c r="C361">
        <v>16631954</v>
      </c>
      <c r="D361">
        <v>15430395</v>
      </c>
      <c r="E361">
        <v>1</v>
      </c>
      <c r="F361">
        <v>1</v>
      </c>
      <c r="G361">
        <v>1</v>
      </c>
      <c r="H361">
        <v>1</v>
      </c>
      <c r="I361" t="s">
        <v>1149</v>
      </c>
      <c r="J361" t="s">
        <v>6</v>
      </c>
      <c r="K361" t="s">
        <v>1150</v>
      </c>
      <c r="L361">
        <v>1191</v>
      </c>
      <c r="N361">
        <v>1013</v>
      </c>
      <c r="O361" t="s">
        <v>1148</v>
      </c>
      <c r="P361" t="s">
        <v>1148</v>
      </c>
      <c r="Q361">
        <v>1</v>
      </c>
      <c r="W361">
        <v>0</v>
      </c>
      <c r="X361">
        <v>-1417349443</v>
      </c>
      <c r="Y361">
        <v>0.4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1</v>
      </c>
      <c r="AJ361">
        <v>1</v>
      </c>
      <c r="AK361">
        <v>7.13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6</v>
      </c>
      <c r="AT361">
        <v>0.4</v>
      </c>
      <c r="AU361" t="s">
        <v>6</v>
      </c>
      <c r="AV361">
        <v>2</v>
      </c>
      <c r="AW361">
        <v>2</v>
      </c>
      <c r="AX361">
        <v>16631965</v>
      </c>
      <c r="AY361">
        <v>1</v>
      </c>
      <c r="AZ361">
        <v>0</v>
      </c>
      <c r="BA361">
        <v>364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Y361*Source!I173</f>
        <v>1.2E-2</v>
      </c>
      <c r="CY361">
        <f>AD361</f>
        <v>0</v>
      </c>
      <c r="CZ361">
        <f>AH361</f>
        <v>0</v>
      </c>
      <c r="DA361">
        <f>AL361</f>
        <v>1</v>
      </c>
      <c r="DB361">
        <f t="shared" si="47"/>
        <v>0</v>
      </c>
      <c r="DC361">
        <f t="shared" si="48"/>
        <v>0</v>
      </c>
    </row>
    <row r="362" spans="1:107" x14ac:dyDescent="0.2">
      <c r="A362">
        <f>ROW(Source!A173)</f>
        <v>173</v>
      </c>
      <c r="B362">
        <v>16630606</v>
      </c>
      <c r="C362">
        <v>16631954</v>
      </c>
      <c r="D362">
        <v>15247680</v>
      </c>
      <c r="E362">
        <v>1</v>
      </c>
      <c r="F362">
        <v>1</v>
      </c>
      <c r="G362">
        <v>1</v>
      </c>
      <c r="H362">
        <v>2</v>
      </c>
      <c r="I362" t="s">
        <v>1419</v>
      </c>
      <c r="J362" t="s">
        <v>1420</v>
      </c>
      <c r="K362" t="s">
        <v>1421</v>
      </c>
      <c r="L362">
        <v>1368</v>
      </c>
      <c r="N362">
        <v>1011</v>
      </c>
      <c r="O362" t="s">
        <v>1154</v>
      </c>
      <c r="P362" t="s">
        <v>1154</v>
      </c>
      <c r="Q362">
        <v>1</v>
      </c>
      <c r="W362">
        <v>0</v>
      </c>
      <c r="X362">
        <v>-1718674368</v>
      </c>
      <c r="Y362">
        <v>0.2</v>
      </c>
      <c r="AA362">
        <v>0</v>
      </c>
      <c r="AB362">
        <v>798.49</v>
      </c>
      <c r="AC362">
        <v>13.5</v>
      </c>
      <c r="AD362">
        <v>0</v>
      </c>
      <c r="AE362">
        <v>0</v>
      </c>
      <c r="AF362">
        <v>111.99</v>
      </c>
      <c r="AG362">
        <v>13.5</v>
      </c>
      <c r="AH362">
        <v>0</v>
      </c>
      <c r="AI362">
        <v>1</v>
      </c>
      <c r="AJ362">
        <v>7.13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6</v>
      </c>
      <c r="AT362">
        <v>0.2</v>
      </c>
      <c r="AU362" t="s">
        <v>6</v>
      </c>
      <c r="AV362">
        <v>0</v>
      </c>
      <c r="AW362">
        <v>2</v>
      </c>
      <c r="AX362">
        <v>16631966</v>
      </c>
      <c r="AY362">
        <v>1</v>
      </c>
      <c r="AZ362">
        <v>0</v>
      </c>
      <c r="BA362">
        <v>365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Y362*Source!I173</f>
        <v>6.0000000000000001E-3</v>
      </c>
      <c r="CY362">
        <f>AB362</f>
        <v>798.49</v>
      </c>
      <c r="CZ362">
        <f>AF362</f>
        <v>111.99</v>
      </c>
      <c r="DA362">
        <f>AJ362</f>
        <v>7.13</v>
      </c>
      <c r="DB362">
        <f t="shared" si="47"/>
        <v>22.4</v>
      </c>
      <c r="DC362">
        <f t="shared" si="48"/>
        <v>2.7</v>
      </c>
    </row>
    <row r="363" spans="1:107" x14ac:dyDescent="0.2">
      <c r="A363">
        <f>ROW(Source!A173)</f>
        <v>173</v>
      </c>
      <c r="B363">
        <v>16630606</v>
      </c>
      <c r="C363">
        <v>16631954</v>
      </c>
      <c r="D363">
        <v>15249073</v>
      </c>
      <c r="E363">
        <v>1</v>
      </c>
      <c r="F363">
        <v>1</v>
      </c>
      <c r="G363">
        <v>1</v>
      </c>
      <c r="H363">
        <v>2</v>
      </c>
      <c r="I363" t="s">
        <v>1157</v>
      </c>
      <c r="J363" t="s">
        <v>1158</v>
      </c>
      <c r="K363" t="s">
        <v>1159</v>
      </c>
      <c r="L363">
        <v>1368</v>
      </c>
      <c r="N363">
        <v>1011</v>
      </c>
      <c r="O363" t="s">
        <v>1154</v>
      </c>
      <c r="P363" t="s">
        <v>1154</v>
      </c>
      <c r="Q363">
        <v>1</v>
      </c>
      <c r="W363">
        <v>0</v>
      </c>
      <c r="X363">
        <v>1372534845</v>
      </c>
      <c r="Y363">
        <v>0.2</v>
      </c>
      <c r="AA363">
        <v>0</v>
      </c>
      <c r="AB363">
        <v>468.51</v>
      </c>
      <c r="AC363">
        <v>11.6</v>
      </c>
      <c r="AD363">
        <v>0</v>
      </c>
      <c r="AE363">
        <v>0</v>
      </c>
      <c r="AF363">
        <v>65.709999999999994</v>
      </c>
      <c r="AG363">
        <v>11.6</v>
      </c>
      <c r="AH363">
        <v>0</v>
      </c>
      <c r="AI363">
        <v>1</v>
      </c>
      <c r="AJ363">
        <v>7.13</v>
      </c>
      <c r="AK363">
        <v>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6</v>
      </c>
      <c r="AT363">
        <v>0.2</v>
      </c>
      <c r="AU363" t="s">
        <v>6</v>
      </c>
      <c r="AV363">
        <v>0</v>
      </c>
      <c r="AW363">
        <v>2</v>
      </c>
      <c r="AX363">
        <v>16631967</v>
      </c>
      <c r="AY363">
        <v>1</v>
      </c>
      <c r="AZ363">
        <v>0</v>
      </c>
      <c r="BA363">
        <v>366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Y363*Source!I173</f>
        <v>6.0000000000000001E-3</v>
      </c>
      <c r="CY363">
        <f>AB363</f>
        <v>468.51</v>
      </c>
      <c r="CZ363">
        <f>AF363</f>
        <v>65.709999999999994</v>
      </c>
      <c r="DA363">
        <f>AJ363</f>
        <v>7.13</v>
      </c>
      <c r="DB363">
        <f t="shared" si="47"/>
        <v>13.14</v>
      </c>
      <c r="DC363">
        <f t="shared" si="48"/>
        <v>2.3199999999999998</v>
      </c>
    </row>
    <row r="364" spans="1:107" x14ac:dyDescent="0.2">
      <c r="A364">
        <f>ROW(Source!A173)</f>
        <v>173</v>
      </c>
      <c r="B364">
        <v>16630606</v>
      </c>
      <c r="C364">
        <v>16631954</v>
      </c>
      <c r="D364">
        <v>15167588</v>
      </c>
      <c r="E364">
        <v>1</v>
      </c>
      <c r="F364">
        <v>1</v>
      </c>
      <c r="G364">
        <v>1</v>
      </c>
      <c r="H364">
        <v>3</v>
      </c>
      <c r="I364" t="s">
        <v>1422</v>
      </c>
      <c r="J364" t="s">
        <v>1423</v>
      </c>
      <c r="K364" t="s">
        <v>1424</v>
      </c>
      <c r="L364">
        <v>1346</v>
      </c>
      <c r="N364">
        <v>1009</v>
      </c>
      <c r="O364" t="s">
        <v>102</v>
      </c>
      <c r="P364" t="s">
        <v>102</v>
      </c>
      <c r="Q364">
        <v>1</v>
      </c>
      <c r="W364">
        <v>0</v>
      </c>
      <c r="X364">
        <v>-1088866022</v>
      </c>
      <c r="Y364">
        <v>0.21</v>
      </c>
      <c r="AA364">
        <v>216.75</v>
      </c>
      <c r="AB364">
        <v>0</v>
      </c>
      <c r="AC364">
        <v>0</v>
      </c>
      <c r="AD364">
        <v>0</v>
      </c>
      <c r="AE364">
        <v>30.4</v>
      </c>
      <c r="AF364">
        <v>0</v>
      </c>
      <c r="AG364">
        <v>0</v>
      </c>
      <c r="AH364">
        <v>0</v>
      </c>
      <c r="AI364">
        <v>7.13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6</v>
      </c>
      <c r="AT364">
        <v>0.21</v>
      </c>
      <c r="AU364" t="s">
        <v>6</v>
      </c>
      <c r="AV364">
        <v>0</v>
      </c>
      <c r="AW364">
        <v>2</v>
      </c>
      <c r="AX364">
        <v>16631968</v>
      </c>
      <c r="AY364">
        <v>1</v>
      </c>
      <c r="AZ364">
        <v>0</v>
      </c>
      <c r="BA364">
        <v>367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Y364*Source!I173</f>
        <v>6.2999999999999992E-3</v>
      </c>
      <c r="CY364">
        <f>AA364</f>
        <v>216.75</v>
      </c>
      <c r="CZ364">
        <f>AE364</f>
        <v>30.4</v>
      </c>
      <c r="DA364">
        <f>AI364</f>
        <v>7.13</v>
      </c>
      <c r="DB364">
        <f t="shared" si="47"/>
        <v>6.38</v>
      </c>
      <c r="DC364">
        <f t="shared" si="48"/>
        <v>0</v>
      </c>
    </row>
    <row r="365" spans="1:107" x14ac:dyDescent="0.2">
      <c r="A365">
        <f>ROW(Source!A173)</f>
        <v>173</v>
      </c>
      <c r="B365">
        <v>16630606</v>
      </c>
      <c r="C365">
        <v>16631954</v>
      </c>
      <c r="D365">
        <v>15170074</v>
      </c>
      <c r="E365">
        <v>1</v>
      </c>
      <c r="F365">
        <v>1</v>
      </c>
      <c r="G365">
        <v>1</v>
      </c>
      <c r="H365">
        <v>3</v>
      </c>
      <c r="I365" t="s">
        <v>1443</v>
      </c>
      <c r="J365" t="s">
        <v>1444</v>
      </c>
      <c r="K365" t="s">
        <v>1445</v>
      </c>
      <c r="L365">
        <v>1355</v>
      </c>
      <c r="N365">
        <v>1010</v>
      </c>
      <c r="O365" t="s">
        <v>243</v>
      </c>
      <c r="P365" t="s">
        <v>243</v>
      </c>
      <c r="Q365">
        <v>100</v>
      </c>
      <c r="W365">
        <v>0</v>
      </c>
      <c r="X365">
        <v>1794244060</v>
      </c>
      <c r="Y365">
        <v>4.08</v>
      </c>
      <c r="AA365">
        <v>613.17999999999995</v>
      </c>
      <c r="AB365">
        <v>0</v>
      </c>
      <c r="AC365">
        <v>0</v>
      </c>
      <c r="AD365">
        <v>0</v>
      </c>
      <c r="AE365">
        <v>86</v>
      </c>
      <c r="AF365">
        <v>0</v>
      </c>
      <c r="AG365">
        <v>0</v>
      </c>
      <c r="AH365">
        <v>0</v>
      </c>
      <c r="AI365">
        <v>7.13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6</v>
      </c>
      <c r="AT365">
        <v>4.08</v>
      </c>
      <c r="AU365" t="s">
        <v>6</v>
      </c>
      <c r="AV365">
        <v>0</v>
      </c>
      <c r="AW365">
        <v>2</v>
      </c>
      <c r="AX365">
        <v>16631969</v>
      </c>
      <c r="AY365">
        <v>1</v>
      </c>
      <c r="AZ365">
        <v>0</v>
      </c>
      <c r="BA365">
        <v>368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Y365*Source!I173</f>
        <v>0.12239999999999999</v>
      </c>
      <c r="CY365">
        <f>AA365</f>
        <v>613.17999999999995</v>
      </c>
      <c r="CZ365">
        <f>AE365</f>
        <v>86</v>
      </c>
      <c r="DA365">
        <f>AI365</f>
        <v>7.13</v>
      </c>
      <c r="DB365">
        <f t="shared" si="47"/>
        <v>350.88</v>
      </c>
      <c r="DC365">
        <f t="shared" si="48"/>
        <v>0</v>
      </c>
    </row>
    <row r="366" spans="1:107" x14ac:dyDescent="0.2">
      <c r="A366">
        <f>ROW(Source!A173)</f>
        <v>173</v>
      </c>
      <c r="B366">
        <v>16630606</v>
      </c>
      <c r="C366">
        <v>16631954</v>
      </c>
      <c r="D366">
        <v>15220557</v>
      </c>
      <c r="E366">
        <v>1</v>
      </c>
      <c r="F366">
        <v>1</v>
      </c>
      <c r="G366">
        <v>1</v>
      </c>
      <c r="H366">
        <v>3</v>
      </c>
      <c r="I366" t="s">
        <v>557</v>
      </c>
      <c r="J366" t="s">
        <v>559</v>
      </c>
      <c r="K366" t="s">
        <v>558</v>
      </c>
      <c r="L366">
        <v>1354</v>
      </c>
      <c r="N366">
        <v>1010</v>
      </c>
      <c r="O366" t="s">
        <v>132</v>
      </c>
      <c r="P366" t="s">
        <v>132</v>
      </c>
      <c r="Q366">
        <v>1</v>
      </c>
      <c r="W366">
        <v>0</v>
      </c>
      <c r="X366">
        <v>2146108662</v>
      </c>
      <c r="Y366">
        <v>100</v>
      </c>
      <c r="AA366">
        <v>2362.7399999999998</v>
      </c>
      <c r="AB366">
        <v>0</v>
      </c>
      <c r="AC366">
        <v>0</v>
      </c>
      <c r="AD366">
        <v>0</v>
      </c>
      <c r="AE366">
        <v>331.38</v>
      </c>
      <c r="AF366">
        <v>0</v>
      </c>
      <c r="AG366">
        <v>0</v>
      </c>
      <c r="AH366">
        <v>0</v>
      </c>
      <c r="AI366">
        <v>7.13</v>
      </c>
      <c r="AJ366">
        <v>1</v>
      </c>
      <c r="AK366">
        <v>1</v>
      </c>
      <c r="AL366">
        <v>1</v>
      </c>
      <c r="AN366">
        <v>0</v>
      </c>
      <c r="AO366">
        <v>0</v>
      </c>
      <c r="AP366">
        <v>0</v>
      </c>
      <c r="AQ366">
        <v>0</v>
      </c>
      <c r="AR366">
        <v>0</v>
      </c>
      <c r="AS366" t="s">
        <v>6</v>
      </c>
      <c r="AT366">
        <v>100</v>
      </c>
      <c r="AU366" t="s">
        <v>6</v>
      </c>
      <c r="AV366">
        <v>0</v>
      </c>
      <c r="AW366">
        <v>1</v>
      </c>
      <c r="AX366">
        <v>-1</v>
      </c>
      <c r="AY366">
        <v>0</v>
      </c>
      <c r="AZ366">
        <v>0</v>
      </c>
      <c r="BA366" t="s">
        <v>6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Y366*Source!I173</f>
        <v>3</v>
      </c>
      <c r="CY366">
        <f>AA366</f>
        <v>2362.7399999999998</v>
      </c>
      <c r="CZ366">
        <f>AE366</f>
        <v>331.38</v>
      </c>
      <c r="DA366">
        <f>AI366</f>
        <v>7.13</v>
      </c>
      <c r="DB366">
        <f t="shared" ref="DB366:DB397" si="49">ROUND(ROUND(AT366*CZ366,2),2)</f>
        <v>33138</v>
      </c>
      <c r="DC366">
        <f t="shared" ref="DC366:DC397" si="50">ROUND(ROUND(AT366*AG366,2),2)</f>
        <v>0</v>
      </c>
    </row>
    <row r="367" spans="1:107" x14ac:dyDescent="0.2">
      <c r="A367">
        <f>ROW(Source!A173)</f>
        <v>173</v>
      </c>
      <c r="B367">
        <v>16630606</v>
      </c>
      <c r="C367">
        <v>16631954</v>
      </c>
      <c r="D367">
        <v>15225218</v>
      </c>
      <c r="E367">
        <v>1</v>
      </c>
      <c r="F367">
        <v>1</v>
      </c>
      <c r="G367">
        <v>1</v>
      </c>
      <c r="H367">
        <v>3</v>
      </c>
      <c r="I367" t="s">
        <v>1475</v>
      </c>
      <c r="J367" t="s">
        <v>1476</v>
      </c>
      <c r="K367" t="s">
        <v>1477</v>
      </c>
      <c r="L367">
        <v>1348</v>
      </c>
      <c r="N367">
        <v>1009</v>
      </c>
      <c r="O367" t="s">
        <v>98</v>
      </c>
      <c r="P367" t="s">
        <v>98</v>
      </c>
      <c r="Q367">
        <v>1000</v>
      </c>
      <c r="W367">
        <v>0</v>
      </c>
      <c r="X367">
        <v>-781267</v>
      </c>
      <c r="Y367">
        <v>1.5299999999999999E-3</v>
      </c>
      <c r="AA367">
        <v>687617.2</v>
      </c>
      <c r="AB367">
        <v>0</v>
      </c>
      <c r="AC367">
        <v>0</v>
      </c>
      <c r="AD367">
        <v>0</v>
      </c>
      <c r="AE367">
        <v>96440</v>
      </c>
      <c r="AF367">
        <v>0</v>
      </c>
      <c r="AG367">
        <v>0</v>
      </c>
      <c r="AH367">
        <v>0</v>
      </c>
      <c r="AI367">
        <v>7.13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6</v>
      </c>
      <c r="AT367">
        <v>1.5299999999999999E-3</v>
      </c>
      <c r="AU367" t="s">
        <v>6</v>
      </c>
      <c r="AV367">
        <v>0</v>
      </c>
      <c r="AW367">
        <v>2</v>
      </c>
      <c r="AX367">
        <v>16631970</v>
      </c>
      <c r="AY367">
        <v>1</v>
      </c>
      <c r="AZ367">
        <v>0</v>
      </c>
      <c r="BA367">
        <v>369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Y367*Source!I173</f>
        <v>4.5899999999999998E-5</v>
      </c>
      <c r="CY367">
        <f>AA367</f>
        <v>687617.2</v>
      </c>
      <c r="CZ367">
        <f>AE367</f>
        <v>96440</v>
      </c>
      <c r="DA367">
        <f>AI367</f>
        <v>7.13</v>
      </c>
      <c r="DB367">
        <f t="shared" si="49"/>
        <v>147.55000000000001</v>
      </c>
      <c r="DC367">
        <f t="shared" si="50"/>
        <v>0</v>
      </c>
    </row>
    <row r="368" spans="1:107" x14ac:dyDescent="0.2">
      <c r="A368">
        <f>ROW(Source!A173)</f>
        <v>173</v>
      </c>
      <c r="B368">
        <v>16630606</v>
      </c>
      <c r="C368">
        <v>16631954</v>
      </c>
      <c r="D368">
        <v>15164559</v>
      </c>
      <c r="E368">
        <v>17</v>
      </c>
      <c r="F368">
        <v>1</v>
      </c>
      <c r="G368">
        <v>1</v>
      </c>
      <c r="H368">
        <v>3</v>
      </c>
      <c r="I368" t="s">
        <v>1431</v>
      </c>
      <c r="J368" t="s">
        <v>6</v>
      </c>
      <c r="K368" t="s">
        <v>1432</v>
      </c>
      <c r="L368">
        <v>1374</v>
      </c>
      <c r="N368">
        <v>1013</v>
      </c>
      <c r="O368" t="s">
        <v>1433</v>
      </c>
      <c r="P368" t="s">
        <v>1433</v>
      </c>
      <c r="Q368">
        <v>1</v>
      </c>
      <c r="W368">
        <v>0</v>
      </c>
      <c r="X368">
        <v>-1731369543</v>
      </c>
      <c r="Y368">
        <v>15.59</v>
      </c>
      <c r="AA368">
        <v>1</v>
      </c>
      <c r="AB368">
        <v>0</v>
      </c>
      <c r="AC368">
        <v>0</v>
      </c>
      <c r="AD368">
        <v>0</v>
      </c>
      <c r="AE368">
        <v>1</v>
      </c>
      <c r="AF368">
        <v>0</v>
      </c>
      <c r="AG368">
        <v>0</v>
      </c>
      <c r="AH368">
        <v>0</v>
      </c>
      <c r="AI368">
        <v>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15.59</v>
      </c>
      <c r="AU368" t="s">
        <v>6</v>
      </c>
      <c r="AV368">
        <v>0</v>
      </c>
      <c r="AW368">
        <v>2</v>
      </c>
      <c r="AX368">
        <v>16631971</v>
      </c>
      <c r="AY368">
        <v>1</v>
      </c>
      <c r="AZ368">
        <v>0</v>
      </c>
      <c r="BA368">
        <v>370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Y368*Source!I173</f>
        <v>0.4677</v>
      </c>
      <c r="CY368">
        <f>AA368</f>
        <v>1</v>
      </c>
      <c r="CZ368">
        <f>AE368</f>
        <v>1</v>
      </c>
      <c r="DA368">
        <f>AI368</f>
        <v>1</v>
      </c>
      <c r="DB368">
        <f t="shared" si="49"/>
        <v>15.59</v>
      </c>
      <c r="DC368">
        <f t="shared" si="50"/>
        <v>0</v>
      </c>
    </row>
    <row r="369" spans="1:107" x14ac:dyDescent="0.2">
      <c r="A369">
        <f>ROW(Source!A175)</f>
        <v>175</v>
      </c>
      <c r="B369">
        <v>16630606</v>
      </c>
      <c r="C369">
        <v>16631973</v>
      </c>
      <c r="D369">
        <v>15446300</v>
      </c>
      <c r="E369">
        <v>1</v>
      </c>
      <c r="F369">
        <v>1</v>
      </c>
      <c r="G369">
        <v>1</v>
      </c>
      <c r="H369">
        <v>1</v>
      </c>
      <c r="I369" t="s">
        <v>1220</v>
      </c>
      <c r="J369" t="s">
        <v>6</v>
      </c>
      <c r="K369" t="s">
        <v>1221</v>
      </c>
      <c r="L369">
        <v>1191</v>
      </c>
      <c r="N369">
        <v>1013</v>
      </c>
      <c r="O369" t="s">
        <v>1148</v>
      </c>
      <c r="P369" t="s">
        <v>1148</v>
      </c>
      <c r="Q369">
        <v>1</v>
      </c>
      <c r="W369">
        <v>0</v>
      </c>
      <c r="X369">
        <v>912892513</v>
      </c>
      <c r="Y369">
        <v>34.56</v>
      </c>
      <c r="AA369">
        <v>0</v>
      </c>
      <c r="AB369">
        <v>0</v>
      </c>
      <c r="AC369">
        <v>0</v>
      </c>
      <c r="AD369">
        <v>70.73</v>
      </c>
      <c r="AE369">
        <v>0</v>
      </c>
      <c r="AF369">
        <v>0</v>
      </c>
      <c r="AG369">
        <v>0</v>
      </c>
      <c r="AH369">
        <v>9.92</v>
      </c>
      <c r="AI369">
        <v>1</v>
      </c>
      <c r="AJ369">
        <v>1</v>
      </c>
      <c r="AK369">
        <v>1</v>
      </c>
      <c r="AL369">
        <v>7.13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6</v>
      </c>
      <c r="AT369">
        <v>34.56</v>
      </c>
      <c r="AU369" t="s">
        <v>6</v>
      </c>
      <c r="AV369">
        <v>1</v>
      </c>
      <c r="AW369">
        <v>2</v>
      </c>
      <c r="AX369">
        <v>16631986</v>
      </c>
      <c r="AY369">
        <v>1</v>
      </c>
      <c r="AZ369">
        <v>0</v>
      </c>
      <c r="BA369">
        <v>371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Y369*Source!I175</f>
        <v>11.750400000000001</v>
      </c>
      <c r="CY369">
        <f>AD369</f>
        <v>70.73</v>
      </c>
      <c r="CZ369">
        <f>AH369</f>
        <v>9.92</v>
      </c>
      <c r="DA369">
        <f>AL369</f>
        <v>7.13</v>
      </c>
      <c r="DB369">
        <f t="shared" si="49"/>
        <v>342.84</v>
      </c>
      <c r="DC369">
        <f t="shared" si="50"/>
        <v>0</v>
      </c>
    </row>
    <row r="370" spans="1:107" x14ac:dyDescent="0.2">
      <c r="A370">
        <f>ROW(Source!A175)</f>
        <v>175</v>
      </c>
      <c r="B370">
        <v>16630606</v>
      </c>
      <c r="C370">
        <v>16631973</v>
      </c>
      <c r="D370">
        <v>15430395</v>
      </c>
      <c r="E370">
        <v>1</v>
      </c>
      <c r="F370">
        <v>1</v>
      </c>
      <c r="G370">
        <v>1</v>
      </c>
      <c r="H370">
        <v>1</v>
      </c>
      <c r="I370" t="s">
        <v>1149</v>
      </c>
      <c r="J370" t="s">
        <v>6</v>
      </c>
      <c r="K370" t="s">
        <v>1150</v>
      </c>
      <c r="L370">
        <v>1191</v>
      </c>
      <c r="N370">
        <v>1013</v>
      </c>
      <c r="O370" t="s">
        <v>1148</v>
      </c>
      <c r="P370" t="s">
        <v>1148</v>
      </c>
      <c r="Q370">
        <v>1</v>
      </c>
      <c r="W370">
        <v>0</v>
      </c>
      <c r="X370">
        <v>-1417349443</v>
      </c>
      <c r="Y370">
        <v>0.05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1</v>
      </c>
      <c r="AJ370">
        <v>1</v>
      </c>
      <c r="AK370">
        <v>7.13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0.05</v>
      </c>
      <c r="AU370" t="s">
        <v>6</v>
      </c>
      <c r="AV370">
        <v>2</v>
      </c>
      <c r="AW370">
        <v>2</v>
      </c>
      <c r="AX370">
        <v>16631987</v>
      </c>
      <c r="AY370">
        <v>1</v>
      </c>
      <c r="AZ370">
        <v>0</v>
      </c>
      <c r="BA370">
        <v>372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Y370*Source!I175</f>
        <v>1.7000000000000001E-2</v>
      </c>
      <c r="CY370">
        <f>AD370</f>
        <v>0</v>
      </c>
      <c r="CZ370">
        <f>AH370</f>
        <v>0</v>
      </c>
      <c r="DA370">
        <f>AL370</f>
        <v>1</v>
      </c>
      <c r="DB370">
        <f t="shared" si="49"/>
        <v>0</v>
      </c>
      <c r="DC370">
        <f t="shared" si="50"/>
        <v>0</v>
      </c>
    </row>
    <row r="371" spans="1:107" x14ac:dyDescent="0.2">
      <c r="A371">
        <f>ROW(Source!A175)</f>
        <v>175</v>
      </c>
      <c r="B371">
        <v>16630606</v>
      </c>
      <c r="C371">
        <v>16631973</v>
      </c>
      <c r="D371">
        <v>15247680</v>
      </c>
      <c r="E371">
        <v>1</v>
      </c>
      <c r="F371">
        <v>1</v>
      </c>
      <c r="G371">
        <v>1</v>
      </c>
      <c r="H371">
        <v>2</v>
      </c>
      <c r="I371" t="s">
        <v>1419</v>
      </c>
      <c r="J371" t="s">
        <v>1420</v>
      </c>
      <c r="K371" t="s">
        <v>1421</v>
      </c>
      <c r="L371">
        <v>1368</v>
      </c>
      <c r="N371">
        <v>1011</v>
      </c>
      <c r="O371" t="s">
        <v>1154</v>
      </c>
      <c r="P371" t="s">
        <v>1154</v>
      </c>
      <c r="Q371">
        <v>1</v>
      </c>
      <c r="W371">
        <v>0</v>
      </c>
      <c r="X371">
        <v>-1718674368</v>
      </c>
      <c r="Y371">
        <v>0.03</v>
      </c>
      <c r="AA371">
        <v>0</v>
      </c>
      <c r="AB371">
        <v>798.49</v>
      </c>
      <c r="AC371">
        <v>13.5</v>
      </c>
      <c r="AD371">
        <v>0</v>
      </c>
      <c r="AE371">
        <v>0</v>
      </c>
      <c r="AF371">
        <v>111.99</v>
      </c>
      <c r="AG371">
        <v>13.5</v>
      </c>
      <c r="AH371">
        <v>0</v>
      </c>
      <c r="AI371">
        <v>1</v>
      </c>
      <c r="AJ371">
        <v>7.13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6</v>
      </c>
      <c r="AT371">
        <v>0.03</v>
      </c>
      <c r="AU371" t="s">
        <v>6</v>
      </c>
      <c r="AV371">
        <v>0</v>
      </c>
      <c r="AW371">
        <v>2</v>
      </c>
      <c r="AX371">
        <v>16631988</v>
      </c>
      <c r="AY371">
        <v>1</v>
      </c>
      <c r="AZ371">
        <v>0</v>
      </c>
      <c r="BA371">
        <v>373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Y371*Source!I175</f>
        <v>1.0200000000000001E-2</v>
      </c>
      <c r="CY371">
        <f>AB371</f>
        <v>798.49</v>
      </c>
      <c r="CZ371">
        <f>AF371</f>
        <v>111.99</v>
      </c>
      <c r="DA371">
        <f>AJ371</f>
        <v>7.13</v>
      </c>
      <c r="DB371">
        <f t="shared" si="49"/>
        <v>3.36</v>
      </c>
      <c r="DC371">
        <f t="shared" si="50"/>
        <v>0.41</v>
      </c>
    </row>
    <row r="372" spans="1:107" x14ac:dyDescent="0.2">
      <c r="A372">
        <f>ROW(Source!A175)</f>
        <v>175</v>
      </c>
      <c r="B372">
        <v>16630606</v>
      </c>
      <c r="C372">
        <v>16631973</v>
      </c>
      <c r="D372">
        <v>15249073</v>
      </c>
      <c r="E372">
        <v>1</v>
      </c>
      <c r="F372">
        <v>1</v>
      </c>
      <c r="G372">
        <v>1</v>
      </c>
      <c r="H372">
        <v>2</v>
      </c>
      <c r="I372" t="s">
        <v>1157</v>
      </c>
      <c r="J372" t="s">
        <v>1158</v>
      </c>
      <c r="K372" t="s">
        <v>1159</v>
      </c>
      <c r="L372">
        <v>1368</v>
      </c>
      <c r="N372">
        <v>1011</v>
      </c>
      <c r="O372" t="s">
        <v>1154</v>
      </c>
      <c r="P372" t="s">
        <v>1154</v>
      </c>
      <c r="Q372">
        <v>1</v>
      </c>
      <c r="W372">
        <v>0</v>
      </c>
      <c r="X372">
        <v>1372534845</v>
      </c>
      <c r="Y372">
        <v>0.02</v>
      </c>
      <c r="AA372">
        <v>0</v>
      </c>
      <c r="AB372">
        <v>468.51</v>
      </c>
      <c r="AC372">
        <v>11.6</v>
      </c>
      <c r="AD372">
        <v>0</v>
      </c>
      <c r="AE372">
        <v>0</v>
      </c>
      <c r="AF372">
        <v>65.709999999999994</v>
      </c>
      <c r="AG372">
        <v>11.6</v>
      </c>
      <c r="AH372">
        <v>0</v>
      </c>
      <c r="AI372">
        <v>1</v>
      </c>
      <c r="AJ372">
        <v>7.13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6</v>
      </c>
      <c r="AT372">
        <v>0.02</v>
      </c>
      <c r="AU372" t="s">
        <v>6</v>
      </c>
      <c r="AV372">
        <v>0</v>
      </c>
      <c r="AW372">
        <v>2</v>
      </c>
      <c r="AX372">
        <v>16631989</v>
      </c>
      <c r="AY372">
        <v>1</v>
      </c>
      <c r="AZ372">
        <v>0</v>
      </c>
      <c r="BA372">
        <v>374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Y372*Source!I175</f>
        <v>6.8000000000000005E-3</v>
      </c>
      <c r="CY372">
        <f>AB372</f>
        <v>468.51</v>
      </c>
      <c r="CZ372">
        <f>AF372</f>
        <v>65.709999999999994</v>
      </c>
      <c r="DA372">
        <f>AJ372</f>
        <v>7.13</v>
      </c>
      <c r="DB372">
        <f t="shared" si="49"/>
        <v>1.31</v>
      </c>
      <c r="DC372">
        <f t="shared" si="50"/>
        <v>0.23</v>
      </c>
    </row>
    <row r="373" spans="1:107" x14ac:dyDescent="0.2">
      <c r="A373">
        <f>ROW(Source!A175)</f>
        <v>175</v>
      </c>
      <c r="B373">
        <v>16630606</v>
      </c>
      <c r="C373">
        <v>16631973</v>
      </c>
      <c r="D373">
        <v>15167588</v>
      </c>
      <c r="E373">
        <v>1</v>
      </c>
      <c r="F373">
        <v>1</v>
      </c>
      <c r="G373">
        <v>1</v>
      </c>
      <c r="H373">
        <v>3</v>
      </c>
      <c r="I373" t="s">
        <v>1422</v>
      </c>
      <c r="J373" t="s">
        <v>1423</v>
      </c>
      <c r="K373" t="s">
        <v>1424</v>
      </c>
      <c r="L373">
        <v>1346</v>
      </c>
      <c r="N373">
        <v>1009</v>
      </c>
      <c r="O373" t="s">
        <v>102</v>
      </c>
      <c r="P373" t="s">
        <v>102</v>
      </c>
      <c r="Q373">
        <v>1</v>
      </c>
      <c r="W373">
        <v>0</v>
      </c>
      <c r="X373">
        <v>-1088866022</v>
      </c>
      <c r="Y373">
        <v>0.11</v>
      </c>
      <c r="AA373">
        <v>216.75</v>
      </c>
      <c r="AB373">
        <v>0</v>
      </c>
      <c r="AC373">
        <v>0</v>
      </c>
      <c r="AD373">
        <v>0</v>
      </c>
      <c r="AE373">
        <v>30.4</v>
      </c>
      <c r="AF373">
        <v>0</v>
      </c>
      <c r="AG373">
        <v>0</v>
      </c>
      <c r="AH373">
        <v>0</v>
      </c>
      <c r="AI373">
        <v>7.13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6</v>
      </c>
      <c r="AT373">
        <v>0.11</v>
      </c>
      <c r="AU373" t="s">
        <v>6</v>
      </c>
      <c r="AV373">
        <v>0</v>
      </c>
      <c r="AW373">
        <v>2</v>
      </c>
      <c r="AX373">
        <v>16631990</v>
      </c>
      <c r="AY373">
        <v>1</v>
      </c>
      <c r="AZ373">
        <v>0</v>
      </c>
      <c r="BA373">
        <v>375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Y373*Source!I175</f>
        <v>3.7400000000000003E-2</v>
      </c>
      <c r="CY373">
        <f t="shared" ref="CY373:CY380" si="51">AA373</f>
        <v>216.75</v>
      </c>
      <c r="CZ373">
        <f t="shared" ref="CZ373:CZ380" si="52">AE373</f>
        <v>30.4</v>
      </c>
      <c r="DA373">
        <f t="shared" ref="DA373:DA380" si="53">AI373</f>
        <v>7.13</v>
      </c>
      <c r="DB373">
        <f t="shared" si="49"/>
        <v>3.34</v>
      </c>
      <c r="DC373">
        <f t="shared" si="50"/>
        <v>0</v>
      </c>
    </row>
    <row r="374" spans="1:107" x14ac:dyDescent="0.2">
      <c r="A374">
        <f>ROW(Source!A175)</f>
        <v>175</v>
      </c>
      <c r="B374">
        <v>16630606</v>
      </c>
      <c r="C374">
        <v>16631973</v>
      </c>
      <c r="D374">
        <v>15170074</v>
      </c>
      <c r="E374">
        <v>1</v>
      </c>
      <c r="F374">
        <v>1</v>
      </c>
      <c r="G374">
        <v>1</v>
      </c>
      <c r="H374">
        <v>3</v>
      </c>
      <c r="I374" t="s">
        <v>1443</v>
      </c>
      <c r="J374" t="s">
        <v>1444</v>
      </c>
      <c r="K374" t="s">
        <v>1445</v>
      </c>
      <c r="L374">
        <v>1355</v>
      </c>
      <c r="N374">
        <v>1010</v>
      </c>
      <c r="O374" t="s">
        <v>243</v>
      </c>
      <c r="P374" t="s">
        <v>243</v>
      </c>
      <c r="Q374">
        <v>100</v>
      </c>
      <c r="W374">
        <v>0</v>
      </c>
      <c r="X374">
        <v>1794244060</v>
      </c>
      <c r="Y374">
        <v>1.02</v>
      </c>
      <c r="AA374">
        <v>613.17999999999995</v>
      </c>
      <c r="AB374">
        <v>0</v>
      </c>
      <c r="AC374">
        <v>0</v>
      </c>
      <c r="AD374">
        <v>0</v>
      </c>
      <c r="AE374">
        <v>86</v>
      </c>
      <c r="AF374">
        <v>0</v>
      </c>
      <c r="AG374">
        <v>0</v>
      </c>
      <c r="AH374">
        <v>0</v>
      </c>
      <c r="AI374">
        <v>7.13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6</v>
      </c>
      <c r="AT374">
        <v>1.02</v>
      </c>
      <c r="AU374" t="s">
        <v>6</v>
      </c>
      <c r="AV374">
        <v>0</v>
      </c>
      <c r="AW374">
        <v>2</v>
      </c>
      <c r="AX374">
        <v>16631991</v>
      </c>
      <c r="AY374">
        <v>1</v>
      </c>
      <c r="AZ374">
        <v>0</v>
      </c>
      <c r="BA374">
        <v>376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Y374*Source!I175</f>
        <v>0.34680000000000005</v>
      </c>
      <c r="CY374">
        <f t="shared" si="51"/>
        <v>613.17999999999995</v>
      </c>
      <c r="CZ374">
        <f t="shared" si="52"/>
        <v>86</v>
      </c>
      <c r="DA374">
        <f t="shared" si="53"/>
        <v>7.13</v>
      </c>
      <c r="DB374">
        <f t="shared" si="49"/>
        <v>87.72</v>
      </c>
      <c r="DC374">
        <f t="shared" si="50"/>
        <v>0</v>
      </c>
    </row>
    <row r="375" spans="1:107" x14ac:dyDescent="0.2">
      <c r="A375">
        <f>ROW(Source!A175)</f>
        <v>175</v>
      </c>
      <c r="B375">
        <v>16630606</v>
      </c>
      <c r="C375">
        <v>16631973</v>
      </c>
      <c r="D375">
        <v>15170434</v>
      </c>
      <c r="E375">
        <v>1</v>
      </c>
      <c r="F375">
        <v>1</v>
      </c>
      <c r="G375">
        <v>1</v>
      </c>
      <c r="H375">
        <v>3</v>
      </c>
      <c r="I375" t="s">
        <v>1478</v>
      </c>
      <c r="J375" t="s">
        <v>1479</v>
      </c>
      <c r="K375" t="s">
        <v>1480</v>
      </c>
      <c r="L375">
        <v>1348</v>
      </c>
      <c r="N375">
        <v>1009</v>
      </c>
      <c r="O375" t="s">
        <v>98</v>
      </c>
      <c r="P375" t="s">
        <v>98</v>
      </c>
      <c r="Q375">
        <v>1000</v>
      </c>
      <c r="W375">
        <v>0</v>
      </c>
      <c r="X375">
        <v>797358079</v>
      </c>
      <c r="Y375">
        <v>1.6000000000000001E-4</v>
      </c>
      <c r="AA375">
        <v>212474</v>
      </c>
      <c r="AB375">
        <v>0</v>
      </c>
      <c r="AC375">
        <v>0</v>
      </c>
      <c r="AD375">
        <v>0</v>
      </c>
      <c r="AE375">
        <v>29800</v>
      </c>
      <c r="AF375">
        <v>0</v>
      </c>
      <c r="AG375">
        <v>0</v>
      </c>
      <c r="AH375">
        <v>0</v>
      </c>
      <c r="AI375">
        <v>7.13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6</v>
      </c>
      <c r="AT375">
        <v>1.6000000000000001E-4</v>
      </c>
      <c r="AU375" t="s">
        <v>6</v>
      </c>
      <c r="AV375">
        <v>0</v>
      </c>
      <c r="AW375">
        <v>2</v>
      </c>
      <c r="AX375">
        <v>16631992</v>
      </c>
      <c r="AY375">
        <v>1</v>
      </c>
      <c r="AZ375">
        <v>0</v>
      </c>
      <c r="BA375">
        <v>377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Y375*Source!I175</f>
        <v>5.4400000000000008E-5</v>
      </c>
      <c r="CY375">
        <f t="shared" si="51"/>
        <v>212474</v>
      </c>
      <c r="CZ375">
        <f t="shared" si="52"/>
        <v>29800</v>
      </c>
      <c r="DA375">
        <f t="shared" si="53"/>
        <v>7.13</v>
      </c>
      <c r="DB375">
        <f t="shared" si="49"/>
        <v>4.7699999999999996</v>
      </c>
      <c r="DC375">
        <f t="shared" si="50"/>
        <v>0</v>
      </c>
    </row>
    <row r="376" spans="1:107" x14ac:dyDescent="0.2">
      <c r="A376">
        <f>ROW(Source!A175)</f>
        <v>175</v>
      </c>
      <c r="B376">
        <v>16630606</v>
      </c>
      <c r="C376">
        <v>16631973</v>
      </c>
      <c r="D376">
        <v>15170438</v>
      </c>
      <c r="E376">
        <v>1</v>
      </c>
      <c r="F376">
        <v>1</v>
      </c>
      <c r="G376">
        <v>1</v>
      </c>
      <c r="H376">
        <v>3</v>
      </c>
      <c r="I376" t="s">
        <v>1481</v>
      </c>
      <c r="J376" t="s">
        <v>1482</v>
      </c>
      <c r="K376" t="s">
        <v>1483</v>
      </c>
      <c r="L376">
        <v>1348</v>
      </c>
      <c r="N376">
        <v>1009</v>
      </c>
      <c r="O376" t="s">
        <v>98</v>
      </c>
      <c r="P376" t="s">
        <v>98</v>
      </c>
      <c r="Q376">
        <v>1000</v>
      </c>
      <c r="W376">
        <v>0</v>
      </c>
      <c r="X376">
        <v>-1755229539</v>
      </c>
      <c r="Y376">
        <v>2.9999999999999997E-4</v>
      </c>
      <c r="AA376">
        <v>88625.9</v>
      </c>
      <c r="AB376">
        <v>0</v>
      </c>
      <c r="AC376">
        <v>0</v>
      </c>
      <c r="AD376">
        <v>0</v>
      </c>
      <c r="AE376">
        <v>12430</v>
      </c>
      <c r="AF376">
        <v>0</v>
      </c>
      <c r="AG376">
        <v>0</v>
      </c>
      <c r="AH376">
        <v>0</v>
      </c>
      <c r="AI376">
        <v>7.13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6</v>
      </c>
      <c r="AT376">
        <v>2.9999999999999997E-4</v>
      </c>
      <c r="AU376" t="s">
        <v>6</v>
      </c>
      <c r="AV376">
        <v>0</v>
      </c>
      <c r="AW376">
        <v>2</v>
      </c>
      <c r="AX376">
        <v>16631993</v>
      </c>
      <c r="AY376">
        <v>1</v>
      </c>
      <c r="AZ376">
        <v>0</v>
      </c>
      <c r="BA376">
        <v>378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Y376*Source!I175</f>
        <v>1.02E-4</v>
      </c>
      <c r="CY376">
        <f t="shared" si="51"/>
        <v>88625.9</v>
      </c>
      <c r="CZ376">
        <f t="shared" si="52"/>
        <v>12430</v>
      </c>
      <c r="DA376">
        <f t="shared" si="53"/>
        <v>7.13</v>
      </c>
      <c r="DB376">
        <f t="shared" si="49"/>
        <v>3.73</v>
      </c>
      <c r="DC376">
        <f t="shared" si="50"/>
        <v>0</v>
      </c>
    </row>
    <row r="377" spans="1:107" x14ac:dyDescent="0.2">
      <c r="A377">
        <f>ROW(Source!A175)</f>
        <v>175</v>
      </c>
      <c r="B377">
        <v>16630606</v>
      </c>
      <c r="C377">
        <v>16631973</v>
      </c>
      <c r="D377">
        <v>15220786</v>
      </c>
      <c r="E377">
        <v>1</v>
      </c>
      <c r="F377">
        <v>1</v>
      </c>
      <c r="G377">
        <v>1</v>
      </c>
      <c r="H377">
        <v>3</v>
      </c>
      <c r="I377" t="s">
        <v>573</v>
      </c>
      <c r="J377" t="s">
        <v>575</v>
      </c>
      <c r="K377" t="s">
        <v>574</v>
      </c>
      <c r="L377">
        <v>1355</v>
      </c>
      <c r="N377">
        <v>1010</v>
      </c>
      <c r="O377" t="s">
        <v>243</v>
      </c>
      <c r="P377" t="s">
        <v>243</v>
      </c>
      <c r="Q377">
        <v>100</v>
      </c>
      <c r="W377">
        <v>0</v>
      </c>
      <c r="X377">
        <v>734862959</v>
      </c>
      <c r="Y377">
        <v>5.8824000000000001E-2</v>
      </c>
      <c r="AA377">
        <v>54294.95</v>
      </c>
      <c r="AB377">
        <v>0</v>
      </c>
      <c r="AC377">
        <v>0</v>
      </c>
      <c r="AD377">
        <v>0</v>
      </c>
      <c r="AE377">
        <v>7615</v>
      </c>
      <c r="AF377">
        <v>0</v>
      </c>
      <c r="AG377">
        <v>0</v>
      </c>
      <c r="AH377">
        <v>0</v>
      </c>
      <c r="AI377">
        <v>7.13</v>
      </c>
      <c r="AJ377">
        <v>1</v>
      </c>
      <c r="AK377">
        <v>1</v>
      </c>
      <c r="AL377">
        <v>1</v>
      </c>
      <c r="AN377">
        <v>0</v>
      </c>
      <c r="AO377">
        <v>0</v>
      </c>
      <c r="AP377">
        <v>0</v>
      </c>
      <c r="AQ377">
        <v>0</v>
      </c>
      <c r="AR377">
        <v>0</v>
      </c>
      <c r="AS377" t="s">
        <v>6</v>
      </c>
      <c r="AT377">
        <v>5.8824000000000001E-2</v>
      </c>
      <c r="AU377" t="s">
        <v>6</v>
      </c>
      <c r="AV377">
        <v>0</v>
      </c>
      <c r="AW377">
        <v>1</v>
      </c>
      <c r="AX377">
        <v>-1</v>
      </c>
      <c r="AY377">
        <v>0</v>
      </c>
      <c r="AZ377">
        <v>0</v>
      </c>
      <c r="BA377" t="s">
        <v>6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Y377*Source!I175</f>
        <v>2.0000160000000003E-2</v>
      </c>
      <c r="CY377">
        <f t="shared" si="51"/>
        <v>54294.95</v>
      </c>
      <c r="CZ377">
        <f t="shared" si="52"/>
        <v>7615</v>
      </c>
      <c r="DA377">
        <f t="shared" si="53"/>
        <v>7.13</v>
      </c>
      <c r="DB377">
        <f t="shared" si="49"/>
        <v>447.94</v>
      </c>
      <c r="DC377">
        <f t="shared" si="50"/>
        <v>0</v>
      </c>
    </row>
    <row r="378" spans="1:107" x14ac:dyDescent="0.2">
      <c r="A378">
        <f>ROW(Source!A175)</f>
        <v>175</v>
      </c>
      <c r="B378">
        <v>16630606</v>
      </c>
      <c r="C378">
        <v>16631973</v>
      </c>
      <c r="D378">
        <v>15220789</v>
      </c>
      <c r="E378">
        <v>1</v>
      </c>
      <c r="F378">
        <v>1</v>
      </c>
      <c r="G378">
        <v>1</v>
      </c>
      <c r="H378">
        <v>3</v>
      </c>
      <c r="I378" t="s">
        <v>569</v>
      </c>
      <c r="J378" t="s">
        <v>571</v>
      </c>
      <c r="K378" t="s">
        <v>570</v>
      </c>
      <c r="L378">
        <v>1355</v>
      </c>
      <c r="N378">
        <v>1010</v>
      </c>
      <c r="O378" t="s">
        <v>243</v>
      </c>
      <c r="P378" t="s">
        <v>243</v>
      </c>
      <c r="Q378">
        <v>100</v>
      </c>
      <c r="W378">
        <v>0</v>
      </c>
      <c r="X378">
        <v>-232907881</v>
      </c>
      <c r="Y378">
        <v>0.70588200000000001</v>
      </c>
      <c r="AA378">
        <v>4114.01</v>
      </c>
      <c r="AB378">
        <v>0</v>
      </c>
      <c r="AC378">
        <v>0</v>
      </c>
      <c r="AD378">
        <v>0</v>
      </c>
      <c r="AE378">
        <v>577</v>
      </c>
      <c r="AF378">
        <v>0</v>
      </c>
      <c r="AG378">
        <v>0</v>
      </c>
      <c r="AH378">
        <v>0</v>
      </c>
      <c r="AI378">
        <v>7.13</v>
      </c>
      <c r="AJ378">
        <v>1</v>
      </c>
      <c r="AK378">
        <v>1</v>
      </c>
      <c r="AL378">
        <v>1</v>
      </c>
      <c r="AN378">
        <v>0</v>
      </c>
      <c r="AO378">
        <v>0</v>
      </c>
      <c r="AP378">
        <v>0</v>
      </c>
      <c r="AQ378">
        <v>0</v>
      </c>
      <c r="AR378">
        <v>0</v>
      </c>
      <c r="AS378" t="s">
        <v>6</v>
      </c>
      <c r="AT378">
        <v>0.70588200000000001</v>
      </c>
      <c r="AU378" t="s">
        <v>6</v>
      </c>
      <c r="AV378">
        <v>0</v>
      </c>
      <c r="AW378">
        <v>1</v>
      </c>
      <c r="AX378">
        <v>-1</v>
      </c>
      <c r="AY378">
        <v>0</v>
      </c>
      <c r="AZ378">
        <v>0</v>
      </c>
      <c r="BA378" t="s">
        <v>6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Y378*Source!I175</f>
        <v>0.23999988000000003</v>
      </c>
      <c r="CY378">
        <f t="shared" si="51"/>
        <v>4114.01</v>
      </c>
      <c r="CZ378">
        <f t="shared" si="52"/>
        <v>577</v>
      </c>
      <c r="DA378">
        <f t="shared" si="53"/>
        <v>7.13</v>
      </c>
      <c r="DB378">
        <f t="shared" si="49"/>
        <v>407.29</v>
      </c>
      <c r="DC378">
        <f t="shared" si="50"/>
        <v>0</v>
      </c>
    </row>
    <row r="379" spans="1:107" x14ac:dyDescent="0.2">
      <c r="A379">
        <f>ROW(Source!A175)</f>
        <v>175</v>
      </c>
      <c r="B379">
        <v>16630606</v>
      </c>
      <c r="C379">
        <v>16631973</v>
      </c>
      <c r="D379">
        <v>15220791</v>
      </c>
      <c r="E379">
        <v>1</v>
      </c>
      <c r="F379">
        <v>1</v>
      </c>
      <c r="G379">
        <v>1</v>
      </c>
      <c r="H379">
        <v>3</v>
      </c>
      <c r="I379" t="s">
        <v>565</v>
      </c>
      <c r="J379" t="s">
        <v>567</v>
      </c>
      <c r="K379" t="s">
        <v>566</v>
      </c>
      <c r="L379">
        <v>1355</v>
      </c>
      <c r="N379">
        <v>1010</v>
      </c>
      <c r="O379" t="s">
        <v>243</v>
      </c>
      <c r="P379" t="s">
        <v>243</v>
      </c>
      <c r="Q379">
        <v>100</v>
      </c>
      <c r="W379">
        <v>0</v>
      </c>
      <c r="X379">
        <v>-647283413</v>
      </c>
      <c r="Y379">
        <v>0.235294</v>
      </c>
      <c r="AA379">
        <v>15700.26</v>
      </c>
      <c r="AB379">
        <v>0</v>
      </c>
      <c r="AC379">
        <v>0</v>
      </c>
      <c r="AD379">
        <v>0</v>
      </c>
      <c r="AE379">
        <v>2202</v>
      </c>
      <c r="AF379">
        <v>0</v>
      </c>
      <c r="AG379">
        <v>0</v>
      </c>
      <c r="AH379">
        <v>0</v>
      </c>
      <c r="AI379">
        <v>7.13</v>
      </c>
      <c r="AJ379">
        <v>1</v>
      </c>
      <c r="AK379">
        <v>1</v>
      </c>
      <c r="AL379">
        <v>1</v>
      </c>
      <c r="AN379">
        <v>0</v>
      </c>
      <c r="AO379">
        <v>0</v>
      </c>
      <c r="AP379">
        <v>0</v>
      </c>
      <c r="AQ379">
        <v>0</v>
      </c>
      <c r="AR379">
        <v>0</v>
      </c>
      <c r="AS379" t="s">
        <v>6</v>
      </c>
      <c r="AT379">
        <v>0.235294</v>
      </c>
      <c r="AU379" t="s">
        <v>6</v>
      </c>
      <c r="AV379">
        <v>0</v>
      </c>
      <c r="AW379">
        <v>1</v>
      </c>
      <c r="AX379">
        <v>-1</v>
      </c>
      <c r="AY379">
        <v>0</v>
      </c>
      <c r="AZ379">
        <v>0</v>
      </c>
      <c r="BA379" t="s">
        <v>6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Y379*Source!I175</f>
        <v>7.9999960000000009E-2</v>
      </c>
      <c r="CY379">
        <f t="shared" si="51"/>
        <v>15700.26</v>
      </c>
      <c r="CZ379">
        <f t="shared" si="52"/>
        <v>2202</v>
      </c>
      <c r="DA379">
        <f t="shared" si="53"/>
        <v>7.13</v>
      </c>
      <c r="DB379">
        <f t="shared" si="49"/>
        <v>518.12</v>
      </c>
      <c r="DC379">
        <f t="shared" si="50"/>
        <v>0</v>
      </c>
    </row>
    <row r="380" spans="1:107" x14ac:dyDescent="0.2">
      <c r="A380">
        <f>ROW(Source!A175)</f>
        <v>175</v>
      </c>
      <c r="B380">
        <v>16630606</v>
      </c>
      <c r="C380">
        <v>16631973</v>
      </c>
      <c r="D380">
        <v>15164559</v>
      </c>
      <c r="E380">
        <v>17</v>
      </c>
      <c r="F380">
        <v>1</v>
      </c>
      <c r="G380">
        <v>1</v>
      </c>
      <c r="H380">
        <v>3</v>
      </c>
      <c r="I380" t="s">
        <v>1431</v>
      </c>
      <c r="J380" t="s">
        <v>6</v>
      </c>
      <c r="K380" t="s">
        <v>1432</v>
      </c>
      <c r="L380">
        <v>1374</v>
      </c>
      <c r="N380">
        <v>1013</v>
      </c>
      <c r="O380" t="s">
        <v>1433</v>
      </c>
      <c r="P380" t="s">
        <v>1433</v>
      </c>
      <c r="Q380">
        <v>1</v>
      </c>
      <c r="W380">
        <v>0</v>
      </c>
      <c r="X380">
        <v>-1731369543</v>
      </c>
      <c r="Y380">
        <v>6.86</v>
      </c>
      <c r="AA380">
        <v>1</v>
      </c>
      <c r="AB380">
        <v>0</v>
      </c>
      <c r="AC380">
        <v>0</v>
      </c>
      <c r="AD380">
        <v>0</v>
      </c>
      <c r="AE380">
        <v>1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6</v>
      </c>
      <c r="AT380">
        <v>6.86</v>
      </c>
      <c r="AU380" t="s">
        <v>6</v>
      </c>
      <c r="AV380">
        <v>0</v>
      </c>
      <c r="AW380">
        <v>2</v>
      </c>
      <c r="AX380">
        <v>16631994</v>
      </c>
      <c r="AY380">
        <v>1</v>
      </c>
      <c r="AZ380">
        <v>0</v>
      </c>
      <c r="BA380">
        <v>379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Y380*Source!I175</f>
        <v>2.3324000000000003</v>
      </c>
      <c r="CY380">
        <f t="shared" si="51"/>
        <v>1</v>
      </c>
      <c r="CZ380">
        <f t="shared" si="52"/>
        <v>1</v>
      </c>
      <c r="DA380">
        <f t="shared" si="53"/>
        <v>1</v>
      </c>
      <c r="DB380">
        <f t="shared" si="49"/>
        <v>6.86</v>
      </c>
      <c r="DC380">
        <f t="shared" si="50"/>
        <v>0</v>
      </c>
    </row>
    <row r="381" spans="1:107" x14ac:dyDescent="0.2">
      <c r="A381">
        <f>ROW(Source!A179)</f>
        <v>179</v>
      </c>
      <c r="B381">
        <v>16630606</v>
      </c>
      <c r="C381">
        <v>16631998</v>
      </c>
      <c r="D381">
        <v>15435721</v>
      </c>
      <c r="E381">
        <v>1</v>
      </c>
      <c r="F381">
        <v>1</v>
      </c>
      <c r="G381">
        <v>1</v>
      </c>
      <c r="H381">
        <v>1</v>
      </c>
      <c r="I381" t="s">
        <v>1311</v>
      </c>
      <c r="J381" t="s">
        <v>6</v>
      </c>
      <c r="K381" t="s">
        <v>1312</v>
      </c>
      <c r="L381">
        <v>1191</v>
      </c>
      <c r="N381">
        <v>1013</v>
      </c>
      <c r="O381" t="s">
        <v>1148</v>
      </c>
      <c r="P381" t="s">
        <v>1148</v>
      </c>
      <c r="Q381">
        <v>1</v>
      </c>
      <c r="W381">
        <v>0</v>
      </c>
      <c r="X381">
        <v>1983201532</v>
      </c>
      <c r="Y381">
        <v>16.29</v>
      </c>
      <c r="AA381">
        <v>0</v>
      </c>
      <c r="AB381">
        <v>0</v>
      </c>
      <c r="AC381">
        <v>0</v>
      </c>
      <c r="AD381">
        <v>67.81</v>
      </c>
      <c r="AE381">
        <v>0</v>
      </c>
      <c r="AF381">
        <v>0</v>
      </c>
      <c r="AG381">
        <v>0</v>
      </c>
      <c r="AH381">
        <v>9.51</v>
      </c>
      <c r="AI381">
        <v>1</v>
      </c>
      <c r="AJ381">
        <v>1</v>
      </c>
      <c r="AK381">
        <v>1</v>
      </c>
      <c r="AL381">
        <v>7.13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6</v>
      </c>
      <c r="AT381">
        <v>16.29</v>
      </c>
      <c r="AU381" t="s">
        <v>6</v>
      </c>
      <c r="AV381">
        <v>1</v>
      </c>
      <c r="AW381">
        <v>2</v>
      </c>
      <c r="AX381">
        <v>16632007</v>
      </c>
      <c r="AY381">
        <v>1</v>
      </c>
      <c r="AZ381">
        <v>0</v>
      </c>
      <c r="BA381">
        <v>380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Y381*Source!I179</f>
        <v>68.418000000000006</v>
      </c>
      <c r="CY381">
        <f>AD381</f>
        <v>67.81</v>
      </c>
      <c r="CZ381">
        <f>AH381</f>
        <v>9.51</v>
      </c>
      <c r="DA381">
        <f>AL381</f>
        <v>7.13</v>
      </c>
      <c r="DB381">
        <f t="shared" si="49"/>
        <v>154.91999999999999</v>
      </c>
      <c r="DC381">
        <f t="shared" si="50"/>
        <v>0</v>
      </c>
    </row>
    <row r="382" spans="1:107" x14ac:dyDescent="0.2">
      <c r="A382">
        <f>ROW(Source!A179)</f>
        <v>179</v>
      </c>
      <c r="B382">
        <v>16630606</v>
      </c>
      <c r="C382">
        <v>16631998</v>
      </c>
      <c r="D382">
        <v>15430395</v>
      </c>
      <c r="E382">
        <v>1</v>
      </c>
      <c r="F382">
        <v>1</v>
      </c>
      <c r="G382">
        <v>1</v>
      </c>
      <c r="H382">
        <v>1</v>
      </c>
      <c r="I382" t="s">
        <v>1149</v>
      </c>
      <c r="J382" t="s">
        <v>6</v>
      </c>
      <c r="K382" t="s">
        <v>1150</v>
      </c>
      <c r="L382">
        <v>1191</v>
      </c>
      <c r="N382">
        <v>1013</v>
      </c>
      <c r="O382" t="s">
        <v>1148</v>
      </c>
      <c r="P382" t="s">
        <v>1148</v>
      </c>
      <c r="Q382">
        <v>1</v>
      </c>
      <c r="W382">
        <v>0</v>
      </c>
      <c r="X382">
        <v>-1417349443</v>
      </c>
      <c r="Y382">
        <v>0.01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1</v>
      </c>
      <c r="AJ382">
        <v>1</v>
      </c>
      <c r="AK382">
        <v>7.13</v>
      </c>
      <c r="AL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6</v>
      </c>
      <c r="AT382">
        <v>0.01</v>
      </c>
      <c r="AU382" t="s">
        <v>6</v>
      </c>
      <c r="AV382">
        <v>2</v>
      </c>
      <c r="AW382">
        <v>2</v>
      </c>
      <c r="AX382">
        <v>16632008</v>
      </c>
      <c r="AY382">
        <v>1</v>
      </c>
      <c r="AZ382">
        <v>0</v>
      </c>
      <c r="BA382">
        <v>381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Y382*Source!I179</f>
        <v>4.2000000000000003E-2</v>
      </c>
      <c r="CY382">
        <f>AD382</f>
        <v>0</v>
      </c>
      <c r="CZ382">
        <f>AH382</f>
        <v>0</v>
      </c>
      <c r="DA382">
        <f>AL382</f>
        <v>1</v>
      </c>
      <c r="DB382">
        <f t="shared" si="49"/>
        <v>0</v>
      </c>
      <c r="DC382">
        <f t="shared" si="50"/>
        <v>0</v>
      </c>
    </row>
    <row r="383" spans="1:107" x14ac:dyDescent="0.2">
      <c r="A383">
        <f>ROW(Source!A179)</f>
        <v>179</v>
      </c>
      <c r="B383">
        <v>16630606</v>
      </c>
      <c r="C383">
        <v>16631998</v>
      </c>
      <c r="D383">
        <v>15247974</v>
      </c>
      <c r="E383">
        <v>1</v>
      </c>
      <c r="F383">
        <v>1</v>
      </c>
      <c r="G383">
        <v>1</v>
      </c>
      <c r="H383">
        <v>2</v>
      </c>
      <c r="I383" t="s">
        <v>1151</v>
      </c>
      <c r="J383" t="s">
        <v>1152</v>
      </c>
      <c r="K383" t="s">
        <v>1153</v>
      </c>
      <c r="L383">
        <v>1368</v>
      </c>
      <c r="N383">
        <v>1011</v>
      </c>
      <c r="O383" t="s">
        <v>1154</v>
      </c>
      <c r="P383" t="s">
        <v>1154</v>
      </c>
      <c r="Q383">
        <v>1</v>
      </c>
      <c r="W383">
        <v>0</v>
      </c>
      <c r="X383">
        <v>1188625873</v>
      </c>
      <c r="Y383">
        <v>0.01</v>
      </c>
      <c r="AA383">
        <v>0</v>
      </c>
      <c r="AB383">
        <v>222.88</v>
      </c>
      <c r="AC383">
        <v>13.5</v>
      </c>
      <c r="AD383">
        <v>0</v>
      </c>
      <c r="AE383">
        <v>0</v>
      </c>
      <c r="AF383">
        <v>31.26</v>
      </c>
      <c r="AG383">
        <v>13.5</v>
      </c>
      <c r="AH383">
        <v>0</v>
      </c>
      <c r="AI383">
        <v>1</v>
      </c>
      <c r="AJ383">
        <v>7.13</v>
      </c>
      <c r="AK383">
        <v>1</v>
      </c>
      <c r="AL383">
        <v>1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6</v>
      </c>
      <c r="AT383">
        <v>0.01</v>
      </c>
      <c r="AU383" t="s">
        <v>6</v>
      </c>
      <c r="AV383">
        <v>0</v>
      </c>
      <c r="AW383">
        <v>2</v>
      </c>
      <c r="AX383">
        <v>16632009</v>
      </c>
      <c r="AY383">
        <v>1</v>
      </c>
      <c r="AZ383">
        <v>0</v>
      </c>
      <c r="BA383">
        <v>382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Y383*Source!I179</f>
        <v>4.2000000000000003E-2</v>
      </c>
      <c r="CY383">
        <f>AB383</f>
        <v>222.88</v>
      </c>
      <c r="CZ383">
        <f>AF383</f>
        <v>31.26</v>
      </c>
      <c r="DA383">
        <f>AJ383</f>
        <v>7.13</v>
      </c>
      <c r="DB383">
        <f t="shared" si="49"/>
        <v>0.31</v>
      </c>
      <c r="DC383">
        <f t="shared" si="50"/>
        <v>0.14000000000000001</v>
      </c>
    </row>
    <row r="384" spans="1:107" x14ac:dyDescent="0.2">
      <c r="A384">
        <f>ROW(Source!A179)</f>
        <v>179</v>
      </c>
      <c r="B384">
        <v>16630606</v>
      </c>
      <c r="C384">
        <v>16631998</v>
      </c>
      <c r="D384">
        <v>15170076</v>
      </c>
      <c r="E384">
        <v>1</v>
      </c>
      <c r="F384">
        <v>1</v>
      </c>
      <c r="G384">
        <v>1</v>
      </c>
      <c r="H384">
        <v>3</v>
      </c>
      <c r="I384" t="s">
        <v>1484</v>
      </c>
      <c r="J384" t="s">
        <v>1485</v>
      </c>
      <c r="K384" t="s">
        <v>1486</v>
      </c>
      <c r="L384">
        <v>1356</v>
      </c>
      <c r="N384">
        <v>1010</v>
      </c>
      <c r="O384" t="s">
        <v>278</v>
      </c>
      <c r="P384" t="s">
        <v>278</v>
      </c>
      <c r="Q384">
        <v>1000</v>
      </c>
      <c r="W384">
        <v>0</v>
      </c>
      <c r="X384">
        <v>1975348994</v>
      </c>
      <c r="Y384">
        <v>0.2</v>
      </c>
      <c r="AA384">
        <v>1283.4000000000001</v>
      </c>
      <c r="AB384">
        <v>0</v>
      </c>
      <c r="AC384">
        <v>0</v>
      </c>
      <c r="AD384">
        <v>0</v>
      </c>
      <c r="AE384">
        <v>180</v>
      </c>
      <c r="AF384">
        <v>0</v>
      </c>
      <c r="AG384">
        <v>0</v>
      </c>
      <c r="AH384">
        <v>0</v>
      </c>
      <c r="AI384">
        <v>7.13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6</v>
      </c>
      <c r="AT384">
        <v>0.2</v>
      </c>
      <c r="AU384" t="s">
        <v>6</v>
      </c>
      <c r="AV384">
        <v>0</v>
      </c>
      <c r="AW384">
        <v>2</v>
      </c>
      <c r="AX384">
        <v>16632010</v>
      </c>
      <c r="AY384">
        <v>1</v>
      </c>
      <c r="AZ384">
        <v>0</v>
      </c>
      <c r="BA384">
        <v>383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Y384*Source!I179</f>
        <v>0.84000000000000008</v>
      </c>
      <c r="CY384">
        <f>AA384</f>
        <v>1283.4000000000001</v>
      </c>
      <c r="CZ384">
        <f>AE384</f>
        <v>180</v>
      </c>
      <c r="DA384">
        <f>AI384</f>
        <v>7.13</v>
      </c>
      <c r="DB384">
        <f t="shared" si="49"/>
        <v>36</v>
      </c>
      <c r="DC384">
        <f t="shared" si="50"/>
        <v>0</v>
      </c>
    </row>
    <row r="385" spans="1:107" x14ac:dyDescent="0.2">
      <c r="A385">
        <f>ROW(Source!A179)</f>
        <v>179</v>
      </c>
      <c r="B385">
        <v>16630606</v>
      </c>
      <c r="C385">
        <v>16631998</v>
      </c>
      <c r="D385">
        <v>15170438</v>
      </c>
      <c r="E385">
        <v>1</v>
      </c>
      <c r="F385">
        <v>1</v>
      </c>
      <c r="G385">
        <v>1</v>
      </c>
      <c r="H385">
        <v>3</v>
      </c>
      <c r="I385" t="s">
        <v>1481</v>
      </c>
      <c r="J385" t="s">
        <v>1482</v>
      </c>
      <c r="K385" t="s">
        <v>1483</v>
      </c>
      <c r="L385">
        <v>1348</v>
      </c>
      <c r="N385">
        <v>1009</v>
      </c>
      <c r="O385" t="s">
        <v>98</v>
      </c>
      <c r="P385" t="s">
        <v>98</v>
      </c>
      <c r="Q385">
        <v>1000</v>
      </c>
      <c r="W385">
        <v>0</v>
      </c>
      <c r="X385">
        <v>-1755229539</v>
      </c>
      <c r="Y385">
        <v>1E-3</v>
      </c>
      <c r="AA385">
        <v>88625.9</v>
      </c>
      <c r="AB385">
        <v>0</v>
      </c>
      <c r="AC385">
        <v>0</v>
      </c>
      <c r="AD385">
        <v>0</v>
      </c>
      <c r="AE385">
        <v>12430</v>
      </c>
      <c r="AF385">
        <v>0</v>
      </c>
      <c r="AG385">
        <v>0</v>
      </c>
      <c r="AH385">
        <v>0</v>
      </c>
      <c r="AI385">
        <v>7.13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6</v>
      </c>
      <c r="AT385">
        <v>1E-3</v>
      </c>
      <c r="AU385" t="s">
        <v>6</v>
      </c>
      <c r="AV385">
        <v>0</v>
      </c>
      <c r="AW385">
        <v>2</v>
      </c>
      <c r="AX385">
        <v>16632011</v>
      </c>
      <c r="AY385">
        <v>1</v>
      </c>
      <c r="AZ385">
        <v>0</v>
      </c>
      <c r="BA385">
        <v>384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Y385*Source!I179</f>
        <v>4.2000000000000006E-3</v>
      </c>
      <c r="CY385">
        <f>AA385</f>
        <v>88625.9</v>
      </c>
      <c r="CZ385">
        <f>AE385</f>
        <v>12430</v>
      </c>
      <c r="DA385">
        <f>AI385</f>
        <v>7.13</v>
      </c>
      <c r="DB385">
        <f t="shared" si="49"/>
        <v>12.43</v>
      </c>
      <c r="DC385">
        <f t="shared" si="50"/>
        <v>0</v>
      </c>
    </row>
    <row r="386" spans="1:107" x14ac:dyDescent="0.2">
      <c r="A386">
        <f>ROW(Source!A179)</f>
        <v>179</v>
      </c>
      <c r="B386">
        <v>16630606</v>
      </c>
      <c r="C386">
        <v>16631998</v>
      </c>
      <c r="D386">
        <v>15218452</v>
      </c>
      <c r="E386">
        <v>1</v>
      </c>
      <c r="F386">
        <v>1</v>
      </c>
      <c r="G386">
        <v>1</v>
      </c>
      <c r="H386">
        <v>3</v>
      </c>
      <c r="I386" t="s">
        <v>581</v>
      </c>
      <c r="J386" t="s">
        <v>583</v>
      </c>
      <c r="K386" t="s">
        <v>582</v>
      </c>
      <c r="L386">
        <v>1308</v>
      </c>
      <c r="N386">
        <v>1003</v>
      </c>
      <c r="O386" t="s">
        <v>57</v>
      </c>
      <c r="P386" t="s">
        <v>57</v>
      </c>
      <c r="Q386">
        <v>100</v>
      </c>
      <c r="W386">
        <v>0</v>
      </c>
      <c r="X386">
        <v>-2058712026</v>
      </c>
      <c r="Y386">
        <v>0.73571399999999998</v>
      </c>
      <c r="AA386">
        <v>848.47</v>
      </c>
      <c r="AB386">
        <v>0</v>
      </c>
      <c r="AC386">
        <v>0</v>
      </c>
      <c r="AD386">
        <v>0</v>
      </c>
      <c r="AE386">
        <v>119</v>
      </c>
      <c r="AF386">
        <v>0</v>
      </c>
      <c r="AG386">
        <v>0</v>
      </c>
      <c r="AH386">
        <v>0</v>
      </c>
      <c r="AI386">
        <v>7.13</v>
      </c>
      <c r="AJ386">
        <v>1</v>
      </c>
      <c r="AK386">
        <v>1</v>
      </c>
      <c r="AL386">
        <v>1</v>
      </c>
      <c r="AN386">
        <v>0</v>
      </c>
      <c r="AO386">
        <v>0</v>
      </c>
      <c r="AP386">
        <v>0</v>
      </c>
      <c r="AQ386">
        <v>0</v>
      </c>
      <c r="AR386">
        <v>0</v>
      </c>
      <c r="AS386" t="s">
        <v>6</v>
      </c>
      <c r="AT386">
        <v>0.73571399999999998</v>
      </c>
      <c r="AU386" t="s">
        <v>6</v>
      </c>
      <c r="AV386">
        <v>0</v>
      </c>
      <c r="AW386">
        <v>1</v>
      </c>
      <c r="AX386">
        <v>-1</v>
      </c>
      <c r="AY386">
        <v>0</v>
      </c>
      <c r="AZ386">
        <v>0</v>
      </c>
      <c r="BA386" t="s">
        <v>6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Y386*Source!I179</f>
        <v>3.0899988</v>
      </c>
      <c r="CY386">
        <f>AA386</f>
        <v>848.47</v>
      </c>
      <c r="CZ386">
        <f>AE386</f>
        <v>119</v>
      </c>
      <c r="DA386">
        <f>AI386</f>
        <v>7.13</v>
      </c>
      <c r="DB386">
        <f t="shared" si="49"/>
        <v>87.55</v>
      </c>
      <c r="DC386">
        <f t="shared" si="50"/>
        <v>0</v>
      </c>
    </row>
    <row r="387" spans="1:107" x14ac:dyDescent="0.2">
      <c r="A387">
        <f>ROW(Source!A179)</f>
        <v>179</v>
      </c>
      <c r="B387">
        <v>16630606</v>
      </c>
      <c r="C387">
        <v>16631998</v>
      </c>
      <c r="D387">
        <v>15218456</v>
      </c>
      <c r="E387">
        <v>1</v>
      </c>
      <c r="F387">
        <v>1</v>
      </c>
      <c r="G387">
        <v>1</v>
      </c>
      <c r="H387">
        <v>3</v>
      </c>
      <c r="I387" t="s">
        <v>585</v>
      </c>
      <c r="J387" t="s">
        <v>587</v>
      </c>
      <c r="K387" t="s">
        <v>586</v>
      </c>
      <c r="L387">
        <v>1308</v>
      </c>
      <c r="N387">
        <v>1003</v>
      </c>
      <c r="O387" t="s">
        <v>57</v>
      </c>
      <c r="P387" t="s">
        <v>57</v>
      </c>
      <c r="Q387">
        <v>100</v>
      </c>
      <c r="W387">
        <v>0</v>
      </c>
      <c r="X387">
        <v>-332589098</v>
      </c>
      <c r="Y387">
        <v>0.26428600000000002</v>
      </c>
      <c r="AA387">
        <v>2352.9</v>
      </c>
      <c r="AB387">
        <v>0</v>
      </c>
      <c r="AC387">
        <v>0</v>
      </c>
      <c r="AD387">
        <v>0</v>
      </c>
      <c r="AE387">
        <v>330</v>
      </c>
      <c r="AF387">
        <v>0</v>
      </c>
      <c r="AG387">
        <v>0</v>
      </c>
      <c r="AH387">
        <v>0</v>
      </c>
      <c r="AI387">
        <v>7.13</v>
      </c>
      <c r="AJ387">
        <v>1</v>
      </c>
      <c r="AK387">
        <v>1</v>
      </c>
      <c r="AL387">
        <v>1</v>
      </c>
      <c r="AN387">
        <v>0</v>
      </c>
      <c r="AO387">
        <v>0</v>
      </c>
      <c r="AP387">
        <v>0</v>
      </c>
      <c r="AQ387">
        <v>0</v>
      </c>
      <c r="AR387">
        <v>0</v>
      </c>
      <c r="AS387" t="s">
        <v>6</v>
      </c>
      <c r="AT387">
        <v>0.26428600000000002</v>
      </c>
      <c r="AU387" t="s">
        <v>6</v>
      </c>
      <c r="AV387">
        <v>0</v>
      </c>
      <c r="AW387">
        <v>1</v>
      </c>
      <c r="AX387">
        <v>-1</v>
      </c>
      <c r="AY387">
        <v>0</v>
      </c>
      <c r="AZ387">
        <v>0</v>
      </c>
      <c r="BA387" t="s">
        <v>6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Y387*Source!I179</f>
        <v>1.1100012000000001</v>
      </c>
      <c r="CY387">
        <f>AA387</f>
        <v>2352.9</v>
      </c>
      <c r="CZ387">
        <f>AE387</f>
        <v>330</v>
      </c>
      <c r="DA387">
        <f>AI387</f>
        <v>7.13</v>
      </c>
      <c r="DB387">
        <f t="shared" si="49"/>
        <v>87.21</v>
      </c>
      <c r="DC387">
        <f t="shared" si="50"/>
        <v>0</v>
      </c>
    </row>
    <row r="388" spans="1:107" x14ac:dyDescent="0.2">
      <c r="A388">
        <f>ROW(Source!A179)</f>
        <v>179</v>
      </c>
      <c r="B388">
        <v>16630606</v>
      </c>
      <c r="C388">
        <v>16631998</v>
      </c>
      <c r="D388">
        <v>15164559</v>
      </c>
      <c r="E388">
        <v>17</v>
      </c>
      <c r="F388">
        <v>1</v>
      </c>
      <c r="G388">
        <v>1</v>
      </c>
      <c r="H388">
        <v>3</v>
      </c>
      <c r="I388" t="s">
        <v>1431</v>
      </c>
      <c r="J388" t="s">
        <v>6</v>
      </c>
      <c r="K388" t="s">
        <v>1432</v>
      </c>
      <c r="L388">
        <v>1374</v>
      </c>
      <c r="N388">
        <v>1013</v>
      </c>
      <c r="O388" t="s">
        <v>1433</v>
      </c>
      <c r="P388" t="s">
        <v>1433</v>
      </c>
      <c r="Q388">
        <v>1</v>
      </c>
      <c r="W388">
        <v>0</v>
      </c>
      <c r="X388">
        <v>-1731369543</v>
      </c>
      <c r="Y388">
        <v>3.1</v>
      </c>
      <c r="AA388">
        <v>1</v>
      </c>
      <c r="AB388">
        <v>0</v>
      </c>
      <c r="AC388">
        <v>0</v>
      </c>
      <c r="AD388">
        <v>0</v>
      </c>
      <c r="AE388">
        <v>1</v>
      </c>
      <c r="AF388">
        <v>0</v>
      </c>
      <c r="AG388">
        <v>0</v>
      </c>
      <c r="AH388">
        <v>0</v>
      </c>
      <c r="AI388">
        <v>1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6</v>
      </c>
      <c r="AT388">
        <v>3.1</v>
      </c>
      <c r="AU388" t="s">
        <v>6</v>
      </c>
      <c r="AV388">
        <v>0</v>
      </c>
      <c r="AW388">
        <v>2</v>
      </c>
      <c r="AX388">
        <v>16632012</v>
      </c>
      <c r="AY388">
        <v>1</v>
      </c>
      <c r="AZ388">
        <v>0</v>
      </c>
      <c r="BA388">
        <v>385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Y388*Source!I179</f>
        <v>13.020000000000001</v>
      </c>
      <c r="CY388">
        <f>AA388</f>
        <v>1</v>
      </c>
      <c r="CZ388">
        <f>AE388</f>
        <v>1</v>
      </c>
      <c r="DA388">
        <f>AI388</f>
        <v>1</v>
      </c>
      <c r="DB388">
        <f t="shared" si="49"/>
        <v>3.1</v>
      </c>
      <c r="DC388">
        <f t="shared" si="50"/>
        <v>0</v>
      </c>
    </row>
    <row r="389" spans="1:107" x14ac:dyDescent="0.2">
      <c r="A389">
        <f>ROW(Source!A182)</f>
        <v>182</v>
      </c>
      <c r="B389">
        <v>16630606</v>
      </c>
      <c r="C389">
        <v>16632015</v>
      </c>
      <c r="D389">
        <v>15430767</v>
      </c>
      <c r="E389">
        <v>1</v>
      </c>
      <c r="F389">
        <v>1</v>
      </c>
      <c r="G389">
        <v>1</v>
      </c>
      <c r="H389">
        <v>1</v>
      </c>
      <c r="I389" t="s">
        <v>1171</v>
      </c>
      <c r="J389" t="s">
        <v>6</v>
      </c>
      <c r="K389" t="s">
        <v>1172</v>
      </c>
      <c r="L389">
        <v>1191</v>
      </c>
      <c r="N389">
        <v>1013</v>
      </c>
      <c r="O389" t="s">
        <v>1148</v>
      </c>
      <c r="P389" t="s">
        <v>1148</v>
      </c>
      <c r="Q389">
        <v>1</v>
      </c>
      <c r="W389">
        <v>0</v>
      </c>
      <c r="X389">
        <v>-400197608</v>
      </c>
      <c r="Y389">
        <v>5.49</v>
      </c>
      <c r="AA389">
        <v>0</v>
      </c>
      <c r="AB389">
        <v>0</v>
      </c>
      <c r="AC389">
        <v>0</v>
      </c>
      <c r="AD389">
        <v>60.82</v>
      </c>
      <c r="AE389">
        <v>0</v>
      </c>
      <c r="AF389">
        <v>0</v>
      </c>
      <c r="AG389">
        <v>0</v>
      </c>
      <c r="AH389">
        <v>8.5299999999999994</v>
      </c>
      <c r="AI389">
        <v>1</v>
      </c>
      <c r="AJ389">
        <v>1</v>
      </c>
      <c r="AK389">
        <v>1</v>
      </c>
      <c r="AL389">
        <v>7.13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6</v>
      </c>
      <c r="AT389">
        <v>5.49</v>
      </c>
      <c r="AU389" t="s">
        <v>6</v>
      </c>
      <c r="AV389">
        <v>1</v>
      </c>
      <c r="AW389">
        <v>2</v>
      </c>
      <c r="AX389">
        <v>16632017</v>
      </c>
      <c r="AY389">
        <v>1</v>
      </c>
      <c r="AZ389">
        <v>0</v>
      </c>
      <c r="BA389">
        <v>386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Y389*Source!I182</f>
        <v>0.93330000000000013</v>
      </c>
      <c r="CY389">
        <f>AD389</f>
        <v>60.82</v>
      </c>
      <c r="CZ389">
        <f>AH389</f>
        <v>8.5299999999999994</v>
      </c>
      <c r="DA389">
        <f>AL389</f>
        <v>7.13</v>
      </c>
      <c r="DB389">
        <f t="shared" si="49"/>
        <v>46.83</v>
      </c>
      <c r="DC389">
        <f t="shared" si="50"/>
        <v>0</v>
      </c>
    </row>
    <row r="390" spans="1:107" x14ac:dyDescent="0.2">
      <c r="A390">
        <f>ROW(Source!A183)</f>
        <v>183</v>
      </c>
      <c r="B390">
        <v>16630606</v>
      </c>
      <c r="C390">
        <v>16632019</v>
      </c>
      <c r="D390">
        <v>15430397</v>
      </c>
      <c r="E390">
        <v>1</v>
      </c>
      <c r="F390">
        <v>1</v>
      </c>
      <c r="G390">
        <v>1</v>
      </c>
      <c r="H390">
        <v>1</v>
      </c>
      <c r="I390" t="s">
        <v>1356</v>
      </c>
      <c r="J390" t="s">
        <v>6</v>
      </c>
      <c r="K390" t="s">
        <v>1357</v>
      </c>
      <c r="L390">
        <v>1191</v>
      </c>
      <c r="N390">
        <v>1013</v>
      </c>
      <c r="O390" t="s">
        <v>1148</v>
      </c>
      <c r="P390" t="s">
        <v>1148</v>
      </c>
      <c r="Q390">
        <v>1</v>
      </c>
      <c r="W390">
        <v>0</v>
      </c>
      <c r="X390">
        <v>-1081351934</v>
      </c>
      <c r="Y390">
        <v>13.36</v>
      </c>
      <c r="AA390">
        <v>0</v>
      </c>
      <c r="AB390">
        <v>0</v>
      </c>
      <c r="AC390">
        <v>0</v>
      </c>
      <c r="AD390">
        <v>67.02</v>
      </c>
      <c r="AE390">
        <v>0</v>
      </c>
      <c r="AF390">
        <v>0</v>
      </c>
      <c r="AG390">
        <v>0</v>
      </c>
      <c r="AH390">
        <v>9.4</v>
      </c>
      <c r="AI390">
        <v>1</v>
      </c>
      <c r="AJ390">
        <v>1</v>
      </c>
      <c r="AK390">
        <v>1</v>
      </c>
      <c r="AL390">
        <v>7.13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6</v>
      </c>
      <c r="AT390">
        <v>13.36</v>
      </c>
      <c r="AU390" t="s">
        <v>6</v>
      </c>
      <c r="AV390">
        <v>1</v>
      </c>
      <c r="AW390">
        <v>2</v>
      </c>
      <c r="AX390">
        <v>16632031</v>
      </c>
      <c r="AY390">
        <v>1</v>
      </c>
      <c r="AZ390">
        <v>0</v>
      </c>
      <c r="BA390">
        <v>388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Y390*Source!I183</f>
        <v>0.48095999999999994</v>
      </c>
      <c r="CY390">
        <f>AD390</f>
        <v>67.02</v>
      </c>
      <c r="CZ390">
        <f>AH390</f>
        <v>9.4</v>
      </c>
      <c r="DA390">
        <f>AL390</f>
        <v>7.13</v>
      </c>
      <c r="DB390">
        <f t="shared" si="49"/>
        <v>125.58</v>
      </c>
      <c r="DC390">
        <f t="shared" si="50"/>
        <v>0</v>
      </c>
    </row>
    <row r="391" spans="1:107" x14ac:dyDescent="0.2">
      <c r="A391">
        <f>ROW(Source!A183)</f>
        <v>183</v>
      </c>
      <c r="B391">
        <v>16630606</v>
      </c>
      <c r="C391">
        <v>16632019</v>
      </c>
      <c r="D391">
        <v>15430395</v>
      </c>
      <c r="E391">
        <v>1</v>
      </c>
      <c r="F391">
        <v>1</v>
      </c>
      <c r="G391">
        <v>1</v>
      </c>
      <c r="H391">
        <v>1</v>
      </c>
      <c r="I391" t="s">
        <v>1149</v>
      </c>
      <c r="J391" t="s">
        <v>6</v>
      </c>
      <c r="K391" t="s">
        <v>1150</v>
      </c>
      <c r="L391">
        <v>1191</v>
      </c>
      <c r="N391">
        <v>1013</v>
      </c>
      <c r="O391" t="s">
        <v>1148</v>
      </c>
      <c r="P391" t="s">
        <v>1148</v>
      </c>
      <c r="Q391">
        <v>1</v>
      </c>
      <c r="W391">
        <v>0</v>
      </c>
      <c r="X391">
        <v>-1417349443</v>
      </c>
      <c r="Y391">
        <v>0.18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1</v>
      </c>
      <c r="AJ391">
        <v>1</v>
      </c>
      <c r="AK391">
        <v>7.13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6</v>
      </c>
      <c r="AT391">
        <v>0.18</v>
      </c>
      <c r="AU391" t="s">
        <v>6</v>
      </c>
      <c r="AV391">
        <v>2</v>
      </c>
      <c r="AW391">
        <v>2</v>
      </c>
      <c r="AX391">
        <v>16632032</v>
      </c>
      <c r="AY391">
        <v>1</v>
      </c>
      <c r="AZ391">
        <v>0</v>
      </c>
      <c r="BA391">
        <v>389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Y391*Source!I183</f>
        <v>6.4799999999999996E-3</v>
      </c>
      <c r="CY391">
        <f>AD391</f>
        <v>0</v>
      </c>
      <c r="CZ391">
        <f>AH391</f>
        <v>0</v>
      </c>
      <c r="DA391">
        <f>AL391</f>
        <v>1</v>
      </c>
      <c r="DB391">
        <f t="shared" si="49"/>
        <v>0</v>
      </c>
      <c r="DC391">
        <f t="shared" si="50"/>
        <v>0</v>
      </c>
    </row>
    <row r="392" spans="1:107" x14ac:dyDescent="0.2">
      <c r="A392">
        <f>ROW(Source!A183)</f>
        <v>183</v>
      </c>
      <c r="B392">
        <v>16630606</v>
      </c>
      <c r="C392">
        <v>16632019</v>
      </c>
      <c r="D392">
        <v>15247680</v>
      </c>
      <c r="E392">
        <v>1</v>
      </c>
      <c r="F392">
        <v>1</v>
      </c>
      <c r="G392">
        <v>1</v>
      </c>
      <c r="H392">
        <v>2</v>
      </c>
      <c r="I392" t="s">
        <v>1419</v>
      </c>
      <c r="J392" t="s">
        <v>1420</v>
      </c>
      <c r="K392" t="s">
        <v>1421</v>
      </c>
      <c r="L392">
        <v>1368</v>
      </c>
      <c r="N392">
        <v>1011</v>
      </c>
      <c r="O392" t="s">
        <v>1154</v>
      </c>
      <c r="P392" t="s">
        <v>1154</v>
      </c>
      <c r="Q392">
        <v>1</v>
      </c>
      <c r="W392">
        <v>0</v>
      </c>
      <c r="X392">
        <v>-1718674368</v>
      </c>
      <c r="Y392">
        <v>0.09</v>
      </c>
      <c r="AA392">
        <v>0</v>
      </c>
      <c r="AB392">
        <v>798.49</v>
      </c>
      <c r="AC392">
        <v>13.5</v>
      </c>
      <c r="AD392">
        <v>0</v>
      </c>
      <c r="AE392">
        <v>0</v>
      </c>
      <c r="AF392">
        <v>111.99</v>
      </c>
      <c r="AG392">
        <v>13.5</v>
      </c>
      <c r="AH392">
        <v>0</v>
      </c>
      <c r="AI392">
        <v>1</v>
      </c>
      <c r="AJ392">
        <v>7.13</v>
      </c>
      <c r="AK392">
        <v>1</v>
      </c>
      <c r="AL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6</v>
      </c>
      <c r="AT392">
        <v>0.09</v>
      </c>
      <c r="AU392" t="s">
        <v>6</v>
      </c>
      <c r="AV392">
        <v>0</v>
      </c>
      <c r="AW392">
        <v>2</v>
      </c>
      <c r="AX392">
        <v>16632033</v>
      </c>
      <c r="AY392">
        <v>1</v>
      </c>
      <c r="AZ392">
        <v>0</v>
      </c>
      <c r="BA392">
        <v>390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Y392*Source!I183</f>
        <v>3.2399999999999998E-3</v>
      </c>
      <c r="CY392">
        <f>AB392</f>
        <v>798.49</v>
      </c>
      <c r="CZ392">
        <f>AF392</f>
        <v>111.99</v>
      </c>
      <c r="DA392">
        <f>AJ392</f>
        <v>7.13</v>
      </c>
      <c r="DB392">
        <f t="shared" si="49"/>
        <v>10.08</v>
      </c>
      <c r="DC392">
        <f t="shared" si="50"/>
        <v>1.22</v>
      </c>
    </row>
    <row r="393" spans="1:107" x14ac:dyDescent="0.2">
      <c r="A393">
        <f>ROW(Source!A183)</f>
        <v>183</v>
      </c>
      <c r="B393">
        <v>16630606</v>
      </c>
      <c r="C393">
        <v>16632019</v>
      </c>
      <c r="D393">
        <v>15249073</v>
      </c>
      <c r="E393">
        <v>1</v>
      </c>
      <c r="F393">
        <v>1</v>
      </c>
      <c r="G393">
        <v>1</v>
      </c>
      <c r="H393">
        <v>2</v>
      </c>
      <c r="I393" t="s">
        <v>1157</v>
      </c>
      <c r="J393" t="s">
        <v>1158</v>
      </c>
      <c r="K393" t="s">
        <v>1159</v>
      </c>
      <c r="L393">
        <v>1368</v>
      </c>
      <c r="N393">
        <v>1011</v>
      </c>
      <c r="O393" t="s">
        <v>1154</v>
      </c>
      <c r="P393" t="s">
        <v>1154</v>
      </c>
      <c r="Q393">
        <v>1</v>
      </c>
      <c r="W393">
        <v>0</v>
      </c>
      <c r="X393">
        <v>1372534845</v>
      </c>
      <c r="Y393">
        <v>0.09</v>
      </c>
      <c r="AA393">
        <v>0</v>
      </c>
      <c r="AB393">
        <v>468.51</v>
      </c>
      <c r="AC393">
        <v>11.6</v>
      </c>
      <c r="AD393">
        <v>0</v>
      </c>
      <c r="AE393">
        <v>0</v>
      </c>
      <c r="AF393">
        <v>65.709999999999994</v>
      </c>
      <c r="AG393">
        <v>11.6</v>
      </c>
      <c r="AH393">
        <v>0</v>
      </c>
      <c r="AI393">
        <v>1</v>
      </c>
      <c r="AJ393">
        <v>7.13</v>
      </c>
      <c r="AK393">
        <v>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6</v>
      </c>
      <c r="AT393">
        <v>0.09</v>
      </c>
      <c r="AU393" t="s">
        <v>6</v>
      </c>
      <c r="AV393">
        <v>0</v>
      </c>
      <c r="AW393">
        <v>2</v>
      </c>
      <c r="AX393">
        <v>16632034</v>
      </c>
      <c r="AY393">
        <v>1</v>
      </c>
      <c r="AZ393">
        <v>0</v>
      </c>
      <c r="BA393">
        <v>391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Y393*Source!I183</f>
        <v>3.2399999999999998E-3</v>
      </c>
      <c r="CY393">
        <f>AB393</f>
        <v>468.51</v>
      </c>
      <c r="CZ393">
        <f>AF393</f>
        <v>65.709999999999994</v>
      </c>
      <c r="DA393">
        <f>AJ393</f>
        <v>7.13</v>
      </c>
      <c r="DB393">
        <f t="shared" si="49"/>
        <v>5.91</v>
      </c>
      <c r="DC393">
        <f t="shared" si="50"/>
        <v>1.04</v>
      </c>
    </row>
    <row r="394" spans="1:107" x14ac:dyDescent="0.2">
      <c r="A394">
        <f>ROW(Source!A183)</f>
        <v>183</v>
      </c>
      <c r="B394">
        <v>16630606</v>
      </c>
      <c r="C394">
        <v>16632019</v>
      </c>
      <c r="D394">
        <v>15172838</v>
      </c>
      <c r="E394">
        <v>1</v>
      </c>
      <c r="F394">
        <v>1</v>
      </c>
      <c r="G394">
        <v>1</v>
      </c>
      <c r="H394">
        <v>3</v>
      </c>
      <c r="I394" t="s">
        <v>1487</v>
      </c>
      <c r="J394" t="s">
        <v>1488</v>
      </c>
      <c r="K394" t="s">
        <v>1489</v>
      </c>
      <c r="L394">
        <v>1339</v>
      </c>
      <c r="N394">
        <v>1007</v>
      </c>
      <c r="O394" t="s">
        <v>203</v>
      </c>
      <c r="P394" t="s">
        <v>203</v>
      </c>
      <c r="Q394">
        <v>1</v>
      </c>
      <c r="W394">
        <v>0</v>
      </c>
      <c r="X394">
        <v>536744769</v>
      </c>
      <c r="Y394">
        <v>2.1000000000000001E-2</v>
      </c>
      <c r="AA394">
        <v>4278</v>
      </c>
      <c r="AB394">
        <v>0</v>
      </c>
      <c r="AC394">
        <v>0</v>
      </c>
      <c r="AD394">
        <v>0</v>
      </c>
      <c r="AE394">
        <v>600</v>
      </c>
      <c r="AF394">
        <v>0</v>
      </c>
      <c r="AG394">
        <v>0</v>
      </c>
      <c r="AH394">
        <v>0</v>
      </c>
      <c r="AI394">
        <v>7.13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6</v>
      </c>
      <c r="AT394">
        <v>2.1000000000000001E-2</v>
      </c>
      <c r="AU394" t="s">
        <v>6</v>
      </c>
      <c r="AV394">
        <v>0</v>
      </c>
      <c r="AW394">
        <v>2</v>
      </c>
      <c r="AX394">
        <v>16632035</v>
      </c>
      <c r="AY394">
        <v>1</v>
      </c>
      <c r="AZ394">
        <v>0</v>
      </c>
      <c r="BA394">
        <v>392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Y394*Source!I183</f>
        <v>7.5599999999999994E-4</v>
      </c>
      <c r="CY394">
        <f t="shared" ref="CY394:CY400" si="54">AA394</f>
        <v>4278</v>
      </c>
      <c r="CZ394">
        <f t="shared" ref="CZ394:CZ400" si="55">AE394</f>
        <v>600</v>
      </c>
      <c r="DA394">
        <f t="shared" ref="DA394:DA400" si="56">AI394</f>
        <v>7.13</v>
      </c>
      <c r="DB394">
        <f t="shared" si="49"/>
        <v>12.6</v>
      </c>
      <c r="DC394">
        <f t="shared" si="50"/>
        <v>0</v>
      </c>
    </row>
    <row r="395" spans="1:107" x14ac:dyDescent="0.2">
      <c r="A395">
        <f>ROW(Source!A183)</f>
        <v>183</v>
      </c>
      <c r="B395">
        <v>16630606</v>
      </c>
      <c r="C395">
        <v>16632019</v>
      </c>
      <c r="D395">
        <v>15202442</v>
      </c>
      <c r="E395">
        <v>1</v>
      </c>
      <c r="F395">
        <v>1</v>
      </c>
      <c r="G395">
        <v>1</v>
      </c>
      <c r="H395">
        <v>3</v>
      </c>
      <c r="I395" t="s">
        <v>1490</v>
      </c>
      <c r="J395" t="s">
        <v>1491</v>
      </c>
      <c r="K395" t="s">
        <v>1492</v>
      </c>
      <c r="L395">
        <v>1346</v>
      </c>
      <c r="N395">
        <v>1009</v>
      </c>
      <c r="O395" t="s">
        <v>102</v>
      </c>
      <c r="P395" t="s">
        <v>102</v>
      </c>
      <c r="Q395">
        <v>1</v>
      </c>
      <c r="W395">
        <v>0</v>
      </c>
      <c r="X395">
        <v>505519491</v>
      </c>
      <c r="Y395">
        <v>0.2</v>
      </c>
      <c r="AA395">
        <v>183.95</v>
      </c>
      <c r="AB395">
        <v>0</v>
      </c>
      <c r="AC395">
        <v>0</v>
      </c>
      <c r="AD395">
        <v>0</v>
      </c>
      <c r="AE395">
        <v>25.8</v>
      </c>
      <c r="AF395">
        <v>0</v>
      </c>
      <c r="AG395">
        <v>0</v>
      </c>
      <c r="AH395">
        <v>0</v>
      </c>
      <c r="AI395">
        <v>7.13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6</v>
      </c>
      <c r="AT395">
        <v>0.2</v>
      </c>
      <c r="AU395" t="s">
        <v>6</v>
      </c>
      <c r="AV395">
        <v>0</v>
      </c>
      <c r="AW395">
        <v>2</v>
      </c>
      <c r="AX395">
        <v>16632036</v>
      </c>
      <c r="AY395">
        <v>1</v>
      </c>
      <c r="AZ395">
        <v>0</v>
      </c>
      <c r="BA395">
        <v>393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Y395*Source!I183</f>
        <v>7.1999999999999998E-3</v>
      </c>
      <c r="CY395">
        <f t="shared" si="54"/>
        <v>183.95</v>
      </c>
      <c r="CZ395">
        <f t="shared" si="55"/>
        <v>25.8</v>
      </c>
      <c r="DA395">
        <f t="shared" si="56"/>
        <v>7.13</v>
      </c>
      <c r="DB395">
        <f t="shared" si="49"/>
        <v>5.16</v>
      </c>
      <c r="DC395">
        <f t="shared" si="50"/>
        <v>0</v>
      </c>
    </row>
    <row r="396" spans="1:107" x14ac:dyDescent="0.2">
      <c r="A396">
        <f>ROW(Source!A183)</f>
        <v>183</v>
      </c>
      <c r="B396">
        <v>16630606</v>
      </c>
      <c r="C396">
        <v>16632019</v>
      </c>
      <c r="D396">
        <v>15217585</v>
      </c>
      <c r="E396">
        <v>1</v>
      </c>
      <c r="F396">
        <v>1</v>
      </c>
      <c r="G396">
        <v>1</v>
      </c>
      <c r="H396">
        <v>3</v>
      </c>
      <c r="I396" t="s">
        <v>1493</v>
      </c>
      <c r="J396" t="s">
        <v>1494</v>
      </c>
      <c r="K396" t="s">
        <v>1495</v>
      </c>
      <c r="L396">
        <v>1356</v>
      </c>
      <c r="N396">
        <v>1010</v>
      </c>
      <c r="O396" t="s">
        <v>278</v>
      </c>
      <c r="P396" t="s">
        <v>278</v>
      </c>
      <c r="Q396">
        <v>1000</v>
      </c>
      <c r="W396">
        <v>0</v>
      </c>
      <c r="X396">
        <v>40709342</v>
      </c>
      <c r="Y396">
        <v>3.2000000000000001E-2</v>
      </c>
      <c r="AA396">
        <v>1925.1</v>
      </c>
      <c r="AB396">
        <v>0</v>
      </c>
      <c r="AC396">
        <v>0</v>
      </c>
      <c r="AD396">
        <v>0</v>
      </c>
      <c r="AE396">
        <v>270</v>
      </c>
      <c r="AF396">
        <v>0</v>
      </c>
      <c r="AG396">
        <v>0</v>
      </c>
      <c r="AH396">
        <v>0</v>
      </c>
      <c r="AI396">
        <v>7.13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6</v>
      </c>
      <c r="AT396">
        <v>3.2000000000000001E-2</v>
      </c>
      <c r="AU396" t="s">
        <v>6</v>
      </c>
      <c r="AV396">
        <v>0</v>
      </c>
      <c r="AW396">
        <v>2</v>
      </c>
      <c r="AX396">
        <v>16632037</v>
      </c>
      <c r="AY396">
        <v>1</v>
      </c>
      <c r="AZ396">
        <v>0</v>
      </c>
      <c r="BA396">
        <v>394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Y396*Source!I183</f>
        <v>1.152E-3</v>
      </c>
      <c r="CY396">
        <f t="shared" si="54"/>
        <v>1925.1</v>
      </c>
      <c r="CZ396">
        <f t="shared" si="55"/>
        <v>270</v>
      </c>
      <c r="DA396">
        <f t="shared" si="56"/>
        <v>7.13</v>
      </c>
      <c r="DB396">
        <f t="shared" si="49"/>
        <v>8.64</v>
      </c>
      <c r="DC396">
        <f t="shared" si="50"/>
        <v>0</v>
      </c>
    </row>
    <row r="397" spans="1:107" x14ac:dyDescent="0.2">
      <c r="A397">
        <f>ROW(Source!A183)</f>
        <v>183</v>
      </c>
      <c r="B397">
        <v>16630606</v>
      </c>
      <c r="C397">
        <v>16632019</v>
      </c>
      <c r="D397">
        <v>15217593</v>
      </c>
      <c r="E397">
        <v>1</v>
      </c>
      <c r="F397">
        <v>1</v>
      </c>
      <c r="G397">
        <v>1</v>
      </c>
      <c r="H397">
        <v>3</v>
      </c>
      <c r="I397" t="s">
        <v>1496</v>
      </c>
      <c r="J397" t="s">
        <v>1497</v>
      </c>
      <c r="K397" t="s">
        <v>1498</v>
      </c>
      <c r="L397">
        <v>1358</v>
      </c>
      <c r="N397">
        <v>1010</v>
      </c>
      <c r="O397" t="s">
        <v>616</v>
      </c>
      <c r="P397" t="s">
        <v>616</v>
      </c>
      <c r="Q397">
        <v>10</v>
      </c>
      <c r="W397">
        <v>0</v>
      </c>
      <c r="X397">
        <v>-1110089157</v>
      </c>
      <c r="Y397">
        <v>1</v>
      </c>
      <c r="AA397">
        <v>141.88999999999999</v>
      </c>
      <c r="AB397">
        <v>0</v>
      </c>
      <c r="AC397">
        <v>0</v>
      </c>
      <c r="AD397">
        <v>0</v>
      </c>
      <c r="AE397">
        <v>19.899999999999999</v>
      </c>
      <c r="AF397">
        <v>0</v>
      </c>
      <c r="AG397">
        <v>0</v>
      </c>
      <c r="AH397">
        <v>0</v>
      </c>
      <c r="AI397">
        <v>7.13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6</v>
      </c>
      <c r="AT397">
        <v>1</v>
      </c>
      <c r="AU397" t="s">
        <v>6</v>
      </c>
      <c r="AV397">
        <v>0</v>
      </c>
      <c r="AW397">
        <v>2</v>
      </c>
      <c r="AX397">
        <v>16632038</v>
      </c>
      <c r="AY397">
        <v>1</v>
      </c>
      <c r="AZ397">
        <v>0</v>
      </c>
      <c r="BA397">
        <v>395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Y397*Source!I183</f>
        <v>3.5999999999999997E-2</v>
      </c>
      <c r="CY397">
        <f t="shared" si="54"/>
        <v>141.88999999999999</v>
      </c>
      <c r="CZ397">
        <f t="shared" si="55"/>
        <v>19.899999999999999</v>
      </c>
      <c r="DA397">
        <f t="shared" si="56"/>
        <v>7.13</v>
      </c>
      <c r="DB397">
        <f t="shared" si="49"/>
        <v>19.899999999999999</v>
      </c>
      <c r="DC397">
        <f t="shared" si="50"/>
        <v>0</v>
      </c>
    </row>
    <row r="398" spans="1:107" x14ac:dyDescent="0.2">
      <c r="A398">
        <f>ROW(Source!A183)</f>
        <v>183</v>
      </c>
      <c r="B398">
        <v>16630606</v>
      </c>
      <c r="C398">
        <v>16632019</v>
      </c>
      <c r="D398">
        <v>15218939</v>
      </c>
      <c r="E398">
        <v>1</v>
      </c>
      <c r="F398">
        <v>1</v>
      </c>
      <c r="G398">
        <v>1</v>
      </c>
      <c r="H398">
        <v>3</v>
      </c>
      <c r="I398" t="s">
        <v>1499</v>
      </c>
      <c r="J398" t="s">
        <v>1500</v>
      </c>
      <c r="K398" t="s">
        <v>1501</v>
      </c>
      <c r="L398">
        <v>1354</v>
      </c>
      <c r="N398">
        <v>1010</v>
      </c>
      <c r="O398" t="s">
        <v>132</v>
      </c>
      <c r="P398" t="s">
        <v>132</v>
      </c>
      <c r="Q398">
        <v>1</v>
      </c>
      <c r="W398">
        <v>0</v>
      </c>
      <c r="X398">
        <v>-1308137011</v>
      </c>
      <c r="Y398">
        <v>0.5</v>
      </c>
      <c r="AA398">
        <v>476.43</v>
      </c>
      <c r="AB398">
        <v>0</v>
      </c>
      <c r="AC398">
        <v>0</v>
      </c>
      <c r="AD398">
        <v>0</v>
      </c>
      <c r="AE398">
        <v>66.819999999999993</v>
      </c>
      <c r="AF398">
        <v>0</v>
      </c>
      <c r="AG398">
        <v>0</v>
      </c>
      <c r="AH398">
        <v>0</v>
      </c>
      <c r="AI398">
        <v>7.13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6</v>
      </c>
      <c r="AT398">
        <v>0.5</v>
      </c>
      <c r="AU398" t="s">
        <v>6</v>
      </c>
      <c r="AV398">
        <v>0</v>
      </c>
      <c r="AW398">
        <v>2</v>
      </c>
      <c r="AX398">
        <v>16632039</v>
      </c>
      <c r="AY398">
        <v>1</v>
      </c>
      <c r="AZ398">
        <v>0</v>
      </c>
      <c r="BA398">
        <v>396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Y398*Source!I183</f>
        <v>1.7999999999999999E-2</v>
      </c>
      <c r="CY398">
        <f t="shared" si="54"/>
        <v>476.43</v>
      </c>
      <c r="CZ398">
        <f t="shared" si="55"/>
        <v>66.819999999999993</v>
      </c>
      <c r="DA398">
        <f t="shared" si="56"/>
        <v>7.13</v>
      </c>
      <c r="DB398">
        <f t="shared" ref="DB398:DB429" si="57">ROUND(ROUND(AT398*CZ398,2),2)</f>
        <v>33.409999999999997</v>
      </c>
      <c r="DC398">
        <f t="shared" ref="DC398:DC429" si="58">ROUND(ROUND(AT398*AG398,2),2)</f>
        <v>0</v>
      </c>
    </row>
    <row r="399" spans="1:107" x14ac:dyDescent="0.2">
      <c r="A399">
        <f>ROW(Source!A183)</f>
        <v>183</v>
      </c>
      <c r="B399">
        <v>16630606</v>
      </c>
      <c r="C399">
        <v>16632019</v>
      </c>
      <c r="D399">
        <v>15220919</v>
      </c>
      <c r="E399">
        <v>1</v>
      </c>
      <c r="F399">
        <v>1</v>
      </c>
      <c r="G399">
        <v>1</v>
      </c>
      <c r="H399">
        <v>3</v>
      </c>
      <c r="I399" t="s">
        <v>597</v>
      </c>
      <c r="J399" t="s">
        <v>599</v>
      </c>
      <c r="K399" t="s">
        <v>598</v>
      </c>
      <c r="L399">
        <v>1354</v>
      </c>
      <c r="N399">
        <v>1010</v>
      </c>
      <c r="O399" t="s">
        <v>132</v>
      </c>
      <c r="P399" t="s">
        <v>132</v>
      </c>
      <c r="Q399">
        <v>1</v>
      </c>
      <c r="W399">
        <v>0</v>
      </c>
      <c r="X399">
        <v>-1990308548</v>
      </c>
      <c r="Y399">
        <v>83.333332999999996</v>
      </c>
      <c r="AA399">
        <v>272.44</v>
      </c>
      <c r="AB399">
        <v>0</v>
      </c>
      <c r="AC399">
        <v>0</v>
      </c>
      <c r="AD399">
        <v>0</v>
      </c>
      <c r="AE399">
        <v>38.21</v>
      </c>
      <c r="AF399">
        <v>0</v>
      </c>
      <c r="AG399">
        <v>0</v>
      </c>
      <c r="AH399">
        <v>0</v>
      </c>
      <c r="AI399">
        <v>7.13</v>
      </c>
      <c r="AJ399">
        <v>1</v>
      </c>
      <c r="AK399">
        <v>1</v>
      </c>
      <c r="AL399">
        <v>1</v>
      </c>
      <c r="AN399">
        <v>0</v>
      </c>
      <c r="AO399">
        <v>0</v>
      </c>
      <c r="AP399">
        <v>0</v>
      </c>
      <c r="AQ399">
        <v>0</v>
      </c>
      <c r="AR399">
        <v>0</v>
      </c>
      <c r="AS399" t="s">
        <v>6</v>
      </c>
      <c r="AT399">
        <v>83.333332999999996</v>
      </c>
      <c r="AU399" t="s">
        <v>6</v>
      </c>
      <c r="AV399">
        <v>0</v>
      </c>
      <c r="AW399">
        <v>1</v>
      </c>
      <c r="AX399">
        <v>-1</v>
      </c>
      <c r="AY399">
        <v>0</v>
      </c>
      <c r="AZ399">
        <v>0</v>
      </c>
      <c r="BA399" t="s">
        <v>6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Y399*Source!I183</f>
        <v>2.9999999879999995</v>
      </c>
      <c r="CY399">
        <f t="shared" si="54"/>
        <v>272.44</v>
      </c>
      <c r="CZ399">
        <f t="shared" si="55"/>
        <v>38.21</v>
      </c>
      <c r="DA399">
        <f t="shared" si="56"/>
        <v>7.13</v>
      </c>
      <c r="DB399">
        <f t="shared" si="57"/>
        <v>3184.17</v>
      </c>
      <c r="DC399">
        <f t="shared" si="58"/>
        <v>0</v>
      </c>
    </row>
    <row r="400" spans="1:107" x14ac:dyDescent="0.2">
      <c r="A400">
        <f>ROW(Source!A183)</f>
        <v>183</v>
      </c>
      <c r="B400">
        <v>16630606</v>
      </c>
      <c r="C400">
        <v>16632019</v>
      </c>
      <c r="D400">
        <v>15164559</v>
      </c>
      <c r="E400">
        <v>17</v>
      </c>
      <c r="F400">
        <v>1</v>
      </c>
      <c r="G400">
        <v>1</v>
      </c>
      <c r="H400">
        <v>3</v>
      </c>
      <c r="I400" t="s">
        <v>1431</v>
      </c>
      <c r="J400" t="s">
        <v>6</v>
      </c>
      <c r="K400" t="s">
        <v>1432</v>
      </c>
      <c r="L400">
        <v>1374</v>
      </c>
      <c r="N400">
        <v>1013</v>
      </c>
      <c r="O400" t="s">
        <v>1433</v>
      </c>
      <c r="P400" t="s">
        <v>1433</v>
      </c>
      <c r="Q400">
        <v>1</v>
      </c>
      <c r="W400">
        <v>0</v>
      </c>
      <c r="X400">
        <v>-1731369543</v>
      </c>
      <c r="Y400">
        <v>2.5099999999999998</v>
      </c>
      <c r="AA400">
        <v>1</v>
      </c>
      <c r="AB400">
        <v>0</v>
      </c>
      <c r="AC400">
        <v>0</v>
      </c>
      <c r="AD400">
        <v>0</v>
      </c>
      <c r="AE400">
        <v>1</v>
      </c>
      <c r="AF400">
        <v>0</v>
      </c>
      <c r="AG400">
        <v>0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6</v>
      </c>
      <c r="AT400">
        <v>2.5099999999999998</v>
      </c>
      <c r="AU400" t="s">
        <v>6</v>
      </c>
      <c r="AV400">
        <v>0</v>
      </c>
      <c r="AW400">
        <v>2</v>
      </c>
      <c r="AX400">
        <v>16632040</v>
      </c>
      <c r="AY400">
        <v>1</v>
      </c>
      <c r="AZ400">
        <v>0</v>
      </c>
      <c r="BA400">
        <v>397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Y400*Source!I183</f>
        <v>9.0359999999999982E-2</v>
      </c>
      <c r="CY400">
        <f t="shared" si="54"/>
        <v>1</v>
      </c>
      <c r="CZ400">
        <f t="shared" si="55"/>
        <v>1</v>
      </c>
      <c r="DA400">
        <f t="shared" si="56"/>
        <v>1</v>
      </c>
      <c r="DB400">
        <f t="shared" si="57"/>
        <v>2.5099999999999998</v>
      </c>
      <c r="DC400">
        <f t="shared" si="58"/>
        <v>0</v>
      </c>
    </row>
    <row r="401" spans="1:107" x14ac:dyDescent="0.2">
      <c r="A401">
        <f>ROW(Source!A185)</f>
        <v>185</v>
      </c>
      <c r="B401">
        <v>16630606</v>
      </c>
      <c r="C401">
        <v>16632042</v>
      </c>
      <c r="D401">
        <v>15430397</v>
      </c>
      <c r="E401">
        <v>1</v>
      </c>
      <c r="F401">
        <v>1</v>
      </c>
      <c r="G401">
        <v>1</v>
      </c>
      <c r="H401">
        <v>1</v>
      </c>
      <c r="I401" t="s">
        <v>1356</v>
      </c>
      <c r="J401" t="s">
        <v>6</v>
      </c>
      <c r="K401" t="s">
        <v>1357</v>
      </c>
      <c r="L401">
        <v>1191</v>
      </c>
      <c r="N401">
        <v>1013</v>
      </c>
      <c r="O401" t="s">
        <v>1148</v>
      </c>
      <c r="P401" t="s">
        <v>1148</v>
      </c>
      <c r="Q401">
        <v>1</v>
      </c>
      <c r="W401">
        <v>0</v>
      </c>
      <c r="X401">
        <v>-1081351934</v>
      </c>
      <c r="Y401">
        <v>15.28</v>
      </c>
      <c r="AA401">
        <v>0</v>
      </c>
      <c r="AB401">
        <v>0</v>
      </c>
      <c r="AC401">
        <v>0</v>
      </c>
      <c r="AD401">
        <v>67.02</v>
      </c>
      <c r="AE401">
        <v>0</v>
      </c>
      <c r="AF401">
        <v>0</v>
      </c>
      <c r="AG401">
        <v>0</v>
      </c>
      <c r="AH401">
        <v>9.4</v>
      </c>
      <c r="AI401">
        <v>1</v>
      </c>
      <c r="AJ401">
        <v>1</v>
      </c>
      <c r="AK401">
        <v>1</v>
      </c>
      <c r="AL401">
        <v>7.13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6</v>
      </c>
      <c r="AT401">
        <v>15.28</v>
      </c>
      <c r="AU401" t="s">
        <v>6</v>
      </c>
      <c r="AV401">
        <v>1</v>
      </c>
      <c r="AW401">
        <v>2</v>
      </c>
      <c r="AX401">
        <v>16632054</v>
      </c>
      <c r="AY401">
        <v>1</v>
      </c>
      <c r="AZ401">
        <v>0</v>
      </c>
      <c r="BA401">
        <v>398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Y401*Source!I185</f>
        <v>0.24448</v>
      </c>
      <c r="CY401">
        <f>AD401</f>
        <v>67.02</v>
      </c>
      <c r="CZ401">
        <f>AH401</f>
        <v>9.4</v>
      </c>
      <c r="DA401">
        <f>AL401</f>
        <v>7.13</v>
      </c>
      <c r="DB401">
        <f t="shared" si="57"/>
        <v>143.63</v>
      </c>
      <c r="DC401">
        <f t="shared" si="58"/>
        <v>0</v>
      </c>
    </row>
    <row r="402" spans="1:107" x14ac:dyDescent="0.2">
      <c r="A402">
        <f>ROW(Source!A185)</f>
        <v>185</v>
      </c>
      <c r="B402">
        <v>16630606</v>
      </c>
      <c r="C402">
        <v>16632042</v>
      </c>
      <c r="D402">
        <v>15430395</v>
      </c>
      <c r="E402">
        <v>1</v>
      </c>
      <c r="F402">
        <v>1</v>
      </c>
      <c r="G402">
        <v>1</v>
      </c>
      <c r="H402">
        <v>1</v>
      </c>
      <c r="I402" t="s">
        <v>1149</v>
      </c>
      <c r="J402" t="s">
        <v>6</v>
      </c>
      <c r="K402" t="s">
        <v>1150</v>
      </c>
      <c r="L402">
        <v>1191</v>
      </c>
      <c r="N402">
        <v>1013</v>
      </c>
      <c r="O402" t="s">
        <v>1148</v>
      </c>
      <c r="P402" t="s">
        <v>1148</v>
      </c>
      <c r="Q402">
        <v>1</v>
      </c>
      <c r="W402">
        <v>0</v>
      </c>
      <c r="X402">
        <v>-1417349443</v>
      </c>
      <c r="Y402">
        <v>0.22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7.13</v>
      </c>
      <c r="AL402">
        <v>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6</v>
      </c>
      <c r="AT402">
        <v>0.22</v>
      </c>
      <c r="AU402" t="s">
        <v>6</v>
      </c>
      <c r="AV402">
        <v>2</v>
      </c>
      <c r="AW402">
        <v>2</v>
      </c>
      <c r="AX402">
        <v>16632055</v>
      </c>
      <c r="AY402">
        <v>1</v>
      </c>
      <c r="AZ402">
        <v>0</v>
      </c>
      <c r="BA402">
        <v>399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Y402*Source!I185</f>
        <v>3.5200000000000001E-3</v>
      </c>
      <c r="CY402">
        <f>AD402</f>
        <v>0</v>
      </c>
      <c r="CZ402">
        <f>AH402</f>
        <v>0</v>
      </c>
      <c r="DA402">
        <f>AL402</f>
        <v>1</v>
      </c>
      <c r="DB402">
        <f t="shared" si="57"/>
        <v>0</v>
      </c>
      <c r="DC402">
        <f t="shared" si="58"/>
        <v>0</v>
      </c>
    </row>
    <row r="403" spans="1:107" x14ac:dyDescent="0.2">
      <c r="A403">
        <f>ROW(Source!A185)</f>
        <v>185</v>
      </c>
      <c r="B403">
        <v>16630606</v>
      </c>
      <c r="C403">
        <v>16632042</v>
      </c>
      <c r="D403">
        <v>15247680</v>
      </c>
      <c r="E403">
        <v>1</v>
      </c>
      <c r="F403">
        <v>1</v>
      </c>
      <c r="G403">
        <v>1</v>
      </c>
      <c r="H403">
        <v>2</v>
      </c>
      <c r="I403" t="s">
        <v>1419</v>
      </c>
      <c r="J403" t="s">
        <v>1420</v>
      </c>
      <c r="K403" t="s">
        <v>1421</v>
      </c>
      <c r="L403">
        <v>1368</v>
      </c>
      <c r="N403">
        <v>1011</v>
      </c>
      <c r="O403" t="s">
        <v>1154</v>
      </c>
      <c r="P403" t="s">
        <v>1154</v>
      </c>
      <c r="Q403">
        <v>1</v>
      </c>
      <c r="W403">
        <v>0</v>
      </c>
      <c r="X403">
        <v>-1718674368</v>
      </c>
      <c r="Y403">
        <v>0.11</v>
      </c>
      <c r="AA403">
        <v>0</v>
      </c>
      <c r="AB403">
        <v>798.49</v>
      </c>
      <c r="AC403">
        <v>13.5</v>
      </c>
      <c r="AD403">
        <v>0</v>
      </c>
      <c r="AE403">
        <v>0</v>
      </c>
      <c r="AF403">
        <v>111.99</v>
      </c>
      <c r="AG403">
        <v>13.5</v>
      </c>
      <c r="AH403">
        <v>0</v>
      </c>
      <c r="AI403">
        <v>1</v>
      </c>
      <c r="AJ403">
        <v>7.13</v>
      </c>
      <c r="AK403">
        <v>1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6</v>
      </c>
      <c r="AT403">
        <v>0.11</v>
      </c>
      <c r="AU403" t="s">
        <v>6</v>
      </c>
      <c r="AV403">
        <v>0</v>
      </c>
      <c r="AW403">
        <v>2</v>
      </c>
      <c r="AX403">
        <v>16632056</v>
      </c>
      <c r="AY403">
        <v>1</v>
      </c>
      <c r="AZ403">
        <v>0</v>
      </c>
      <c r="BA403">
        <v>400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Y403*Source!I185</f>
        <v>1.7600000000000001E-3</v>
      </c>
      <c r="CY403">
        <f>AB403</f>
        <v>798.49</v>
      </c>
      <c r="CZ403">
        <f>AF403</f>
        <v>111.99</v>
      </c>
      <c r="DA403">
        <f>AJ403</f>
        <v>7.13</v>
      </c>
      <c r="DB403">
        <f t="shared" si="57"/>
        <v>12.32</v>
      </c>
      <c r="DC403">
        <f t="shared" si="58"/>
        <v>1.49</v>
      </c>
    </row>
    <row r="404" spans="1:107" x14ac:dyDescent="0.2">
      <c r="A404">
        <f>ROW(Source!A185)</f>
        <v>185</v>
      </c>
      <c r="B404">
        <v>16630606</v>
      </c>
      <c r="C404">
        <v>16632042</v>
      </c>
      <c r="D404">
        <v>15249073</v>
      </c>
      <c r="E404">
        <v>1</v>
      </c>
      <c r="F404">
        <v>1</v>
      </c>
      <c r="G404">
        <v>1</v>
      </c>
      <c r="H404">
        <v>2</v>
      </c>
      <c r="I404" t="s">
        <v>1157</v>
      </c>
      <c r="J404" t="s">
        <v>1158</v>
      </c>
      <c r="K404" t="s">
        <v>1159</v>
      </c>
      <c r="L404">
        <v>1368</v>
      </c>
      <c r="N404">
        <v>1011</v>
      </c>
      <c r="O404" t="s">
        <v>1154</v>
      </c>
      <c r="P404" t="s">
        <v>1154</v>
      </c>
      <c r="Q404">
        <v>1</v>
      </c>
      <c r="W404">
        <v>0</v>
      </c>
      <c r="X404">
        <v>1372534845</v>
      </c>
      <c r="Y404">
        <v>0.11</v>
      </c>
      <c r="AA404">
        <v>0</v>
      </c>
      <c r="AB404">
        <v>468.51</v>
      </c>
      <c r="AC404">
        <v>11.6</v>
      </c>
      <c r="AD404">
        <v>0</v>
      </c>
      <c r="AE404">
        <v>0</v>
      </c>
      <c r="AF404">
        <v>65.709999999999994</v>
      </c>
      <c r="AG404">
        <v>11.6</v>
      </c>
      <c r="AH404">
        <v>0</v>
      </c>
      <c r="AI404">
        <v>1</v>
      </c>
      <c r="AJ404">
        <v>7.13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6</v>
      </c>
      <c r="AT404">
        <v>0.11</v>
      </c>
      <c r="AU404" t="s">
        <v>6</v>
      </c>
      <c r="AV404">
        <v>0</v>
      </c>
      <c r="AW404">
        <v>2</v>
      </c>
      <c r="AX404">
        <v>16632057</v>
      </c>
      <c r="AY404">
        <v>1</v>
      </c>
      <c r="AZ404">
        <v>0</v>
      </c>
      <c r="BA404">
        <v>401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Y404*Source!I185</f>
        <v>1.7600000000000001E-3</v>
      </c>
      <c r="CY404">
        <f>AB404</f>
        <v>468.51</v>
      </c>
      <c r="CZ404">
        <f>AF404</f>
        <v>65.709999999999994</v>
      </c>
      <c r="DA404">
        <f>AJ404</f>
        <v>7.13</v>
      </c>
      <c r="DB404">
        <f t="shared" si="57"/>
        <v>7.23</v>
      </c>
      <c r="DC404">
        <f t="shared" si="58"/>
        <v>1.28</v>
      </c>
    </row>
    <row r="405" spans="1:107" x14ac:dyDescent="0.2">
      <c r="A405">
        <f>ROW(Source!A185)</f>
        <v>185</v>
      </c>
      <c r="B405">
        <v>16630606</v>
      </c>
      <c r="C405">
        <v>16632042</v>
      </c>
      <c r="D405">
        <v>15172838</v>
      </c>
      <c r="E405">
        <v>1</v>
      </c>
      <c r="F405">
        <v>1</v>
      </c>
      <c r="G405">
        <v>1</v>
      </c>
      <c r="H405">
        <v>3</v>
      </c>
      <c r="I405" t="s">
        <v>1487</v>
      </c>
      <c r="J405" t="s">
        <v>1488</v>
      </c>
      <c r="K405" t="s">
        <v>1489</v>
      </c>
      <c r="L405">
        <v>1339</v>
      </c>
      <c r="N405">
        <v>1007</v>
      </c>
      <c r="O405" t="s">
        <v>203</v>
      </c>
      <c r="P405" t="s">
        <v>203</v>
      </c>
      <c r="Q405">
        <v>1</v>
      </c>
      <c r="W405">
        <v>0</v>
      </c>
      <c r="X405">
        <v>536744769</v>
      </c>
      <c r="Y405">
        <v>2.1000000000000001E-2</v>
      </c>
      <c r="AA405">
        <v>4278</v>
      </c>
      <c r="AB405">
        <v>0</v>
      </c>
      <c r="AC405">
        <v>0</v>
      </c>
      <c r="AD405">
        <v>0</v>
      </c>
      <c r="AE405">
        <v>600</v>
      </c>
      <c r="AF405">
        <v>0</v>
      </c>
      <c r="AG405">
        <v>0</v>
      </c>
      <c r="AH405">
        <v>0</v>
      </c>
      <c r="AI405">
        <v>7.13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6</v>
      </c>
      <c r="AT405">
        <v>2.1000000000000001E-2</v>
      </c>
      <c r="AU405" t="s">
        <v>6</v>
      </c>
      <c r="AV405">
        <v>0</v>
      </c>
      <c r="AW405">
        <v>2</v>
      </c>
      <c r="AX405">
        <v>16632058</v>
      </c>
      <c r="AY405">
        <v>1</v>
      </c>
      <c r="AZ405">
        <v>0</v>
      </c>
      <c r="BA405">
        <v>402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Y405*Source!I185</f>
        <v>3.3600000000000004E-4</v>
      </c>
      <c r="CY405">
        <f t="shared" ref="CY405:CY411" si="59">AA405</f>
        <v>4278</v>
      </c>
      <c r="CZ405">
        <f t="shared" ref="CZ405:CZ411" si="60">AE405</f>
        <v>600</v>
      </c>
      <c r="DA405">
        <f t="shared" ref="DA405:DA411" si="61">AI405</f>
        <v>7.13</v>
      </c>
      <c r="DB405">
        <f t="shared" si="57"/>
        <v>12.6</v>
      </c>
      <c r="DC405">
        <f t="shared" si="58"/>
        <v>0</v>
      </c>
    </row>
    <row r="406" spans="1:107" x14ac:dyDescent="0.2">
      <c r="A406">
        <f>ROW(Source!A185)</f>
        <v>185</v>
      </c>
      <c r="B406">
        <v>16630606</v>
      </c>
      <c r="C406">
        <v>16632042</v>
      </c>
      <c r="D406">
        <v>15202442</v>
      </c>
      <c r="E406">
        <v>1</v>
      </c>
      <c r="F406">
        <v>1</v>
      </c>
      <c r="G406">
        <v>1</v>
      </c>
      <c r="H406">
        <v>3</v>
      </c>
      <c r="I406" t="s">
        <v>1490</v>
      </c>
      <c r="J406" t="s">
        <v>1491</v>
      </c>
      <c r="K406" t="s">
        <v>1492</v>
      </c>
      <c r="L406">
        <v>1346</v>
      </c>
      <c r="N406">
        <v>1009</v>
      </c>
      <c r="O406" t="s">
        <v>102</v>
      </c>
      <c r="P406" t="s">
        <v>102</v>
      </c>
      <c r="Q406">
        <v>1</v>
      </c>
      <c r="W406">
        <v>0</v>
      </c>
      <c r="X406">
        <v>505519491</v>
      </c>
      <c r="Y406">
        <v>0.4</v>
      </c>
      <c r="AA406">
        <v>183.95</v>
      </c>
      <c r="AB406">
        <v>0</v>
      </c>
      <c r="AC406">
        <v>0</v>
      </c>
      <c r="AD406">
        <v>0</v>
      </c>
      <c r="AE406">
        <v>25.8</v>
      </c>
      <c r="AF406">
        <v>0</v>
      </c>
      <c r="AG406">
        <v>0</v>
      </c>
      <c r="AH406">
        <v>0</v>
      </c>
      <c r="AI406">
        <v>7.13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6</v>
      </c>
      <c r="AT406">
        <v>0.4</v>
      </c>
      <c r="AU406" t="s">
        <v>6</v>
      </c>
      <c r="AV406">
        <v>0</v>
      </c>
      <c r="AW406">
        <v>2</v>
      </c>
      <c r="AX406">
        <v>16632059</v>
      </c>
      <c r="AY406">
        <v>1</v>
      </c>
      <c r="AZ406">
        <v>0</v>
      </c>
      <c r="BA406">
        <v>403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Y406*Source!I185</f>
        <v>6.4000000000000003E-3</v>
      </c>
      <c r="CY406">
        <f t="shared" si="59"/>
        <v>183.95</v>
      </c>
      <c r="CZ406">
        <f t="shared" si="60"/>
        <v>25.8</v>
      </c>
      <c r="DA406">
        <f t="shared" si="61"/>
        <v>7.13</v>
      </c>
      <c r="DB406">
        <f t="shared" si="57"/>
        <v>10.32</v>
      </c>
      <c r="DC406">
        <f t="shared" si="58"/>
        <v>0</v>
      </c>
    </row>
    <row r="407" spans="1:107" x14ac:dyDescent="0.2">
      <c r="A407">
        <f>ROW(Source!A185)</f>
        <v>185</v>
      </c>
      <c r="B407">
        <v>16630606</v>
      </c>
      <c r="C407">
        <v>16632042</v>
      </c>
      <c r="D407">
        <v>15217585</v>
      </c>
      <c r="E407">
        <v>1</v>
      </c>
      <c r="F407">
        <v>1</v>
      </c>
      <c r="G407">
        <v>1</v>
      </c>
      <c r="H407">
        <v>3</v>
      </c>
      <c r="I407" t="s">
        <v>1493</v>
      </c>
      <c r="J407" t="s">
        <v>1494</v>
      </c>
      <c r="K407" t="s">
        <v>1495</v>
      </c>
      <c r="L407">
        <v>1356</v>
      </c>
      <c r="N407">
        <v>1010</v>
      </c>
      <c r="O407" t="s">
        <v>278</v>
      </c>
      <c r="P407" t="s">
        <v>278</v>
      </c>
      <c r="Q407">
        <v>1000</v>
      </c>
      <c r="W407">
        <v>0</v>
      </c>
      <c r="X407">
        <v>40709342</v>
      </c>
      <c r="Y407">
        <v>3.2000000000000001E-2</v>
      </c>
      <c r="AA407">
        <v>1925.1</v>
      </c>
      <c r="AB407">
        <v>0</v>
      </c>
      <c r="AC407">
        <v>0</v>
      </c>
      <c r="AD407">
        <v>0</v>
      </c>
      <c r="AE407">
        <v>270</v>
      </c>
      <c r="AF407">
        <v>0</v>
      </c>
      <c r="AG407">
        <v>0</v>
      </c>
      <c r="AH407">
        <v>0</v>
      </c>
      <c r="AI407">
        <v>7.13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6</v>
      </c>
      <c r="AT407">
        <v>3.2000000000000001E-2</v>
      </c>
      <c r="AU407" t="s">
        <v>6</v>
      </c>
      <c r="AV407">
        <v>0</v>
      </c>
      <c r="AW407">
        <v>2</v>
      </c>
      <c r="AX407">
        <v>16632060</v>
      </c>
      <c r="AY407">
        <v>1</v>
      </c>
      <c r="AZ407">
        <v>0</v>
      </c>
      <c r="BA407">
        <v>404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Y407*Source!I185</f>
        <v>5.1199999999999998E-4</v>
      </c>
      <c r="CY407">
        <f t="shared" si="59"/>
        <v>1925.1</v>
      </c>
      <c r="CZ407">
        <f t="shared" si="60"/>
        <v>270</v>
      </c>
      <c r="DA407">
        <f t="shared" si="61"/>
        <v>7.13</v>
      </c>
      <c r="DB407">
        <f t="shared" si="57"/>
        <v>8.64</v>
      </c>
      <c r="DC407">
        <f t="shared" si="58"/>
        <v>0</v>
      </c>
    </row>
    <row r="408" spans="1:107" x14ac:dyDescent="0.2">
      <c r="A408">
        <f>ROW(Source!A185)</f>
        <v>185</v>
      </c>
      <c r="B408">
        <v>16630606</v>
      </c>
      <c r="C408">
        <v>16632042</v>
      </c>
      <c r="D408">
        <v>15217593</v>
      </c>
      <c r="E408">
        <v>1</v>
      </c>
      <c r="F408">
        <v>1</v>
      </c>
      <c r="G408">
        <v>1</v>
      </c>
      <c r="H408">
        <v>3</v>
      </c>
      <c r="I408" t="s">
        <v>1496</v>
      </c>
      <c r="J408" t="s">
        <v>1497</v>
      </c>
      <c r="K408" t="s">
        <v>1498</v>
      </c>
      <c r="L408">
        <v>1358</v>
      </c>
      <c r="N408">
        <v>1010</v>
      </c>
      <c r="O408" t="s">
        <v>616</v>
      </c>
      <c r="P408" t="s">
        <v>616</v>
      </c>
      <c r="Q408">
        <v>10</v>
      </c>
      <c r="W408">
        <v>0</v>
      </c>
      <c r="X408">
        <v>-1110089157</v>
      </c>
      <c r="Y408">
        <v>1</v>
      </c>
      <c r="AA408">
        <v>141.88999999999999</v>
      </c>
      <c r="AB408">
        <v>0</v>
      </c>
      <c r="AC408">
        <v>0</v>
      </c>
      <c r="AD408">
        <v>0</v>
      </c>
      <c r="AE408">
        <v>19.899999999999999</v>
      </c>
      <c r="AF408">
        <v>0</v>
      </c>
      <c r="AG408">
        <v>0</v>
      </c>
      <c r="AH408">
        <v>0</v>
      </c>
      <c r="AI408">
        <v>7.13</v>
      </c>
      <c r="AJ408">
        <v>1</v>
      </c>
      <c r="AK408">
        <v>1</v>
      </c>
      <c r="AL408">
        <v>1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6</v>
      </c>
      <c r="AT408">
        <v>1</v>
      </c>
      <c r="AU408" t="s">
        <v>6</v>
      </c>
      <c r="AV408">
        <v>0</v>
      </c>
      <c r="AW408">
        <v>2</v>
      </c>
      <c r="AX408">
        <v>16632061</v>
      </c>
      <c r="AY408">
        <v>1</v>
      </c>
      <c r="AZ408">
        <v>0</v>
      </c>
      <c r="BA408">
        <v>405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Y408*Source!I185</f>
        <v>1.6E-2</v>
      </c>
      <c r="CY408">
        <f t="shared" si="59"/>
        <v>141.88999999999999</v>
      </c>
      <c r="CZ408">
        <f t="shared" si="60"/>
        <v>19.899999999999999</v>
      </c>
      <c r="DA408">
        <f t="shared" si="61"/>
        <v>7.13</v>
      </c>
      <c r="DB408">
        <f t="shared" si="57"/>
        <v>19.899999999999999</v>
      </c>
      <c r="DC408">
        <f t="shared" si="58"/>
        <v>0</v>
      </c>
    </row>
    <row r="409" spans="1:107" x14ac:dyDescent="0.2">
      <c r="A409">
        <f>ROW(Source!A185)</f>
        <v>185</v>
      </c>
      <c r="B409">
        <v>16630606</v>
      </c>
      <c r="C409">
        <v>16632042</v>
      </c>
      <c r="D409">
        <v>15218939</v>
      </c>
      <c r="E409">
        <v>1</v>
      </c>
      <c r="F409">
        <v>1</v>
      </c>
      <c r="G409">
        <v>1</v>
      </c>
      <c r="H409">
        <v>3</v>
      </c>
      <c r="I409" t="s">
        <v>1499</v>
      </c>
      <c r="J409" t="s">
        <v>1500</v>
      </c>
      <c r="K409" t="s">
        <v>1501</v>
      </c>
      <c r="L409">
        <v>1354</v>
      </c>
      <c r="N409">
        <v>1010</v>
      </c>
      <c r="O409" t="s">
        <v>132</v>
      </c>
      <c r="P409" t="s">
        <v>132</v>
      </c>
      <c r="Q409">
        <v>1</v>
      </c>
      <c r="W409">
        <v>0</v>
      </c>
      <c r="X409">
        <v>-1308137011</v>
      </c>
      <c r="Y409">
        <v>0.5</v>
      </c>
      <c r="AA409">
        <v>476.43</v>
      </c>
      <c r="AB409">
        <v>0</v>
      </c>
      <c r="AC409">
        <v>0</v>
      </c>
      <c r="AD409">
        <v>0</v>
      </c>
      <c r="AE409">
        <v>66.819999999999993</v>
      </c>
      <c r="AF409">
        <v>0</v>
      </c>
      <c r="AG409">
        <v>0</v>
      </c>
      <c r="AH409">
        <v>0</v>
      </c>
      <c r="AI409">
        <v>7.13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6</v>
      </c>
      <c r="AT409">
        <v>0.5</v>
      </c>
      <c r="AU409" t="s">
        <v>6</v>
      </c>
      <c r="AV409">
        <v>0</v>
      </c>
      <c r="AW409">
        <v>2</v>
      </c>
      <c r="AX409">
        <v>16632062</v>
      </c>
      <c r="AY409">
        <v>1</v>
      </c>
      <c r="AZ409">
        <v>0</v>
      </c>
      <c r="BA409">
        <v>406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Y409*Source!I185</f>
        <v>8.0000000000000002E-3</v>
      </c>
      <c r="CY409">
        <f t="shared" si="59"/>
        <v>476.43</v>
      </c>
      <c r="CZ409">
        <f t="shared" si="60"/>
        <v>66.819999999999993</v>
      </c>
      <c r="DA409">
        <f t="shared" si="61"/>
        <v>7.13</v>
      </c>
      <c r="DB409">
        <f t="shared" si="57"/>
        <v>33.409999999999997</v>
      </c>
      <c r="DC409">
        <f t="shared" si="58"/>
        <v>0</v>
      </c>
    </row>
    <row r="410" spans="1:107" x14ac:dyDescent="0.2">
      <c r="A410">
        <f>ROW(Source!A185)</f>
        <v>185</v>
      </c>
      <c r="B410">
        <v>16630606</v>
      </c>
      <c r="C410">
        <v>16632042</v>
      </c>
      <c r="D410">
        <v>15220925</v>
      </c>
      <c r="E410">
        <v>1</v>
      </c>
      <c r="F410">
        <v>1</v>
      </c>
      <c r="G410">
        <v>1</v>
      </c>
      <c r="H410">
        <v>3</v>
      </c>
      <c r="I410" t="s">
        <v>605</v>
      </c>
      <c r="J410" t="s">
        <v>607</v>
      </c>
      <c r="K410" t="s">
        <v>606</v>
      </c>
      <c r="L410">
        <v>1354</v>
      </c>
      <c r="N410">
        <v>1010</v>
      </c>
      <c r="O410" t="s">
        <v>132</v>
      </c>
      <c r="P410" t="s">
        <v>132</v>
      </c>
      <c r="Q410">
        <v>1</v>
      </c>
      <c r="W410">
        <v>0</v>
      </c>
      <c r="X410">
        <v>1967590266</v>
      </c>
      <c r="Y410">
        <v>187.5</v>
      </c>
      <c r="AA410">
        <v>534.11</v>
      </c>
      <c r="AB410">
        <v>0</v>
      </c>
      <c r="AC410">
        <v>0</v>
      </c>
      <c r="AD410">
        <v>0</v>
      </c>
      <c r="AE410">
        <v>74.91</v>
      </c>
      <c r="AF410">
        <v>0</v>
      </c>
      <c r="AG410">
        <v>0</v>
      </c>
      <c r="AH410">
        <v>0</v>
      </c>
      <c r="AI410">
        <v>7.13</v>
      </c>
      <c r="AJ410">
        <v>1</v>
      </c>
      <c r="AK410">
        <v>1</v>
      </c>
      <c r="AL410">
        <v>1</v>
      </c>
      <c r="AN410">
        <v>0</v>
      </c>
      <c r="AO410">
        <v>0</v>
      </c>
      <c r="AP410">
        <v>0</v>
      </c>
      <c r="AQ410">
        <v>0</v>
      </c>
      <c r="AR410">
        <v>0</v>
      </c>
      <c r="AS410" t="s">
        <v>6</v>
      </c>
      <c r="AT410">
        <v>187.5</v>
      </c>
      <c r="AU410" t="s">
        <v>6</v>
      </c>
      <c r="AV410">
        <v>0</v>
      </c>
      <c r="AW410">
        <v>1</v>
      </c>
      <c r="AX410">
        <v>-1</v>
      </c>
      <c r="AY410">
        <v>0</v>
      </c>
      <c r="AZ410">
        <v>0</v>
      </c>
      <c r="BA410" t="s">
        <v>6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Y410*Source!I185</f>
        <v>3</v>
      </c>
      <c r="CY410">
        <f t="shared" si="59"/>
        <v>534.11</v>
      </c>
      <c r="CZ410">
        <f t="shared" si="60"/>
        <v>74.91</v>
      </c>
      <c r="DA410">
        <f t="shared" si="61"/>
        <v>7.13</v>
      </c>
      <c r="DB410">
        <f t="shared" si="57"/>
        <v>14045.63</v>
      </c>
      <c r="DC410">
        <f t="shared" si="58"/>
        <v>0</v>
      </c>
    </row>
    <row r="411" spans="1:107" x14ac:dyDescent="0.2">
      <c r="A411">
        <f>ROW(Source!A185)</f>
        <v>185</v>
      </c>
      <c r="B411">
        <v>16630606</v>
      </c>
      <c r="C411">
        <v>16632042</v>
      </c>
      <c r="D411">
        <v>15164559</v>
      </c>
      <c r="E411">
        <v>17</v>
      </c>
      <c r="F411">
        <v>1</v>
      </c>
      <c r="G411">
        <v>1</v>
      </c>
      <c r="H411">
        <v>3</v>
      </c>
      <c r="I411" t="s">
        <v>1431</v>
      </c>
      <c r="J411" t="s">
        <v>6</v>
      </c>
      <c r="K411" t="s">
        <v>1432</v>
      </c>
      <c r="L411">
        <v>1374</v>
      </c>
      <c r="N411">
        <v>1013</v>
      </c>
      <c r="O411" t="s">
        <v>1433</v>
      </c>
      <c r="P411" t="s">
        <v>1433</v>
      </c>
      <c r="Q411">
        <v>1</v>
      </c>
      <c r="W411">
        <v>0</v>
      </c>
      <c r="X411">
        <v>-1731369543</v>
      </c>
      <c r="Y411">
        <v>2.87</v>
      </c>
      <c r="AA411">
        <v>1</v>
      </c>
      <c r="AB411">
        <v>0</v>
      </c>
      <c r="AC411">
        <v>0</v>
      </c>
      <c r="AD411">
        <v>0</v>
      </c>
      <c r="AE411">
        <v>1</v>
      </c>
      <c r="AF411">
        <v>0</v>
      </c>
      <c r="AG411">
        <v>0</v>
      </c>
      <c r="AH411">
        <v>0</v>
      </c>
      <c r="AI411">
        <v>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6</v>
      </c>
      <c r="AT411">
        <v>2.87</v>
      </c>
      <c r="AU411" t="s">
        <v>6</v>
      </c>
      <c r="AV411">
        <v>0</v>
      </c>
      <c r="AW411">
        <v>2</v>
      </c>
      <c r="AX411">
        <v>16632063</v>
      </c>
      <c r="AY411">
        <v>1</v>
      </c>
      <c r="AZ411">
        <v>0</v>
      </c>
      <c r="BA411">
        <v>407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Y411*Source!I185</f>
        <v>4.5920000000000002E-2</v>
      </c>
      <c r="CY411">
        <f t="shared" si="59"/>
        <v>1</v>
      </c>
      <c r="CZ411">
        <f t="shared" si="60"/>
        <v>1</v>
      </c>
      <c r="DA411">
        <f t="shared" si="61"/>
        <v>1</v>
      </c>
      <c r="DB411">
        <f t="shared" si="57"/>
        <v>2.87</v>
      </c>
      <c r="DC411">
        <f t="shared" si="58"/>
        <v>0</v>
      </c>
    </row>
    <row r="412" spans="1:107" x14ac:dyDescent="0.2">
      <c r="A412">
        <f>ROW(Source!A187)</f>
        <v>187</v>
      </c>
      <c r="B412">
        <v>16630606</v>
      </c>
      <c r="C412">
        <v>16632065</v>
      </c>
      <c r="D412">
        <v>15447742</v>
      </c>
      <c r="E412">
        <v>1</v>
      </c>
      <c r="F412">
        <v>1</v>
      </c>
      <c r="G412">
        <v>1</v>
      </c>
      <c r="H412">
        <v>1</v>
      </c>
      <c r="I412" t="s">
        <v>1502</v>
      </c>
      <c r="J412" t="s">
        <v>6</v>
      </c>
      <c r="K412" t="s">
        <v>1503</v>
      </c>
      <c r="L412">
        <v>1191</v>
      </c>
      <c r="N412">
        <v>1013</v>
      </c>
      <c r="O412" t="s">
        <v>1148</v>
      </c>
      <c r="P412" t="s">
        <v>1148</v>
      </c>
      <c r="Q412">
        <v>1</v>
      </c>
      <c r="W412">
        <v>0</v>
      </c>
      <c r="X412">
        <v>-2143564933</v>
      </c>
      <c r="Y412">
        <v>0.5</v>
      </c>
      <c r="AA412">
        <v>0</v>
      </c>
      <c r="AB412">
        <v>0</v>
      </c>
      <c r="AC412">
        <v>0</v>
      </c>
      <c r="AD412">
        <v>69.59</v>
      </c>
      <c r="AE412">
        <v>0</v>
      </c>
      <c r="AF412">
        <v>0</v>
      </c>
      <c r="AG412">
        <v>0</v>
      </c>
      <c r="AH412">
        <v>9.76</v>
      </c>
      <c r="AI412">
        <v>1</v>
      </c>
      <c r="AJ412">
        <v>1</v>
      </c>
      <c r="AK412">
        <v>1</v>
      </c>
      <c r="AL412">
        <v>7.13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6</v>
      </c>
      <c r="AT412">
        <v>0.5</v>
      </c>
      <c r="AU412" t="s">
        <v>6</v>
      </c>
      <c r="AV412">
        <v>1</v>
      </c>
      <c r="AW412">
        <v>2</v>
      </c>
      <c r="AX412">
        <v>16632072</v>
      </c>
      <c r="AY412">
        <v>1</v>
      </c>
      <c r="AZ412">
        <v>0</v>
      </c>
      <c r="BA412">
        <v>408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Y412*Source!I187</f>
        <v>14.5</v>
      </c>
      <c r="CY412">
        <f>AD412</f>
        <v>69.59</v>
      </c>
      <c r="CZ412">
        <f>AH412</f>
        <v>9.76</v>
      </c>
      <c r="DA412">
        <f>AL412</f>
        <v>7.13</v>
      </c>
      <c r="DB412">
        <f t="shared" si="57"/>
        <v>4.88</v>
      </c>
      <c r="DC412">
        <f t="shared" si="58"/>
        <v>0</v>
      </c>
    </row>
    <row r="413" spans="1:107" x14ac:dyDescent="0.2">
      <c r="A413">
        <f>ROW(Source!A187)</f>
        <v>187</v>
      </c>
      <c r="B413">
        <v>16630606</v>
      </c>
      <c r="C413">
        <v>16632065</v>
      </c>
      <c r="D413">
        <v>15170438</v>
      </c>
      <c r="E413">
        <v>1</v>
      </c>
      <c r="F413">
        <v>1</v>
      </c>
      <c r="G413">
        <v>1</v>
      </c>
      <c r="H413">
        <v>3</v>
      </c>
      <c r="I413" t="s">
        <v>1481</v>
      </c>
      <c r="J413" t="s">
        <v>1482</v>
      </c>
      <c r="K413" t="s">
        <v>1483</v>
      </c>
      <c r="L413">
        <v>1348</v>
      </c>
      <c r="N413">
        <v>1009</v>
      </c>
      <c r="O413" t="s">
        <v>98</v>
      </c>
      <c r="P413" t="s">
        <v>98</v>
      </c>
      <c r="Q413">
        <v>1000</v>
      </c>
      <c r="W413">
        <v>0</v>
      </c>
      <c r="X413">
        <v>-1755229539</v>
      </c>
      <c r="Y413">
        <v>1.0000000000000001E-5</v>
      </c>
      <c r="AA413">
        <v>88625.9</v>
      </c>
      <c r="AB413">
        <v>0</v>
      </c>
      <c r="AC413">
        <v>0</v>
      </c>
      <c r="AD413">
        <v>0</v>
      </c>
      <c r="AE413">
        <v>12430</v>
      </c>
      <c r="AF413">
        <v>0</v>
      </c>
      <c r="AG413">
        <v>0</v>
      </c>
      <c r="AH413">
        <v>0</v>
      </c>
      <c r="AI413">
        <v>7.13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6</v>
      </c>
      <c r="AT413">
        <v>1.0000000000000001E-5</v>
      </c>
      <c r="AU413" t="s">
        <v>6</v>
      </c>
      <c r="AV413">
        <v>0</v>
      </c>
      <c r="AW413">
        <v>2</v>
      </c>
      <c r="AX413">
        <v>16632073</v>
      </c>
      <c r="AY413">
        <v>1</v>
      </c>
      <c r="AZ413">
        <v>0</v>
      </c>
      <c r="BA413">
        <v>409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Y413*Source!I187</f>
        <v>2.9E-4</v>
      </c>
      <c r="CY413">
        <f>AA413</f>
        <v>88625.9</v>
      </c>
      <c r="CZ413">
        <f>AE413</f>
        <v>12430</v>
      </c>
      <c r="DA413">
        <f>AI413</f>
        <v>7.13</v>
      </c>
      <c r="DB413">
        <f t="shared" si="57"/>
        <v>0.12</v>
      </c>
      <c r="DC413">
        <f t="shared" si="58"/>
        <v>0</v>
      </c>
    </row>
    <row r="414" spans="1:107" x14ac:dyDescent="0.2">
      <c r="A414">
        <f>ROW(Source!A187)</f>
        <v>187</v>
      </c>
      <c r="B414">
        <v>16630606</v>
      </c>
      <c r="C414">
        <v>16632065</v>
      </c>
      <c r="D414">
        <v>15171982</v>
      </c>
      <c r="E414">
        <v>1</v>
      </c>
      <c r="F414">
        <v>1</v>
      </c>
      <c r="G414">
        <v>1</v>
      </c>
      <c r="H414">
        <v>3</v>
      </c>
      <c r="I414" t="s">
        <v>1364</v>
      </c>
      <c r="J414" t="s">
        <v>1365</v>
      </c>
      <c r="K414" t="s">
        <v>1366</v>
      </c>
      <c r="L414">
        <v>1348</v>
      </c>
      <c r="N414">
        <v>1009</v>
      </c>
      <c r="O414" t="s">
        <v>98</v>
      </c>
      <c r="P414" t="s">
        <v>98</v>
      </c>
      <c r="Q414">
        <v>1000</v>
      </c>
      <c r="W414">
        <v>0</v>
      </c>
      <c r="X414">
        <v>-1421715385</v>
      </c>
      <c r="Y414">
        <v>5.0000000000000002E-5</v>
      </c>
      <c r="AA414">
        <v>5204.76</v>
      </c>
      <c r="AB414">
        <v>0</v>
      </c>
      <c r="AC414">
        <v>0</v>
      </c>
      <c r="AD414">
        <v>0</v>
      </c>
      <c r="AE414">
        <v>729.98</v>
      </c>
      <c r="AF414">
        <v>0</v>
      </c>
      <c r="AG414">
        <v>0</v>
      </c>
      <c r="AH414">
        <v>0</v>
      </c>
      <c r="AI414">
        <v>7.13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6</v>
      </c>
      <c r="AT414">
        <v>5.0000000000000002E-5</v>
      </c>
      <c r="AU414" t="s">
        <v>6</v>
      </c>
      <c r="AV414">
        <v>0</v>
      </c>
      <c r="AW414">
        <v>2</v>
      </c>
      <c r="AX414">
        <v>16632074</v>
      </c>
      <c r="AY414">
        <v>1</v>
      </c>
      <c r="AZ414">
        <v>0</v>
      </c>
      <c r="BA414">
        <v>410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Y414*Source!I187</f>
        <v>1.4500000000000001E-3</v>
      </c>
      <c r="CY414">
        <f>AA414</f>
        <v>5204.76</v>
      </c>
      <c r="CZ414">
        <f>AE414</f>
        <v>729.98</v>
      </c>
      <c r="DA414">
        <f>AI414</f>
        <v>7.13</v>
      </c>
      <c r="DB414">
        <f t="shared" si="57"/>
        <v>0.04</v>
      </c>
      <c r="DC414">
        <f t="shared" si="58"/>
        <v>0</v>
      </c>
    </row>
    <row r="415" spans="1:107" x14ac:dyDescent="0.2">
      <c r="A415">
        <f>ROW(Source!A187)</f>
        <v>187</v>
      </c>
      <c r="B415">
        <v>16630606</v>
      </c>
      <c r="C415">
        <v>16632065</v>
      </c>
      <c r="D415">
        <v>15191144</v>
      </c>
      <c r="E415">
        <v>1</v>
      </c>
      <c r="F415">
        <v>1</v>
      </c>
      <c r="G415">
        <v>1</v>
      </c>
      <c r="H415">
        <v>3</v>
      </c>
      <c r="I415" t="s">
        <v>1504</v>
      </c>
      <c r="J415" t="s">
        <v>1505</v>
      </c>
      <c r="K415" t="s">
        <v>1506</v>
      </c>
      <c r="L415">
        <v>1348</v>
      </c>
      <c r="N415">
        <v>1009</v>
      </c>
      <c r="O415" t="s">
        <v>98</v>
      </c>
      <c r="P415" t="s">
        <v>98</v>
      </c>
      <c r="Q415">
        <v>1000</v>
      </c>
      <c r="W415">
        <v>0</v>
      </c>
      <c r="X415">
        <v>-1328921133</v>
      </c>
      <c r="Y415">
        <v>1.0000000000000001E-5</v>
      </c>
      <c r="AA415">
        <v>104739.7</v>
      </c>
      <c r="AB415">
        <v>0</v>
      </c>
      <c r="AC415">
        <v>0</v>
      </c>
      <c r="AD415">
        <v>0</v>
      </c>
      <c r="AE415">
        <v>14690</v>
      </c>
      <c r="AF415">
        <v>0</v>
      </c>
      <c r="AG415">
        <v>0</v>
      </c>
      <c r="AH415">
        <v>0</v>
      </c>
      <c r="AI415">
        <v>7.13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6</v>
      </c>
      <c r="AT415">
        <v>1.0000000000000001E-5</v>
      </c>
      <c r="AU415" t="s">
        <v>6</v>
      </c>
      <c r="AV415">
        <v>0</v>
      </c>
      <c r="AW415">
        <v>2</v>
      </c>
      <c r="AX415">
        <v>16632075</v>
      </c>
      <c r="AY415">
        <v>1</v>
      </c>
      <c r="AZ415">
        <v>0</v>
      </c>
      <c r="BA415">
        <v>411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Y415*Source!I187</f>
        <v>2.9E-4</v>
      </c>
      <c r="CY415">
        <f>AA415</f>
        <v>104739.7</v>
      </c>
      <c r="CZ415">
        <f>AE415</f>
        <v>14690</v>
      </c>
      <c r="DA415">
        <f>AI415</f>
        <v>7.13</v>
      </c>
      <c r="DB415">
        <f t="shared" si="57"/>
        <v>0.15</v>
      </c>
      <c r="DC415">
        <f t="shared" si="58"/>
        <v>0</v>
      </c>
    </row>
    <row r="416" spans="1:107" x14ac:dyDescent="0.2">
      <c r="A416">
        <f>ROW(Source!A187)</f>
        <v>187</v>
      </c>
      <c r="B416">
        <v>16630606</v>
      </c>
      <c r="C416">
        <v>16632065</v>
      </c>
      <c r="D416">
        <v>15220969</v>
      </c>
      <c r="E416">
        <v>1</v>
      </c>
      <c r="F416">
        <v>1</v>
      </c>
      <c r="G416">
        <v>1</v>
      </c>
      <c r="H416">
        <v>3</v>
      </c>
      <c r="I416" t="s">
        <v>614</v>
      </c>
      <c r="J416" t="s">
        <v>617</v>
      </c>
      <c r="K416" t="s">
        <v>615</v>
      </c>
      <c r="L416">
        <v>1358</v>
      </c>
      <c r="N416">
        <v>1010</v>
      </c>
      <c r="O416" t="s">
        <v>616</v>
      </c>
      <c r="P416" t="s">
        <v>616</v>
      </c>
      <c r="Q416">
        <v>10</v>
      </c>
      <c r="W416">
        <v>0</v>
      </c>
      <c r="X416">
        <v>-97677705</v>
      </c>
      <c r="Y416">
        <v>0.1</v>
      </c>
      <c r="AA416">
        <v>942.87</v>
      </c>
      <c r="AB416">
        <v>0</v>
      </c>
      <c r="AC416">
        <v>0</v>
      </c>
      <c r="AD416">
        <v>0</v>
      </c>
      <c r="AE416">
        <v>132.24</v>
      </c>
      <c r="AF416">
        <v>0</v>
      </c>
      <c r="AG416">
        <v>0</v>
      </c>
      <c r="AH416">
        <v>0</v>
      </c>
      <c r="AI416">
        <v>7.13</v>
      </c>
      <c r="AJ416">
        <v>1</v>
      </c>
      <c r="AK416">
        <v>1</v>
      </c>
      <c r="AL416">
        <v>1</v>
      </c>
      <c r="AN416">
        <v>0</v>
      </c>
      <c r="AO416">
        <v>0</v>
      </c>
      <c r="AP416">
        <v>0</v>
      </c>
      <c r="AQ416">
        <v>0</v>
      </c>
      <c r="AR416">
        <v>0</v>
      </c>
      <c r="AS416" t="s">
        <v>6</v>
      </c>
      <c r="AT416">
        <v>0.1</v>
      </c>
      <c r="AU416" t="s">
        <v>6</v>
      </c>
      <c r="AV416">
        <v>0</v>
      </c>
      <c r="AW416">
        <v>1</v>
      </c>
      <c r="AX416">
        <v>-1</v>
      </c>
      <c r="AY416">
        <v>0</v>
      </c>
      <c r="AZ416">
        <v>0</v>
      </c>
      <c r="BA416" t="s">
        <v>6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Y416*Source!I187</f>
        <v>2.9000000000000004</v>
      </c>
      <c r="CY416">
        <f>AA416</f>
        <v>942.87</v>
      </c>
      <c r="CZ416">
        <f>AE416</f>
        <v>132.24</v>
      </c>
      <c r="DA416">
        <f>AI416</f>
        <v>7.13</v>
      </c>
      <c r="DB416">
        <f t="shared" si="57"/>
        <v>13.22</v>
      </c>
      <c r="DC416">
        <f t="shared" si="58"/>
        <v>0</v>
      </c>
    </row>
    <row r="417" spans="1:107" x14ac:dyDescent="0.2">
      <c r="A417">
        <f>ROW(Source!A187)</f>
        <v>187</v>
      </c>
      <c r="B417">
        <v>16630606</v>
      </c>
      <c r="C417">
        <v>16632065</v>
      </c>
      <c r="D417">
        <v>15164559</v>
      </c>
      <c r="E417">
        <v>17</v>
      </c>
      <c r="F417">
        <v>1</v>
      </c>
      <c r="G417">
        <v>1</v>
      </c>
      <c r="H417">
        <v>3</v>
      </c>
      <c r="I417" t="s">
        <v>1431</v>
      </c>
      <c r="J417" t="s">
        <v>6</v>
      </c>
      <c r="K417" t="s">
        <v>1432</v>
      </c>
      <c r="L417">
        <v>1374</v>
      </c>
      <c r="N417">
        <v>1013</v>
      </c>
      <c r="O417" t="s">
        <v>1433</v>
      </c>
      <c r="P417" t="s">
        <v>1433</v>
      </c>
      <c r="Q417">
        <v>1</v>
      </c>
      <c r="W417">
        <v>0</v>
      </c>
      <c r="X417">
        <v>-1731369543</v>
      </c>
      <c r="Y417">
        <v>0.1</v>
      </c>
      <c r="AA417">
        <v>1</v>
      </c>
      <c r="AB417">
        <v>0</v>
      </c>
      <c r="AC417">
        <v>0</v>
      </c>
      <c r="AD417">
        <v>0</v>
      </c>
      <c r="AE417">
        <v>1</v>
      </c>
      <c r="AF417">
        <v>0</v>
      </c>
      <c r="AG417">
        <v>0</v>
      </c>
      <c r="AH417">
        <v>0</v>
      </c>
      <c r="AI417">
        <v>1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6</v>
      </c>
      <c r="AT417">
        <v>0.1</v>
      </c>
      <c r="AU417" t="s">
        <v>6</v>
      </c>
      <c r="AV417">
        <v>0</v>
      </c>
      <c r="AW417">
        <v>2</v>
      </c>
      <c r="AX417">
        <v>16632076</v>
      </c>
      <c r="AY417">
        <v>1</v>
      </c>
      <c r="AZ417">
        <v>0</v>
      </c>
      <c r="BA417">
        <v>412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Y417*Source!I187</f>
        <v>2.9000000000000004</v>
      </c>
      <c r="CY417">
        <f>AA417</f>
        <v>1</v>
      </c>
      <c r="CZ417">
        <f>AE417</f>
        <v>1</v>
      </c>
      <c r="DA417">
        <f>AI417</f>
        <v>1</v>
      </c>
      <c r="DB417">
        <f t="shared" si="57"/>
        <v>0.1</v>
      </c>
      <c r="DC417">
        <f t="shared" si="58"/>
        <v>0</v>
      </c>
    </row>
    <row r="418" spans="1:107" x14ac:dyDescent="0.2">
      <c r="A418">
        <f>ROW(Source!A189)</f>
        <v>189</v>
      </c>
      <c r="B418">
        <v>16630606</v>
      </c>
      <c r="C418">
        <v>16632078</v>
      </c>
      <c r="D418">
        <v>15430397</v>
      </c>
      <c r="E418">
        <v>1</v>
      </c>
      <c r="F418">
        <v>1</v>
      </c>
      <c r="G418">
        <v>1</v>
      </c>
      <c r="H418">
        <v>1</v>
      </c>
      <c r="I418" t="s">
        <v>1356</v>
      </c>
      <c r="J418" t="s">
        <v>6</v>
      </c>
      <c r="K418" t="s">
        <v>1357</v>
      </c>
      <c r="L418">
        <v>1191</v>
      </c>
      <c r="N418">
        <v>1013</v>
      </c>
      <c r="O418" t="s">
        <v>1148</v>
      </c>
      <c r="P418" t="s">
        <v>1148</v>
      </c>
      <c r="Q418">
        <v>1</v>
      </c>
      <c r="W418">
        <v>0</v>
      </c>
      <c r="X418">
        <v>-1081351934</v>
      </c>
      <c r="Y418">
        <v>3.76</v>
      </c>
      <c r="AA418">
        <v>0</v>
      </c>
      <c r="AB418">
        <v>0</v>
      </c>
      <c r="AC418">
        <v>0</v>
      </c>
      <c r="AD418">
        <v>67.02</v>
      </c>
      <c r="AE418">
        <v>0</v>
      </c>
      <c r="AF418">
        <v>0</v>
      </c>
      <c r="AG418">
        <v>0</v>
      </c>
      <c r="AH418">
        <v>9.4</v>
      </c>
      <c r="AI418">
        <v>1</v>
      </c>
      <c r="AJ418">
        <v>1</v>
      </c>
      <c r="AK418">
        <v>1</v>
      </c>
      <c r="AL418">
        <v>7.13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6</v>
      </c>
      <c r="AT418">
        <v>3.76</v>
      </c>
      <c r="AU418" t="s">
        <v>6</v>
      </c>
      <c r="AV418">
        <v>1</v>
      </c>
      <c r="AW418">
        <v>2</v>
      </c>
      <c r="AX418">
        <v>16632090</v>
      </c>
      <c r="AY418">
        <v>1</v>
      </c>
      <c r="AZ418">
        <v>0</v>
      </c>
      <c r="BA418">
        <v>413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Y418*Source!I189</f>
        <v>10.264799999999999</v>
      </c>
      <c r="CY418">
        <f>AD418</f>
        <v>67.02</v>
      </c>
      <c r="CZ418">
        <f>AH418</f>
        <v>9.4</v>
      </c>
      <c r="DA418">
        <f>AL418</f>
        <v>7.13</v>
      </c>
      <c r="DB418">
        <f t="shared" si="57"/>
        <v>35.340000000000003</v>
      </c>
      <c r="DC418">
        <f t="shared" si="58"/>
        <v>0</v>
      </c>
    </row>
    <row r="419" spans="1:107" x14ac:dyDescent="0.2">
      <c r="A419">
        <f>ROW(Source!A189)</f>
        <v>189</v>
      </c>
      <c r="B419">
        <v>16630606</v>
      </c>
      <c r="C419">
        <v>16632078</v>
      </c>
      <c r="D419">
        <v>15430395</v>
      </c>
      <c r="E419">
        <v>1</v>
      </c>
      <c r="F419">
        <v>1</v>
      </c>
      <c r="G419">
        <v>1</v>
      </c>
      <c r="H419">
        <v>1</v>
      </c>
      <c r="I419" t="s">
        <v>1149</v>
      </c>
      <c r="J419" t="s">
        <v>6</v>
      </c>
      <c r="K419" t="s">
        <v>1150</v>
      </c>
      <c r="L419">
        <v>1191</v>
      </c>
      <c r="N419">
        <v>1013</v>
      </c>
      <c r="O419" t="s">
        <v>1148</v>
      </c>
      <c r="P419" t="s">
        <v>1148</v>
      </c>
      <c r="Q419">
        <v>1</v>
      </c>
      <c r="W419">
        <v>0</v>
      </c>
      <c r="X419">
        <v>-1417349443</v>
      </c>
      <c r="Y419">
        <v>0.02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1</v>
      </c>
      <c r="AJ419">
        <v>1</v>
      </c>
      <c r="AK419">
        <v>7.13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6</v>
      </c>
      <c r="AT419">
        <v>0.02</v>
      </c>
      <c r="AU419" t="s">
        <v>6</v>
      </c>
      <c r="AV419">
        <v>2</v>
      </c>
      <c r="AW419">
        <v>2</v>
      </c>
      <c r="AX419">
        <v>16632091</v>
      </c>
      <c r="AY419">
        <v>1</v>
      </c>
      <c r="AZ419">
        <v>0</v>
      </c>
      <c r="BA419">
        <v>414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Y419*Source!I189</f>
        <v>5.4600000000000003E-2</v>
      </c>
      <c r="CY419">
        <f>AD419</f>
        <v>0</v>
      </c>
      <c r="CZ419">
        <f>AH419</f>
        <v>0</v>
      </c>
      <c r="DA419">
        <f>AL419</f>
        <v>1</v>
      </c>
      <c r="DB419">
        <f t="shared" si="57"/>
        <v>0</v>
      </c>
      <c r="DC419">
        <f t="shared" si="58"/>
        <v>0</v>
      </c>
    </row>
    <row r="420" spans="1:107" x14ac:dyDescent="0.2">
      <c r="A420">
        <f>ROW(Source!A189)</f>
        <v>189</v>
      </c>
      <c r="B420">
        <v>16630606</v>
      </c>
      <c r="C420">
        <v>16632078</v>
      </c>
      <c r="D420">
        <v>15247680</v>
      </c>
      <c r="E420">
        <v>1</v>
      </c>
      <c r="F420">
        <v>1</v>
      </c>
      <c r="G420">
        <v>1</v>
      </c>
      <c r="H420">
        <v>2</v>
      </c>
      <c r="I420" t="s">
        <v>1419</v>
      </c>
      <c r="J420" t="s">
        <v>1420</v>
      </c>
      <c r="K420" t="s">
        <v>1421</v>
      </c>
      <c r="L420">
        <v>1368</v>
      </c>
      <c r="N420">
        <v>1011</v>
      </c>
      <c r="O420" t="s">
        <v>1154</v>
      </c>
      <c r="P420" t="s">
        <v>1154</v>
      </c>
      <c r="Q420">
        <v>1</v>
      </c>
      <c r="W420">
        <v>0</v>
      </c>
      <c r="X420">
        <v>-1718674368</v>
      </c>
      <c r="Y420">
        <v>0.01</v>
      </c>
      <c r="AA420">
        <v>0</v>
      </c>
      <c r="AB420">
        <v>798.49</v>
      </c>
      <c r="AC420">
        <v>13.5</v>
      </c>
      <c r="AD420">
        <v>0</v>
      </c>
      <c r="AE420">
        <v>0</v>
      </c>
      <c r="AF420">
        <v>111.99</v>
      </c>
      <c r="AG420">
        <v>13.5</v>
      </c>
      <c r="AH420">
        <v>0</v>
      </c>
      <c r="AI420">
        <v>1</v>
      </c>
      <c r="AJ420">
        <v>7.13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6</v>
      </c>
      <c r="AT420">
        <v>0.01</v>
      </c>
      <c r="AU420" t="s">
        <v>6</v>
      </c>
      <c r="AV420">
        <v>0</v>
      </c>
      <c r="AW420">
        <v>2</v>
      </c>
      <c r="AX420">
        <v>16632092</v>
      </c>
      <c r="AY420">
        <v>1</v>
      </c>
      <c r="AZ420">
        <v>0</v>
      </c>
      <c r="BA420">
        <v>415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Y420*Source!I189</f>
        <v>2.7300000000000001E-2</v>
      </c>
      <c r="CY420">
        <f>AB420</f>
        <v>798.49</v>
      </c>
      <c r="CZ420">
        <f>AF420</f>
        <v>111.99</v>
      </c>
      <c r="DA420">
        <f>AJ420</f>
        <v>7.13</v>
      </c>
      <c r="DB420">
        <f t="shared" si="57"/>
        <v>1.1200000000000001</v>
      </c>
      <c r="DC420">
        <f t="shared" si="58"/>
        <v>0.14000000000000001</v>
      </c>
    </row>
    <row r="421" spans="1:107" x14ac:dyDescent="0.2">
      <c r="A421">
        <f>ROW(Source!A189)</f>
        <v>189</v>
      </c>
      <c r="B421">
        <v>16630606</v>
      </c>
      <c r="C421">
        <v>16632078</v>
      </c>
      <c r="D421">
        <v>15249073</v>
      </c>
      <c r="E421">
        <v>1</v>
      </c>
      <c r="F421">
        <v>1</v>
      </c>
      <c r="G421">
        <v>1</v>
      </c>
      <c r="H421">
        <v>2</v>
      </c>
      <c r="I421" t="s">
        <v>1157</v>
      </c>
      <c r="J421" t="s">
        <v>1158</v>
      </c>
      <c r="K421" t="s">
        <v>1159</v>
      </c>
      <c r="L421">
        <v>1368</v>
      </c>
      <c r="N421">
        <v>1011</v>
      </c>
      <c r="O421" t="s">
        <v>1154</v>
      </c>
      <c r="P421" t="s">
        <v>1154</v>
      </c>
      <c r="Q421">
        <v>1</v>
      </c>
      <c r="W421">
        <v>0</v>
      </c>
      <c r="X421">
        <v>1372534845</v>
      </c>
      <c r="Y421">
        <v>0.01</v>
      </c>
      <c r="AA421">
        <v>0</v>
      </c>
      <c r="AB421">
        <v>468.51</v>
      </c>
      <c r="AC421">
        <v>11.6</v>
      </c>
      <c r="AD421">
        <v>0</v>
      </c>
      <c r="AE421">
        <v>0</v>
      </c>
      <c r="AF421">
        <v>65.709999999999994</v>
      </c>
      <c r="AG421">
        <v>11.6</v>
      </c>
      <c r="AH421">
        <v>0</v>
      </c>
      <c r="AI421">
        <v>1</v>
      </c>
      <c r="AJ421">
        <v>7.13</v>
      </c>
      <c r="AK421">
        <v>1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6</v>
      </c>
      <c r="AT421">
        <v>0.01</v>
      </c>
      <c r="AU421" t="s">
        <v>6</v>
      </c>
      <c r="AV421">
        <v>0</v>
      </c>
      <c r="AW421">
        <v>2</v>
      </c>
      <c r="AX421">
        <v>16632093</v>
      </c>
      <c r="AY421">
        <v>1</v>
      </c>
      <c r="AZ421">
        <v>0</v>
      </c>
      <c r="BA421">
        <v>416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Y421*Source!I189</f>
        <v>2.7300000000000001E-2</v>
      </c>
      <c r="CY421">
        <f>AB421</f>
        <v>468.51</v>
      </c>
      <c r="CZ421">
        <f>AF421</f>
        <v>65.709999999999994</v>
      </c>
      <c r="DA421">
        <f>AJ421</f>
        <v>7.13</v>
      </c>
      <c r="DB421">
        <f t="shared" si="57"/>
        <v>0.66</v>
      </c>
      <c r="DC421">
        <f t="shared" si="58"/>
        <v>0.12</v>
      </c>
    </row>
    <row r="422" spans="1:107" x14ac:dyDescent="0.2">
      <c r="A422">
        <f>ROW(Source!A189)</f>
        <v>189</v>
      </c>
      <c r="B422">
        <v>16630606</v>
      </c>
      <c r="C422">
        <v>16632078</v>
      </c>
      <c r="D422">
        <v>15167588</v>
      </c>
      <c r="E422">
        <v>1</v>
      </c>
      <c r="F422">
        <v>1</v>
      </c>
      <c r="G422">
        <v>1</v>
      </c>
      <c r="H422">
        <v>3</v>
      </c>
      <c r="I422" t="s">
        <v>1422</v>
      </c>
      <c r="J422" t="s">
        <v>1423</v>
      </c>
      <c r="K422" t="s">
        <v>1424</v>
      </c>
      <c r="L422">
        <v>1346</v>
      </c>
      <c r="N422">
        <v>1009</v>
      </c>
      <c r="O422" t="s">
        <v>102</v>
      </c>
      <c r="P422" t="s">
        <v>102</v>
      </c>
      <c r="Q422">
        <v>1</v>
      </c>
      <c r="W422">
        <v>0</v>
      </c>
      <c r="X422">
        <v>-1088866022</v>
      </c>
      <c r="Y422">
        <v>0.16</v>
      </c>
      <c r="AA422">
        <v>216.75</v>
      </c>
      <c r="AB422">
        <v>0</v>
      </c>
      <c r="AC422">
        <v>0</v>
      </c>
      <c r="AD422">
        <v>0</v>
      </c>
      <c r="AE422">
        <v>30.4</v>
      </c>
      <c r="AF422">
        <v>0</v>
      </c>
      <c r="AG422">
        <v>0</v>
      </c>
      <c r="AH422">
        <v>0</v>
      </c>
      <c r="AI422">
        <v>7.13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6</v>
      </c>
      <c r="AT422">
        <v>0.16</v>
      </c>
      <c r="AU422" t="s">
        <v>6</v>
      </c>
      <c r="AV422">
        <v>0</v>
      </c>
      <c r="AW422">
        <v>2</v>
      </c>
      <c r="AX422">
        <v>16632094</v>
      </c>
      <c r="AY422">
        <v>1</v>
      </c>
      <c r="AZ422">
        <v>0</v>
      </c>
      <c r="BA422">
        <v>417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Y422*Source!I189</f>
        <v>0.43680000000000002</v>
      </c>
      <c r="CY422">
        <f t="shared" ref="CY422:CY428" si="62">AA422</f>
        <v>216.75</v>
      </c>
      <c r="CZ422">
        <f t="shared" ref="CZ422:CZ428" si="63">AE422</f>
        <v>30.4</v>
      </c>
      <c r="DA422">
        <f t="shared" ref="DA422:DA428" si="64">AI422</f>
        <v>7.13</v>
      </c>
      <c r="DB422">
        <f t="shared" si="57"/>
        <v>4.8600000000000003</v>
      </c>
      <c r="DC422">
        <f t="shared" si="58"/>
        <v>0</v>
      </c>
    </row>
    <row r="423" spans="1:107" x14ac:dyDescent="0.2">
      <c r="A423">
        <f>ROW(Source!A189)</f>
        <v>189</v>
      </c>
      <c r="B423">
        <v>16630606</v>
      </c>
      <c r="C423">
        <v>16632078</v>
      </c>
      <c r="D423">
        <v>15167600</v>
      </c>
      <c r="E423">
        <v>1</v>
      </c>
      <c r="F423">
        <v>1</v>
      </c>
      <c r="G423">
        <v>1</v>
      </c>
      <c r="H423">
        <v>3</v>
      </c>
      <c r="I423" t="s">
        <v>1507</v>
      </c>
      <c r="J423" t="s">
        <v>1508</v>
      </c>
      <c r="K423" t="s">
        <v>1509</v>
      </c>
      <c r="L423">
        <v>1308</v>
      </c>
      <c r="N423">
        <v>1003</v>
      </c>
      <c r="O423" t="s">
        <v>57</v>
      </c>
      <c r="P423" t="s">
        <v>57</v>
      </c>
      <c r="Q423">
        <v>100</v>
      </c>
      <c r="W423">
        <v>0</v>
      </c>
      <c r="X423">
        <v>568244124</v>
      </c>
      <c r="Y423">
        <v>5.5E-2</v>
      </c>
      <c r="AA423">
        <v>855.6</v>
      </c>
      <c r="AB423">
        <v>0</v>
      </c>
      <c r="AC423">
        <v>0</v>
      </c>
      <c r="AD423">
        <v>0</v>
      </c>
      <c r="AE423">
        <v>120</v>
      </c>
      <c r="AF423">
        <v>0</v>
      </c>
      <c r="AG423">
        <v>0</v>
      </c>
      <c r="AH423">
        <v>0</v>
      </c>
      <c r="AI423">
        <v>7.13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6</v>
      </c>
      <c r="AT423">
        <v>5.5E-2</v>
      </c>
      <c r="AU423" t="s">
        <v>6</v>
      </c>
      <c r="AV423">
        <v>0</v>
      </c>
      <c r="AW423">
        <v>2</v>
      </c>
      <c r="AX423">
        <v>16632095</v>
      </c>
      <c r="AY423">
        <v>1</v>
      </c>
      <c r="AZ423">
        <v>0</v>
      </c>
      <c r="BA423">
        <v>418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Y423*Source!I189</f>
        <v>0.15015000000000001</v>
      </c>
      <c r="CY423">
        <f t="shared" si="62"/>
        <v>855.6</v>
      </c>
      <c r="CZ423">
        <f t="shared" si="63"/>
        <v>120</v>
      </c>
      <c r="DA423">
        <f t="shared" si="64"/>
        <v>7.13</v>
      </c>
      <c r="DB423">
        <f t="shared" si="57"/>
        <v>6.6</v>
      </c>
      <c r="DC423">
        <f t="shared" si="58"/>
        <v>0</v>
      </c>
    </row>
    <row r="424" spans="1:107" x14ac:dyDescent="0.2">
      <c r="A424">
        <f>ROW(Source!A189)</f>
        <v>189</v>
      </c>
      <c r="B424">
        <v>16630606</v>
      </c>
      <c r="C424">
        <v>16632078</v>
      </c>
      <c r="D424">
        <v>15203834</v>
      </c>
      <c r="E424">
        <v>1</v>
      </c>
      <c r="F424">
        <v>1</v>
      </c>
      <c r="G424">
        <v>1</v>
      </c>
      <c r="H424">
        <v>3</v>
      </c>
      <c r="I424" t="s">
        <v>1452</v>
      </c>
      <c r="J424" t="s">
        <v>1453</v>
      </c>
      <c r="K424" t="s">
        <v>1454</v>
      </c>
      <c r="L424">
        <v>1346</v>
      </c>
      <c r="N424">
        <v>1009</v>
      </c>
      <c r="O424" t="s">
        <v>102</v>
      </c>
      <c r="P424" t="s">
        <v>102</v>
      </c>
      <c r="Q424">
        <v>1</v>
      </c>
      <c r="W424">
        <v>0</v>
      </c>
      <c r="X424">
        <v>210558753</v>
      </c>
      <c r="Y424">
        <v>0.05</v>
      </c>
      <c r="AA424">
        <v>203.92</v>
      </c>
      <c r="AB424">
        <v>0</v>
      </c>
      <c r="AC424">
        <v>0</v>
      </c>
      <c r="AD424">
        <v>0</v>
      </c>
      <c r="AE424">
        <v>28.6</v>
      </c>
      <c r="AF424">
        <v>0</v>
      </c>
      <c r="AG424">
        <v>0</v>
      </c>
      <c r="AH424">
        <v>0</v>
      </c>
      <c r="AI424">
        <v>7.13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6</v>
      </c>
      <c r="AT424">
        <v>0.05</v>
      </c>
      <c r="AU424" t="s">
        <v>6</v>
      </c>
      <c r="AV424">
        <v>0</v>
      </c>
      <c r="AW424">
        <v>2</v>
      </c>
      <c r="AX424">
        <v>16632096</v>
      </c>
      <c r="AY424">
        <v>1</v>
      </c>
      <c r="AZ424">
        <v>0</v>
      </c>
      <c r="BA424">
        <v>419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Y424*Source!I189</f>
        <v>0.13650000000000001</v>
      </c>
      <c r="CY424">
        <f t="shared" si="62"/>
        <v>203.92</v>
      </c>
      <c r="CZ424">
        <f t="shared" si="63"/>
        <v>28.6</v>
      </c>
      <c r="DA424">
        <f t="shared" si="64"/>
        <v>7.13</v>
      </c>
      <c r="DB424">
        <f t="shared" si="57"/>
        <v>1.43</v>
      </c>
      <c r="DC424">
        <f t="shared" si="58"/>
        <v>0</v>
      </c>
    </row>
    <row r="425" spans="1:107" x14ac:dyDescent="0.2">
      <c r="A425">
        <f>ROW(Source!A189)</f>
        <v>189</v>
      </c>
      <c r="B425">
        <v>16630606</v>
      </c>
      <c r="C425">
        <v>16632078</v>
      </c>
      <c r="D425">
        <v>15223029</v>
      </c>
      <c r="E425">
        <v>1</v>
      </c>
      <c r="F425">
        <v>1</v>
      </c>
      <c r="G425">
        <v>1</v>
      </c>
      <c r="H425">
        <v>3</v>
      </c>
      <c r="I425" t="s">
        <v>623</v>
      </c>
      <c r="J425" t="s">
        <v>626</v>
      </c>
      <c r="K425" t="s">
        <v>624</v>
      </c>
      <c r="L425">
        <v>1477</v>
      </c>
      <c r="N425">
        <v>1013</v>
      </c>
      <c r="O425" t="s">
        <v>625</v>
      </c>
      <c r="P425" t="s">
        <v>627</v>
      </c>
      <c r="Q425">
        <v>1</v>
      </c>
      <c r="W425">
        <v>0</v>
      </c>
      <c r="X425">
        <v>559331636</v>
      </c>
      <c r="Y425">
        <v>8.4614999999999996E-2</v>
      </c>
      <c r="AA425">
        <v>49342.52</v>
      </c>
      <c r="AB425">
        <v>0</v>
      </c>
      <c r="AC425">
        <v>0</v>
      </c>
      <c r="AD425">
        <v>0</v>
      </c>
      <c r="AE425">
        <v>6920.41</v>
      </c>
      <c r="AF425">
        <v>0</v>
      </c>
      <c r="AG425">
        <v>0</v>
      </c>
      <c r="AH425">
        <v>0</v>
      </c>
      <c r="AI425">
        <v>7.13</v>
      </c>
      <c r="AJ425">
        <v>1</v>
      </c>
      <c r="AK425">
        <v>1</v>
      </c>
      <c r="AL425">
        <v>1</v>
      </c>
      <c r="AN425">
        <v>0</v>
      </c>
      <c r="AO425">
        <v>0</v>
      </c>
      <c r="AP425">
        <v>0</v>
      </c>
      <c r="AQ425">
        <v>0</v>
      </c>
      <c r="AR425">
        <v>0</v>
      </c>
      <c r="AS425" t="s">
        <v>6</v>
      </c>
      <c r="AT425">
        <v>8.4614999999999996E-2</v>
      </c>
      <c r="AU425" t="s">
        <v>6</v>
      </c>
      <c r="AV425">
        <v>0</v>
      </c>
      <c r="AW425">
        <v>1</v>
      </c>
      <c r="AX425">
        <v>-1</v>
      </c>
      <c r="AY425">
        <v>0</v>
      </c>
      <c r="AZ425">
        <v>0</v>
      </c>
      <c r="BA425" t="s">
        <v>6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Y425*Source!I189</f>
        <v>0.23099894999999998</v>
      </c>
      <c r="CY425">
        <f t="shared" si="62"/>
        <v>49342.52</v>
      </c>
      <c r="CZ425">
        <f t="shared" si="63"/>
        <v>6920.41</v>
      </c>
      <c r="DA425">
        <f t="shared" si="64"/>
        <v>7.13</v>
      </c>
      <c r="DB425">
        <f t="shared" si="57"/>
        <v>585.57000000000005</v>
      </c>
      <c r="DC425">
        <f t="shared" si="58"/>
        <v>0</v>
      </c>
    </row>
    <row r="426" spans="1:107" x14ac:dyDescent="0.2">
      <c r="A426">
        <f>ROW(Source!A189)</f>
        <v>189</v>
      </c>
      <c r="B426">
        <v>16630606</v>
      </c>
      <c r="C426">
        <v>16632078</v>
      </c>
      <c r="D426">
        <v>15223031</v>
      </c>
      <c r="E426">
        <v>1</v>
      </c>
      <c r="F426">
        <v>1</v>
      </c>
      <c r="G426">
        <v>1</v>
      </c>
      <c r="H426">
        <v>3</v>
      </c>
      <c r="I426" t="s">
        <v>629</v>
      </c>
      <c r="J426" t="s">
        <v>631</v>
      </c>
      <c r="K426" t="s">
        <v>630</v>
      </c>
      <c r="L426">
        <v>1477</v>
      </c>
      <c r="N426">
        <v>1013</v>
      </c>
      <c r="O426" t="s">
        <v>625</v>
      </c>
      <c r="P426" t="s">
        <v>627</v>
      </c>
      <c r="Q426">
        <v>1</v>
      </c>
      <c r="W426">
        <v>0</v>
      </c>
      <c r="X426">
        <v>1133142782</v>
      </c>
      <c r="Y426">
        <v>7.326E-3</v>
      </c>
      <c r="AA426">
        <v>112139.07</v>
      </c>
      <c r="AB426">
        <v>0</v>
      </c>
      <c r="AC426">
        <v>0</v>
      </c>
      <c r="AD426">
        <v>0</v>
      </c>
      <c r="AE426">
        <v>15727.78</v>
      </c>
      <c r="AF426">
        <v>0</v>
      </c>
      <c r="AG426">
        <v>0</v>
      </c>
      <c r="AH426">
        <v>0</v>
      </c>
      <c r="AI426">
        <v>7.13</v>
      </c>
      <c r="AJ426">
        <v>1</v>
      </c>
      <c r="AK426">
        <v>1</v>
      </c>
      <c r="AL426">
        <v>1</v>
      </c>
      <c r="AN426">
        <v>0</v>
      </c>
      <c r="AO426">
        <v>0</v>
      </c>
      <c r="AP426">
        <v>0</v>
      </c>
      <c r="AQ426">
        <v>0</v>
      </c>
      <c r="AR426">
        <v>0</v>
      </c>
      <c r="AS426" t="s">
        <v>6</v>
      </c>
      <c r="AT426">
        <v>7.326E-3</v>
      </c>
      <c r="AU426" t="s">
        <v>6</v>
      </c>
      <c r="AV426">
        <v>0</v>
      </c>
      <c r="AW426">
        <v>1</v>
      </c>
      <c r="AX426">
        <v>-1</v>
      </c>
      <c r="AY426">
        <v>0</v>
      </c>
      <c r="AZ426">
        <v>0</v>
      </c>
      <c r="BA426" t="s">
        <v>6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Y426*Source!I189</f>
        <v>1.9999980000000001E-2</v>
      </c>
      <c r="CY426">
        <f t="shared" si="62"/>
        <v>112139.07</v>
      </c>
      <c r="CZ426">
        <f t="shared" si="63"/>
        <v>15727.78</v>
      </c>
      <c r="DA426">
        <f t="shared" si="64"/>
        <v>7.13</v>
      </c>
      <c r="DB426">
        <f t="shared" si="57"/>
        <v>115.22</v>
      </c>
      <c r="DC426">
        <f t="shared" si="58"/>
        <v>0</v>
      </c>
    </row>
    <row r="427" spans="1:107" x14ac:dyDescent="0.2">
      <c r="A427">
        <f>ROW(Source!A189)</f>
        <v>189</v>
      </c>
      <c r="B427">
        <v>16630606</v>
      </c>
      <c r="C427">
        <v>16632078</v>
      </c>
      <c r="D427">
        <v>15223032</v>
      </c>
      <c r="E427">
        <v>1</v>
      </c>
      <c r="F427">
        <v>1</v>
      </c>
      <c r="G427">
        <v>1</v>
      </c>
      <c r="H427">
        <v>3</v>
      </c>
      <c r="I427" t="s">
        <v>633</v>
      </c>
      <c r="J427" t="s">
        <v>635</v>
      </c>
      <c r="K427" t="s">
        <v>634</v>
      </c>
      <c r="L427">
        <v>1477</v>
      </c>
      <c r="N427">
        <v>1013</v>
      </c>
      <c r="O427" t="s">
        <v>625</v>
      </c>
      <c r="P427" t="s">
        <v>627</v>
      </c>
      <c r="Q427">
        <v>1</v>
      </c>
      <c r="W427">
        <v>0</v>
      </c>
      <c r="X427">
        <v>-2023930569</v>
      </c>
      <c r="Y427">
        <v>8.0590000000000002E-3</v>
      </c>
      <c r="AA427">
        <v>198521.8</v>
      </c>
      <c r="AB427">
        <v>0</v>
      </c>
      <c r="AC427">
        <v>0</v>
      </c>
      <c r="AD427">
        <v>0</v>
      </c>
      <c r="AE427">
        <v>27843.17</v>
      </c>
      <c r="AF427">
        <v>0</v>
      </c>
      <c r="AG427">
        <v>0</v>
      </c>
      <c r="AH427">
        <v>0</v>
      </c>
      <c r="AI427">
        <v>7.13</v>
      </c>
      <c r="AJ427">
        <v>1</v>
      </c>
      <c r="AK427">
        <v>1</v>
      </c>
      <c r="AL427">
        <v>1</v>
      </c>
      <c r="AN427">
        <v>0</v>
      </c>
      <c r="AO427">
        <v>0</v>
      </c>
      <c r="AP427">
        <v>0</v>
      </c>
      <c r="AQ427">
        <v>0</v>
      </c>
      <c r="AR427">
        <v>0</v>
      </c>
      <c r="AS427" t="s">
        <v>6</v>
      </c>
      <c r="AT427">
        <v>8.0590000000000002E-3</v>
      </c>
      <c r="AU427" t="s">
        <v>6</v>
      </c>
      <c r="AV427">
        <v>0</v>
      </c>
      <c r="AW427">
        <v>1</v>
      </c>
      <c r="AX427">
        <v>-1</v>
      </c>
      <c r="AY427">
        <v>0</v>
      </c>
      <c r="AZ427">
        <v>0</v>
      </c>
      <c r="BA427" t="s">
        <v>6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Y427*Source!I189</f>
        <v>2.2001070000000001E-2</v>
      </c>
      <c r="CY427">
        <f t="shared" si="62"/>
        <v>198521.8</v>
      </c>
      <c r="CZ427">
        <f t="shared" si="63"/>
        <v>27843.17</v>
      </c>
      <c r="DA427">
        <f t="shared" si="64"/>
        <v>7.13</v>
      </c>
      <c r="DB427">
        <f t="shared" si="57"/>
        <v>224.39</v>
      </c>
      <c r="DC427">
        <f t="shared" si="58"/>
        <v>0</v>
      </c>
    </row>
    <row r="428" spans="1:107" x14ac:dyDescent="0.2">
      <c r="A428">
        <f>ROW(Source!A189)</f>
        <v>189</v>
      </c>
      <c r="B428">
        <v>16630606</v>
      </c>
      <c r="C428">
        <v>16632078</v>
      </c>
      <c r="D428">
        <v>15164559</v>
      </c>
      <c r="E428">
        <v>17</v>
      </c>
      <c r="F428">
        <v>1</v>
      </c>
      <c r="G428">
        <v>1</v>
      </c>
      <c r="H428">
        <v>3</v>
      </c>
      <c r="I428" t="s">
        <v>1431</v>
      </c>
      <c r="J428" t="s">
        <v>6</v>
      </c>
      <c r="K428" t="s">
        <v>1432</v>
      </c>
      <c r="L428">
        <v>1374</v>
      </c>
      <c r="N428">
        <v>1013</v>
      </c>
      <c r="O428" t="s">
        <v>1433</v>
      </c>
      <c r="P428" t="s">
        <v>1433</v>
      </c>
      <c r="Q428">
        <v>1</v>
      </c>
      <c r="W428">
        <v>0</v>
      </c>
      <c r="X428">
        <v>-1731369543</v>
      </c>
      <c r="Y428">
        <v>0.71</v>
      </c>
      <c r="AA428">
        <v>1</v>
      </c>
      <c r="AB428">
        <v>0</v>
      </c>
      <c r="AC428">
        <v>0</v>
      </c>
      <c r="AD428">
        <v>0</v>
      </c>
      <c r="AE428">
        <v>1</v>
      </c>
      <c r="AF428">
        <v>0</v>
      </c>
      <c r="AG428">
        <v>0</v>
      </c>
      <c r="AH428">
        <v>0</v>
      </c>
      <c r="AI428">
        <v>1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6</v>
      </c>
      <c r="AT428">
        <v>0.71</v>
      </c>
      <c r="AU428" t="s">
        <v>6</v>
      </c>
      <c r="AV428">
        <v>0</v>
      </c>
      <c r="AW428">
        <v>2</v>
      </c>
      <c r="AX428">
        <v>16632097</v>
      </c>
      <c r="AY428">
        <v>1</v>
      </c>
      <c r="AZ428">
        <v>0</v>
      </c>
      <c r="BA428">
        <v>420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Y428*Source!I189</f>
        <v>1.9382999999999999</v>
      </c>
      <c r="CY428">
        <f t="shared" si="62"/>
        <v>1</v>
      </c>
      <c r="CZ428">
        <f t="shared" si="63"/>
        <v>1</v>
      </c>
      <c r="DA428">
        <f t="shared" si="64"/>
        <v>1</v>
      </c>
      <c r="DB428">
        <f t="shared" si="57"/>
        <v>0.71</v>
      </c>
      <c r="DC428">
        <f t="shared" si="58"/>
        <v>0</v>
      </c>
    </row>
    <row r="429" spans="1:107" x14ac:dyDescent="0.2">
      <c r="A429">
        <f>ROW(Source!A193)</f>
        <v>193</v>
      </c>
      <c r="B429">
        <v>16630606</v>
      </c>
      <c r="C429">
        <v>16632101</v>
      </c>
      <c r="D429">
        <v>15430397</v>
      </c>
      <c r="E429">
        <v>1</v>
      </c>
      <c r="F429">
        <v>1</v>
      </c>
      <c r="G429">
        <v>1</v>
      </c>
      <c r="H429">
        <v>1</v>
      </c>
      <c r="I429" t="s">
        <v>1356</v>
      </c>
      <c r="J429" t="s">
        <v>6</v>
      </c>
      <c r="K429" t="s">
        <v>1357</v>
      </c>
      <c r="L429">
        <v>1191</v>
      </c>
      <c r="N429">
        <v>1013</v>
      </c>
      <c r="O429" t="s">
        <v>1148</v>
      </c>
      <c r="P429" t="s">
        <v>1148</v>
      </c>
      <c r="Q429">
        <v>1</v>
      </c>
      <c r="W429">
        <v>0</v>
      </c>
      <c r="X429">
        <v>-1081351934</v>
      </c>
      <c r="Y429">
        <v>2.82</v>
      </c>
      <c r="AA429">
        <v>0</v>
      </c>
      <c r="AB429">
        <v>0</v>
      </c>
      <c r="AC429">
        <v>0</v>
      </c>
      <c r="AD429">
        <v>67.02</v>
      </c>
      <c r="AE429">
        <v>0</v>
      </c>
      <c r="AF429">
        <v>0</v>
      </c>
      <c r="AG429">
        <v>0</v>
      </c>
      <c r="AH429">
        <v>9.4</v>
      </c>
      <c r="AI429">
        <v>1</v>
      </c>
      <c r="AJ429">
        <v>1</v>
      </c>
      <c r="AK429">
        <v>1</v>
      </c>
      <c r="AL429">
        <v>7.13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6</v>
      </c>
      <c r="AT429">
        <v>2.82</v>
      </c>
      <c r="AU429" t="s">
        <v>6</v>
      </c>
      <c r="AV429">
        <v>1</v>
      </c>
      <c r="AW429">
        <v>2</v>
      </c>
      <c r="AX429">
        <v>16632111</v>
      </c>
      <c r="AY429">
        <v>1</v>
      </c>
      <c r="AZ429">
        <v>0</v>
      </c>
      <c r="BA429">
        <v>421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Y429*Source!I193</f>
        <v>4.6952999999999996</v>
      </c>
      <c r="CY429">
        <f>AD429</f>
        <v>67.02</v>
      </c>
      <c r="CZ429">
        <f>AH429</f>
        <v>9.4</v>
      </c>
      <c r="DA429">
        <f>AL429</f>
        <v>7.13</v>
      </c>
      <c r="DB429">
        <f t="shared" si="57"/>
        <v>26.51</v>
      </c>
      <c r="DC429">
        <f t="shared" si="58"/>
        <v>0</v>
      </c>
    </row>
    <row r="430" spans="1:107" x14ac:dyDescent="0.2">
      <c r="A430">
        <f>ROW(Source!A193)</f>
        <v>193</v>
      </c>
      <c r="B430">
        <v>16630606</v>
      </c>
      <c r="C430">
        <v>16632101</v>
      </c>
      <c r="D430">
        <v>15430395</v>
      </c>
      <c r="E430">
        <v>1</v>
      </c>
      <c r="F430">
        <v>1</v>
      </c>
      <c r="G430">
        <v>1</v>
      </c>
      <c r="H430">
        <v>1</v>
      </c>
      <c r="I430" t="s">
        <v>1149</v>
      </c>
      <c r="J430" t="s">
        <v>6</v>
      </c>
      <c r="K430" t="s">
        <v>1150</v>
      </c>
      <c r="L430">
        <v>1191</v>
      </c>
      <c r="N430">
        <v>1013</v>
      </c>
      <c r="O430" t="s">
        <v>1148</v>
      </c>
      <c r="P430" t="s">
        <v>1148</v>
      </c>
      <c r="Q430">
        <v>1</v>
      </c>
      <c r="W430">
        <v>0</v>
      </c>
      <c r="X430">
        <v>-1417349443</v>
      </c>
      <c r="Y430">
        <v>0.02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1</v>
      </c>
      <c r="AJ430">
        <v>1</v>
      </c>
      <c r="AK430">
        <v>7.13</v>
      </c>
      <c r="AL430">
        <v>1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6</v>
      </c>
      <c r="AT430">
        <v>0.02</v>
      </c>
      <c r="AU430" t="s">
        <v>6</v>
      </c>
      <c r="AV430">
        <v>2</v>
      </c>
      <c r="AW430">
        <v>2</v>
      </c>
      <c r="AX430">
        <v>16632112</v>
      </c>
      <c r="AY430">
        <v>1</v>
      </c>
      <c r="AZ430">
        <v>0</v>
      </c>
      <c r="BA430">
        <v>422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Y430*Source!I193</f>
        <v>3.3300000000000003E-2</v>
      </c>
      <c r="CY430">
        <f>AD430</f>
        <v>0</v>
      </c>
      <c r="CZ430">
        <f>AH430</f>
        <v>0</v>
      </c>
      <c r="DA430">
        <f>AL430</f>
        <v>1</v>
      </c>
      <c r="DB430">
        <f t="shared" ref="DB430:DB461" si="65">ROUND(ROUND(AT430*CZ430,2),2)</f>
        <v>0</v>
      </c>
      <c r="DC430">
        <f t="shared" ref="DC430:DC461" si="66">ROUND(ROUND(AT430*AG430,2),2)</f>
        <v>0</v>
      </c>
    </row>
    <row r="431" spans="1:107" x14ac:dyDescent="0.2">
      <c r="A431">
        <f>ROW(Source!A193)</f>
        <v>193</v>
      </c>
      <c r="B431">
        <v>16630606</v>
      </c>
      <c r="C431">
        <v>16632101</v>
      </c>
      <c r="D431">
        <v>15247680</v>
      </c>
      <c r="E431">
        <v>1</v>
      </c>
      <c r="F431">
        <v>1</v>
      </c>
      <c r="G431">
        <v>1</v>
      </c>
      <c r="H431">
        <v>2</v>
      </c>
      <c r="I431" t="s">
        <v>1419</v>
      </c>
      <c r="J431" t="s">
        <v>1420</v>
      </c>
      <c r="K431" t="s">
        <v>1421</v>
      </c>
      <c r="L431">
        <v>1368</v>
      </c>
      <c r="N431">
        <v>1011</v>
      </c>
      <c r="O431" t="s">
        <v>1154</v>
      </c>
      <c r="P431" t="s">
        <v>1154</v>
      </c>
      <c r="Q431">
        <v>1</v>
      </c>
      <c r="W431">
        <v>0</v>
      </c>
      <c r="X431">
        <v>-1718674368</v>
      </c>
      <c r="Y431">
        <v>0.01</v>
      </c>
      <c r="AA431">
        <v>0</v>
      </c>
      <c r="AB431">
        <v>798.49</v>
      </c>
      <c r="AC431">
        <v>13.5</v>
      </c>
      <c r="AD431">
        <v>0</v>
      </c>
      <c r="AE431">
        <v>0</v>
      </c>
      <c r="AF431">
        <v>111.99</v>
      </c>
      <c r="AG431">
        <v>13.5</v>
      </c>
      <c r="AH431">
        <v>0</v>
      </c>
      <c r="AI431">
        <v>1</v>
      </c>
      <c r="AJ431">
        <v>7.13</v>
      </c>
      <c r="AK431">
        <v>1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6</v>
      </c>
      <c r="AT431">
        <v>0.01</v>
      </c>
      <c r="AU431" t="s">
        <v>6</v>
      </c>
      <c r="AV431">
        <v>0</v>
      </c>
      <c r="AW431">
        <v>2</v>
      </c>
      <c r="AX431">
        <v>16632113</v>
      </c>
      <c r="AY431">
        <v>1</v>
      </c>
      <c r="AZ431">
        <v>0</v>
      </c>
      <c r="BA431">
        <v>423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Y431*Source!I193</f>
        <v>1.6650000000000002E-2</v>
      </c>
      <c r="CY431">
        <f>AB431</f>
        <v>798.49</v>
      </c>
      <c r="CZ431">
        <f>AF431</f>
        <v>111.99</v>
      </c>
      <c r="DA431">
        <f>AJ431</f>
        <v>7.13</v>
      </c>
      <c r="DB431">
        <f t="shared" si="65"/>
        <v>1.1200000000000001</v>
      </c>
      <c r="DC431">
        <f t="shared" si="66"/>
        <v>0.14000000000000001</v>
      </c>
    </row>
    <row r="432" spans="1:107" x14ac:dyDescent="0.2">
      <c r="A432">
        <f>ROW(Source!A193)</f>
        <v>193</v>
      </c>
      <c r="B432">
        <v>16630606</v>
      </c>
      <c r="C432">
        <v>16632101</v>
      </c>
      <c r="D432">
        <v>15249073</v>
      </c>
      <c r="E432">
        <v>1</v>
      </c>
      <c r="F432">
        <v>1</v>
      </c>
      <c r="G432">
        <v>1</v>
      </c>
      <c r="H432">
        <v>2</v>
      </c>
      <c r="I432" t="s">
        <v>1157</v>
      </c>
      <c r="J432" t="s">
        <v>1158</v>
      </c>
      <c r="K432" t="s">
        <v>1159</v>
      </c>
      <c r="L432">
        <v>1368</v>
      </c>
      <c r="N432">
        <v>1011</v>
      </c>
      <c r="O432" t="s">
        <v>1154</v>
      </c>
      <c r="P432" t="s">
        <v>1154</v>
      </c>
      <c r="Q432">
        <v>1</v>
      </c>
      <c r="W432">
        <v>0</v>
      </c>
      <c r="X432">
        <v>1372534845</v>
      </c>
      <c r="Y432">
        <v>0.01</v>
      </c>
      <c r="AA432">
        <v>0</v>
      </c>
      <c r="AB432">
        <v>468.51</v>
      </c>
      <c r="AC432">
        <v>11.6</v>
      </c>
      <c r="AD432">
        <v>0</v>
      </c>
      <c r="AE432">
        <v>0</v>
      </c>
      <c r="AF432">
        <v>65.709999999999994</v>
      </c>
      <c r="AG432">
        <v>11.6</v>
      </c>
      <c r="AH432">
        <v>0</v>
      </c>
      <c r="AI432">
        <v>1</v>
      </c>
      <c r="AJ432">
        <v>7.13</v>
      </c>
      <c r="AK432">
        <v>1</v>
      </c>
      <c r="AL432">
        <v>1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6</v>
      </c>
      <c r="AT432">
        <v>0.01</v>
      </c>
      <c r="AU432" t="s">
        <v>6</v>
      </c>
      <c r="AV432">
        <v>0</v>
      </c>
      <c r="AW432">
        <v>2</v>
      </c>
      <c r="AX432">
        <v>16632114</v>
      </c>
      <c r="AY432">
        <v>1</v>
      </c>
      <c r="AZ432">
        <v>0</v>
      </c>
      <c r="BA432">
        <v>424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Y432*Source!I193</f>
        <v>1.6650000000000002E-2</v>
      </c>
      <c r="CY432">
        <f>AB432</f>
        <v>468.51</v>
      </c>
      <c r="CZ432">
        <f>AF432</f>
        <v>65.709999999999994</v>
      </c>
      <c r="DA432">
        <f>AJ432</f>
        <v>7.13</v>
      </c>
      <c r="DB432">
        <f t="shared" si="65"/>
        <v>0.66</v>
      </c>
      <c r="DC432">
        <f t="shared" si="66"/>
        <v>0.12</v>
      </c>
    </row>
    <row r="433" spans="1:107" x14ac:dyDescent="0.2">
      <c r="A433">
        <f>ROW(Source!A193)</f>
        <v>193</v>
      </c>
      <c r="B433">
        <v>16630606</v>
      </c>
      <c r="C433">
        <v>16632101</v>
      </c>
      <c r="D433">
        <v>15167588</v>
      </c>
      <c r="E433">
        <v>1</v>
      </c>
      <c r="F433">
        <v>1</v>
      </c>
      <c r="G433">
        <v>1</v>
      </c>
      <c r="H433">
        <v>3</v>
      </c>
      <c r="I433" t="s">
        <v>1422</v>
      </c>
      <c r="J433" t="s">
        <v>1423</v>
      </c>
      <c r="K433" t="s">
        <v>1424</v>
      </c>
      <c r="L433">
        <v>1346</v>
      </c>
      <c r="N433">
        <v>1009</v>
      </c>
      <c r="O433" t="s">
        <v>102</v>
      </c>
      <c r="P433" t="s">
        <v>102</v>
      </c>
      <c r="Q433">
        <v>1</v>
      </c>
      <c r="W433">
        <v>0</v>
      </c>
      <c r="X433">
        <v>-1088866022</v>
      </c>
      <c r="Y433">
        <v>0.16</v>
      </c>
      <c r="AA433">
        <v>216.75</v>
      </c>
      <c r="AB433">
        <v>0</v>
      </c>
      <c r="AC433">
        <v>0</v>
      </c>
      <c r="AD433">
        <v>0</v>
      </c>
      <c r="AE433">
        <v>30.4</v>
      </c>
      <c r="AF433">
        <v>0</v>
      </c>
      <c r="AG433">
        <v>0</v>
      </c>
      <c r="AH433">
        <v>0</v>
      </c>
      <c r="AI433">
        <v>7.13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0</v>
      </c>
      <c r="AQ433">
        <v>0</v>
      </c>
      <c r="AR433">
        <v>0</v>
      </c>
      <c r="AS433" t="s">
        <v>6</v>
      </c>
      <c r="AT433">
        <v>0.16</v>
      </c>
      <c r="AU433" t="s">
        <v>6</v>
      </c>
      <c r="AV433">
        <v>0</v>
      </c>
      <c r="AW433">
        <v>2</v>
      </c>
      <c r="AX433">
        <v>16632115</v>
      </c>
      <c r="AY433">
        <v>1</v>
      </c>
      <c r="AZ433">
        <v>0</v>
      </c>
      <c r="BA433">
        <v>425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Y433*Source!I193</f>
        <v>0.26640000000000003</v>
      </c>
      <c r="CY433">
        <f>AA433</f>
        <v>216.75</v>
      </c>
      <c r="CZ433">
        <f>AE433</f>
        <v>30.4</v>
      </c>
      <c r="DA433">
        <f>AI433</f>
        <v>7.13</v>
      </c>
      <c r="DB433">
        <f t="shared" si="65"/>
        <v>4.8600000000000003</v>
      </c>
      <c r="DC433">
        <f t="shared" si="66"/>
        <v>0</v>
      </c>
    </row>
    <row r="434" spans="1:107" x14ac:dyDescent="0.2">
      <c r="A434">
        <f>ROW(Source!A193)</f>
        <v>193</v>
      </c>
      <c r="B434">
        <v>16630606</v>
      </c>
      <c r="C434">
        <v>16632101</v>
      </c>
      <c r="D434">
        <v>15167600</v>
      </c>
      <c r="E434">
        <v>1</v>
      </c>
      <c r="F434">
        <v>1</v>
      </c>
      <c r="G434">
        <v>1</v>
      </c>
      <c r="H434">
        <v>3</v>
      </c>
      <c r="I434" t="s">
        <v>1507</v>
      </c>
      <c r="J434" t="s">
        <v>1508</v>
      </c>
      <c r="K434" t="s">
        <v>1509</v>
      </c>
      <c r="L434">
        <v>1308</v>
      </c>
      <c r="N434">
        <v>1003</v>
      </c>
      <c r="O434" t="s">
        <v>57</v>
      </c>
      <c r="P434" t="s">
        <v>57</v>
      </c>
      <c r="Q434">
        <v>100</v>
      </c>
      <c r="W434">
        <v>0</v>
      </c>
      <c r="X434">
        <v>568244124</v>
      </c>
      <c r="Y434">
        <v>0.05</v>
      </c>
      <c r="AA434">
        <v>855.6</v>
      </c>
      <c r="AB434">
        <v>0</v>
      </c>
      <c r="AC434">
        <v>0</v>
      </c>
      <c r="AD434">
        <v>0</v>
      </c>
      <c r="AE434">
        <v>120</v>
      </c>
      <c r="AF434">
        <v>0</v>
      </c>
      <c r="AG434">
        <v>0</v>
      </c>
      <c r="AH434">
        <v>0</v>
      </c>
      <c r="AI434">
        <v>7.13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6</v>
      </c>
      <c r="AT434">
        <v>0.05</v>
      </c>
      <c r="AU434" t="s">
        <v>6</v>
      </c>
      <c r="AV434">
        <v>0</v>
      </c>
      <c r="AW434">
        <v>2</v>
      </c>
      <c r="AX434">
        <v>16632116</v>
      </c>
      <c r="AY434">
        <v>1</v>
      </c>
      <c r="AZ434">
        <v>0</v>
      </c>
      <c r="BA434">
        <v>426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Y434*Source!I193</f>
        <v>8.3250000000000005E-2</v>
      </c>
      <c r="CY434">
        <f>AA434</f>
        <v>855.6</v>
      </c>
      <c r="CZ434">
        <f>AE434</f>
        <v>120</v>
      </c>
      <c r="DA434">
        <f>AI434</f>
        <v>7.13</v>
      </c>
      <c r="DB434">
        <f t="shared" si="65"/>
        <v>6</v>
      </c>
      <c r="DC434">
        <f t="shared" si="66"/>
        <v>0</v>
      </c>
    </row>
    <row r="435" spans="1:107" x14ac:dyDescent="0.2">
      <c r="A435">
        <f>ROW(Source!A193)</f>
        <v>193</v>
      </c>
      <c r="B435">
        <v>16630606</v>
      </c>
      <c r="C435">
        <v>16632101</v>
      </c>
      <c r="D435">
        <v>15203834</v>
      </c>
      <c r="E435">
        <v>1</v>
      </c>
      <c r="F435">
        <v>1</v>
      </c>
      <c r="G435">
        <v>1</v>
      </c>
      <c r="H435">
        <v>3</v>
      </c>
      <c r="I435" t="s">
        <v>1452</v>
      </c>
      <c r="J435" t="s">
        <v>1453</v>
      </c>
      <c r="K435" t="s">
        <v>1454</v>
      </c>
      <c r="L435">
        <v>1346</v>
      </c>
      <c r="N435">
        <v>1009</v>
      </c>
      <c r="O435" t="s">
        <v>102</v>
      </c>
      <c r="P435" t="s">
        <v>102</v>
      </c>
      <c r="Q435">
        <v>1</v>
      </c>
      <c r="W435">
        <v>0</v>
      </c>
      <c r="X435">
        <v>210558753</v>
      </c>
      <c r="Y435">
        <v>0.05</v>
      </c>
      <c r="AA435">
        <v>203.92</v>
      </c>
      <c r="AB435">
        <v>0</v>
      </c>
      <c r="AC435">
        <v>0</v>
      </c>
      <c r="AD435">
        <v>0</v>
      </c>
      <c r="AE435">
        <v>28.6</v>
      </c>
      <c r="AF435">
        <v>0</v>
      </c>
      <c r="AG435">
        <v>0</v>
      </c>
      <c r="AH435">
        <v>0</v>
      </c>
      <c r="AI435">
        <v>7.13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6</v>
      </c>
      <c r="AT435">
        <v>0.05</v>
      </c>
      <c r="AU435" t="s">
        <v>6</v>
      </c>
      <c r="AV435">
        <v>0</v>
      </c>
      <c r="AW435">
        <v>2</v>
      </c>
      <c r="AX435">
        <v>16632117</v>
      </c>
      <c r="AY435">
        <v>1</v>
      </c>
      <c r="AZ435">
        <v>0</v>
      </c>
      <c r="BA435">
        <v>427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Y435*Source!I193</f>
        <v>8.3250000000000005E-2</v>
      </c>
      <c r="CY435">
        <f>AA435</f>
        <v>203.92</v>
      </c>
      <c r="CZ435">
        <f>AE435</f>
        <v>28.6</v>
      </c>
      <c r="DA435">
        <f>AI435</f>
        <v>7.13</v>
      </c>
      <c r="DB435">
        <f t="shared" si="65"/>
        <v>1.43</v>
      </c>
      <c r="DC435">
        <f t="shared" si="66"/>
        <v>0</v>
      </c>
    </row>
    <row r="436" spans="1:107" x14ac:dyDescent="0.2">
      <c r="A436">
        <f>ROW(Source!A193)</f>
        <v>193</v>
      </c>
      <c r="B436">
        <v>16630606</v>
      </c>
      <c r="C436">
        <v>16632101</v>
      </c>
      <c r="D436">
        <v>15223028</v>
      </c>
      <c r="E436">
        <v>1</v>
      </c>
      <c r="F436">
        <v>1</v>
      </c>
      <c r="G436">
        <v>1</v>
      </c>
      <c r="H436">
        <v>3</v>
      </c>
      <c r="I436" t="s">
        <v>641</v>
      </c>
      <c r="J436" t="s">
        <v>643</v>
      </c>
      <c r="K436" t="s">
        <v>642</v>
      </c>
      <c r="L436">
        <v>1477</v>
      </c>
      <c r="N436">
        <v>1013</v>
      </c>
      <c r="O436" t="s">
        <v>625</v>
      </c>
      <c r="P436" t="s">
        <v>627</v>
      </c>
      <c r="Q436">
        <v>1</v>
      </c>
      <c r="W436">
        <v>0</v>
      </c>
      <c r="X436">
        <v>-1479501953</v>
      </c>
      <c r="Y436">
        <v>0.1</v>
      </c>
      <c r="AA436">
        <v>34453.019999999997</v>
      </c>
      <c r="AB436">
        <v>0</v>
      </c>
      <c r="AC436">
        <v>0</v>
      </c>
      <c r="AD436">
        <v>0</v>
      </c>
      <c r="AE436">
        <v>4832.12</v>
      </c>
      <c r="AF436">
        <v>0</v>
      </c>
      <c r="AG436">
        <v>0</v>
      </c>
      <c r="AH436">
        <v>0</v>
      </c>
      <c r="AI436">
        <v>7.13</v>
      </c>
      <c r="AJ436">
        <v>1</v>
      </c>
      <c r="AK436">
        <v>1</v>
      </c>
      <c r="AL436">
        <v>1</v>
      </c>
      <c r="AN436">
        <v>0</v>
      </c>
      <c r="AO436">
        <v>0</v>
      </c>
      <c r="AP436">
        <v>0</v>
      </c>
      <c r="AQ436">
        <v>0</v>
      </c>
      <c r="AR436">
        <v>0</v>
      </c>
      <c r="AS436" t="s">
        <v>6</v>
      </c>
      <c r="AT436">
        <v>0.1</v>
      </c>
      <c r="AU436" t="s">
        <v>6</v>
      </c>
      <c r="AV436">
        <v>0</v>
      </c>
      <c r="AW436">
        <v>1</v>
      </c>
      <c r="AX436">
        <v>-1</v>
      </c>
      <c r="AY436">
        <v>0</v>
      </c>
      <c r="AZ436">
        <v>0</v>
      </c>
      <c r="BA436" t="s">
        <v>6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Y436*Source!I193</f>
        <v>0.16650000000000001</v>
      </c>
      <c r="CY436">
        <f>AA436</f>
        <v>34453.019999999997</v>
      </c>
      <c r="CZ436">
        <f>AE436</f>
        <v>4832.12</v>
      </c>
      <c r="DA436">
        <f>AI436</f>
        <v>7.13</v>
      </c>
      <c r="DB436">
        <f t="shared" si="65"/>
        <v>483.21</v>
      </c>
      <c r="DC436">
        <f t="shared" si="66"/>
        <v>0</v>
      </c>
    </row>
    <row r="437" spans="1:107" x14ac:dyDescent="0.2">
      <c r="A437">
        <f>ROW(Source!A193)</f>
        <v>193</v>
      </c>
      <c r="B437">
        <v>16630606</v>
      </c>
      <c r="C437">
        <v>16632101</v>
      </c>
      <c r="D437">
        <v>15164559</v>
      </c>
      <c r="E437">
        <v>17</v>
      </c>
      <c r="F437">
        <v>1</v>
      </c>
      <c r="G437">
        <v>1</v>
      </c>
      <c r="H437">
        <v>3</v>
      </c>
      <c r="I437" t="s">
        <v>1431</v>
      </c>
      <c r="J437" t="s">
        <v>6</v>
      </c>
      <c r="K437" t="s">
        <v>1432</v>
      </c>
      <c r="L437">
        <v>1374</v>
      </c>
      <c r="N437">
        <v>1013</v>
      </c>
      <c r="O437" t="s">
        <v>1433</v>
      </c>
      <c r="P437" t="s">
        <v>1433</v>
      </c>
      <c r="Q437">
        <v>1</v>
      </c>
      <c r="W437">
        <v>0</v>
      </c>
      <c r="X437">
        <v>-1731369543</v>
      </c>
      <c r="Y437">
        <v>0.53</v>
      </c>
      <c r="AA437">
        <v>1</v>
      </c>
      <c r="AB437">
        <v>0</v>
      </c>
      <c r="AC437">
        <v>0</v>
      </c>
      <c r="AD437">
        <v>0</v>
      </c>
      <c r="AE437">
        <v>1</v>
      </c>
      <c r="AF437">
        <v>0</v>
      </c>
      <c r="AG437">
        <v>0</v>
      </c>
      <c r="AH437">
        <v>0</v>
      </c>
      <c r="AI437">
        <v>1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6</v>
      </c>
      <c r="AT437">
        <v>0.53</v>
      </c>
      <c r="AU437" t="s">
        <v>6</v>
      </c>
      <c r="AV437">
        <v>0</v>
      </c>
      <c r="AW437">
        <v>2</v>
      </c>
      <c r="AX437">
        <v>16632118</v>
      </c>
      <c r="AY437">
        <v>1</v>
      </c>
      <c r="AZ437">
        <v>0</v>
      </c>
      <c r="BA437">
        <v>428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Y437*Source!I193</f>
        <v>0.88245000000000007</v>
      </c>
      <c r="CY437">
        <f>AA437</f>
        <v>1</v>
      </c>
      <c r="CZ437">
        <f>AE437</f>
        <v>1</v>
      </c>
      <c r="DA437">
        <f>AI437</f>
        <v>1</v>
      </c>
      <c r="DB437">
        <f t="shared" si="65"/>
        <v>0.53</v>
      </c>
      <c r="DC437">
        <f t="shared" si="66"/>
        <v>0</v>
      </c>
    </row>
    <row r="438" spans="1:107" x14ac:dyDescent="0.2">
      <c r="A438">
        <f>ROW(Source!A195)</f>
        <v>195</v>
      </c>
      <c r="B438">
        <v>16630606</v>
      </c>
      <c r="C438">
        <v>16632120</v>
      </c>
      <c r="D438">
        <v>15446300</v>
      </c>
      <c r="E438">
        <v>1</v>
      </c>
      <c r="F438">
        <v>1</v>
      </c>
      <c r="G438">
        <v>1</v>
      </c>
      <c r="H438">
        <v>1</v>
      </c>
      <c r="I438" t="s">
        <v>1220</v>
      </c>
      <c r="J438" t="s">
        <v>6</v>
      </c>
      <c r="K438" t="s">
        <v>1221</v>
      </c>
      <c r="L438">
        <v>1191</v>
      </c>
      <c r="N438">
        <v>1013</v>
      </c>
      <c r="O438" t="s">
        <v>1148</v>
      </c>
      <c r="P438" t="s">
        <v>1148</v>
      </c>
      <c r="Q438">
        <v>1</v>
      </c>
      <c r="W438">
        <v>0</v>
      </c>
      <c r="X438">
        <v>912892513</v>
      </c>
      <c r="Y438">
        <v>31.6</v>
      </c>
      <c r="AA438">
        <v>0</v>
      </c>
      <c r="AB438">
        <v>0</v>
      </c>
      <c r="AC438">
        <v>0</v>
      </c>
      <c r="AD438">
        <v>70.73</v>
      </c>
      <c r="AE438">
        <v>0</v>
      </c>
      <c r="AF438">
        <v>0</v>
      </c>
      <c r="AG438">
        <v>0</v>
      </c>
      <c r="AH438">
        <v>9.92</v>
      </c>
      <c r="AI438">
        <v>1</v>
      </c>
      <c r="AJ438">
        <v>1</v>
      </c>
      <c r="AK438">
        <v>1</v>
      </c>
      <c r="AL438">
        <v>7.13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6</v>
      </c>
      <c r="AT438">
        <v>31.6</v>
      </c>
      <c r="AU438" t="s">
        <v>6</v>
      </c>
      <c r="AV438">
        <v>1</v>
      </c>
      <c r="AW438">
        <v>2</v>
      </c>
      <c r="AX438">
        <v>16632131</v>
      </c>
      <c r="AY438">
        <v>1</v>
      </c>
      <c r="AZ438">
        <v>0</v>
      </c>
      <c r="BA438">
        <v>429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Y438*Source!I195</f>
        <v>7.9</v>
      </c>
      <c r="CY438">
        <f>AD438</f>
        <v>70.73</v>
      </c>
      <c r="CZ438">
        <f>AH438</f>
        <v>9.92</v>
      </c>
      <c r="DA438">
        <f>AL438</f>
        <v>7.13</v>
      </c>
      <c r="DB438">
        <f t="shared" si="65"/>
        <v>313.47000000000003</v>
      </c>
      <c r="DC438">
        <f t="shared" si="66"/>
        <v>0</v>
      </c>
    </row>
    <row r="439" spans="1:107" x14ac:dyDescent="0.2">
      <c r="A439">
        <f>ROW(Source!A195)</f>
        <v>195</v>
      </c>
      <c r="B439">
        <v>16630606</v>
      </c>
      <c r="C439">
        <v>16632120</v>
      </c>
      <c r="D439">
        <v>15430395</v>
      </c>
      <c r="E439">
        <v>1</v>
      </c>
      <c r="F439">
        <v>1</v>
      </c>
      <c r="G439">
        <v>1</v>
      </c>
      <c r="H439">
        <v>1</v>
      </c>
      <c r="I439" t="s">
        <v>1149</v>
      </c>
      <c r="J439" t="s">
        <v>6</v>
      </c>
      <c r="K439" t="s">
        <v>1150</v>
      </c>
      <c r="L439">
        <v>1191</v>
      </c>
      <c r="N439">
        <v>1013</v>
      </c>
      <c r="O439" t="s">
        <v>1148</v>
      </c>
      <c r="P439" t="s">
        <v>1148</v>
      </c>
      <c r="Q439">
        <v>1</v>
      </c>
      <c r="W439">
        <v>0</v>
      </c>
      <c r="X439">
        <v>-1417349443</v>
      </c>
      <c r="Y439">
        <v>0.05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1</v>
      </c>
      <c r="AJ439">
        <v>1</v>
      </c>
      <c r="AK439">
        <v>7.13</v>
      </c>
      <c r="AL439">
        <v>1</v>
      </c>
      <c r="AN439">
        <v>0</v>
      </c>
      <c r="AO439">
        <v>1</v>
      </c>
      <c r="AP439">
        <v>0</v>
      </c>
      <c r="AQ439">
        <v>0</v>
      </c>
      <c r="AR439">
        <v>0</v>
      </c>
      <c r="AS439" t="s">
        <v>6</v>
      </c>
      <c r="AT439">
        <v>0.05</v>
      </c>
      <c r="AU439" t="s">
        <v>6</v>
      </c>
      <c r="AV439">
        <v>2</v>
      </c>
      <c r="AW439">
        <v>2</v>
      </c>
      <c r="AX439">
        <v>16632132</v>
      </c>
      <c r="AY439">
        <v>1</v>
      </c>
      <c r="AZ439">
        <v>0</v>
      </c>
      <c r="BA439">
        <v>430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Y439*Source!I195</f>
        <v>1.2500000000000001E-2</v>
      </c>
      <c r="CY439">
        <f>AD439</f>
        <v>0</v>
      </c>
      <c r="CZ439">
        <f>AH439</f>
        <v>0</v>
      </c>
      <c r="DA439">
        <f>AL439</f>
        <v>1</v>
      </c>
      <c r="DB439">
        <f t="shared" si="65"/>
        <v>0</v>
      </c>
      <c r="DC439">
        <f t="shared" si="66"/>
        <v>0</v>
      </c>
    </row>
    <row r="440" spans="1:107" x14ac:dyDescent="0.2">
      <c r="A440">
        <f>ROW(Source!A195)</f>
        <v>195</v>
      </c>
      <c r="B440">
        <v>16630606</v>
      </c>
      <c r="C440">
        <v>16632120</v>
      </c>
      <c r="D440">
        <v>15247680</v>
      </c>
      <c r="E440">
        <v>1</v>
      </c>
      <c r="F440">
        <v>1</v>
      </c>
      <c r="G440">
        <v>1</v>
      </c>
      <c r="H440">
        <v>2</v>
      </c>
      <c r="I440" t="s">
        <v>1419</v>
      </c>
      <c r="J440" t="s">
        <v>1420</v>
      </c>
      <c r="K440" t="s">
        <v>1421</v>
      </c>
      <c r="L440">
        <v>1368</v>
      </c>
      <c r="N440">
        <v>1011</v>
      </c>
      <c r="O440" t="s">
        <v>1154</v>
      </c>
      <c r="P440" t="s">
        <v>1154</v>
      </c>
      <c r="Q440">
        <v>1</v>
      </c>
      <c r="W440">
        <v>0</v>
      </c>
      <c r="X440">
        <v>-1718674368</v>
      </c>
      <c r="Y440">
        <v>0.03</v>
      </c>
      <c r="AA440">
        <v>0</v>
      </c>
      <c r="AB440">
        <v>798.49</v>
      </c>
      <c r="AC440">
        <v>13.5</v>
      </c>
      <c r="AD440">
        <v>0</v>
      </c>
      <c r="AE440">
        <v>0</v>
      </c>
      <c r="AF440">
        <v>111.99</v>
      </c>
      <c r="AG440">
        <v>13.5</v>
      </c>
      <c r="AH440">
        <v>0</v>
      </c>
      <c r="AI440">
        <v>1</v>
      </c>
      <c r="AJ440">
        <v>7.13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6</v>
      </c>
      <c r="AT440">
        <v>0.03</v>
      </c>
      <c r="AU440" t="s">
        <v>6</v>
      </c>
      <c r="AV440">
        <v>0</v>
      </c>
      <c r="AW440">
        <v>2</v>
      </c>
      <c r="AX440">
        <v>16632133</v>
      </c>
      <c r="AY440">
        <v>1</v>
      </c>
      <c r="AZ440">
        <v>0</v>
      </c>
      <c r="BA440">
        <v>431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Y440*Source!I195</f>
        <v>7.4999999999999997E-3</v>
      </c>
      <c r="CY440">
        <f>AB440</f>
        <v>798.49</v>
      </c>
      <c r="CZ440">
        <f>AF440</f>
        <v>111.99</v>
      </c>
      <c r="DA440">
        <f>AJ440</f>
        <v>7.13</v>
      </c>
      <c r="DB440">
        <f t="shared" si="65"/>
        <v>3.36</v>
      </c>
      <c r="DC440">
        <f t="shared" si="66"/>
        <v>0.41</v>
      </c>
    </row>
    <row r="441" spans="1:107" x14ac:dyDescent="0.2">
      <c r="A441">
        <f>ROW(Source!A195)</f>
        <v>195</v>
      </c>
      <c r="B441">
        <v>16630606</v>
      </c>
      <c r="C441">
        <v>16632120</v>
      </c>
      <c r="D441">
        <v>15249073</v>
      </c>
      <c r="E441">
        <v>1</v>
      </c>
      <c r="F441">
        <v>1</v>
      </c>
      <c r="G441">
        <v>1</v>
      </c>
      <c r="H441">
        <v>2</v>
      </c>
      <c r="I441" t="s">
        <v>1157</v>
      </c>
      <c r="J441" t="s">
        <v>1158</v>
      </c>
      <c r="K441" t="s">
        <v>1159</v>
      </c>
      <c r="L441">
        <v>1368</v>
      </c>
      <c r="N441">
        <v>1011</v>
      </c>
      <c r="O441" t="s">
        <v>1154</v>
      </c>
      <c r="P441" t="s">
        <v>1154</v>
      </c>
      <c r="Q441">
        <v>1</v>
      </c>
      <c r="W441">
        <v>0</v>
      </c>
      <c r="X441">
        <v>1372534845</v>
      </c>
      <c r="Y441">
        <v>0.02</v>
      </c>
      <c r="AA441">
        <v>0</v>
      </c>
      <c r="AB441">
        <v>468.51</v>
      </c>
      <c r="AC441">
        <v>11.6</v>
      </c>
      <c r="AD441">
        <v>0</v>
      </c>
      <c r="AE441">
        <v>0</v>
      </c>
      <c r="AF441">
        <v>65.709999999999994</v>
      </c>
      <c r="AG441">
        <v>11.6</v>
      </c>
      <c r="AH441">
        <v>0</v>
      </c>
      <c r="AI441">
        <v>1</v>
      </c>
      <c r="AJ441">
        <v>7.13</v>
      </c>
      <c r="AK441">
        <v>1</v>
      </c>
      <c r="AL441">
        <v>1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6</v>
      </c>
      <c r="AT441">
        <v>0.02</v>
      </c>
      <c r="AU441" t="s">
        <v>6</v>
      </c>
      <c r="AV441">
        <v>0</v>
      </c>
      <c r="AW441">
        <v>2</v>
      </c>
      <c r="AX441">
        <v>16632134</v>
      </c>
      <c r="AY441">
        <v>1</v>
      </c>
      <c r="AZ441">
        <v>0</v>
      </c>
      <c r="BA441">
        <v>432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Y441*Source!I195</f>
        <v>5.0000000000000001E-3</v>
      </c>
      <c r="CY441">
        <f>AB441</f>
        <v>468.51</v>
      </c>
      <c r="CZ441">
        <f>AF441</f>
        <v>65.709999999999994</v>
      </c>
      <c r="DA441">
        <f>AJ441</f>
        <v>7.13</v>
      </c>
      <c r="DB441">
        <f t="shared" si="65"/>
        <v>1.31</v>
      </c>
      <c r="DC441">
        <f t="shared" si="66"/>
        <v>0.23</v>
      </c>
    </row>
    <row r="442" spans="1:107" x14ac:dyDescent="0.2">
      <c r="A442">
        <f>ROW(Source!A195)</f>
        <v>195</v>
      </c>
      <c r="B442">
        <v>16630606</v>
      </c>
      <c r="C442">
        <v>16632120</v>
      </c>
      <c r="D442">
        <v>15167588</v>
      </c>
      <c r="E442">
        <v>1</v>
      </c>
      <c r="F442">
        <v>1</v>
      </c>
      <c r="G442">
        <v>1</v>
      </c>
      <c r="H442">
        <v>3</v>
      </c>
      <c r="I442" t="s">
        <v>1422</v>
      </c>
      <c r="J442" t="s">
        <v>1423</v>
      </c>
      <c r="K442" t="s">
        <v>1424</v>
      </c>
      <c r="L442">
        <v>1346</v>
      </c>
      <c r="N442">
        <v>1009</v>
      </c>
      <c r="O442" t="s">
        <v>102</v>
      </c>
      <c r="P442" t="s">
        <v>102</v>
      </c>
      <c r="Q442">
        <v>1</v>
      </c>
      <c r="W442">
        <v>0</v>
      </c>
      <c r="X442">
        <v>-1088866022</v>
      </c>
      <c r="Y442">
        <v>0.11</v>
      </c>
      <c r="AA442">
        <v>216.75</v>
      </c>
      <c r="AB442">
        <v>0</v>
      </c>
      <c r="AC442">
        <v>0</v>
      </c>
      <c r="AD442">
        <v>0</v>
      </c>
      <c r="AE442">
        <v>30.4</v>
      </c>
      <c r="AF442">
        <v>0</v>
      </c>
      <c r="AG442">
        <v>0</v>
      </c>
      <c r="AH442">
        <v>0</v>
      </c>
      <c r="AI442">
        <v>7.13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6</v>
      </c>
      <c r="AT442">
        <v>0.11</v>
      </c>
      <c r="AU442" t="s">
        <v>6</v>
      </c>
      <c r="AV442">
        <v>0</v>
      </c>
      <c r="AW442">
        <v>2</v>
      </c>
      <c r="AX442">
        <v>16632135</v>
      </c>
      <c r="AY442">
        <v>1</v>
      </c>
      <c r="AZ442">
        <v>0</v>
      </c>
      <c r="BA442">
        <v>433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Y442*Source!I195</f>
        <v>2.75E-2</v>
      </c>
      <c r="CY442">
        <f t="shared" ref="CY442:CY447" si="67">AA442</f>
        <v>216.75</v>
      </c>
      <c r="CZ442">
        <f t="shared" ref="CZ442:CZ447" si="68">AE442</f>
        <v>30.4</v>
      </c>
      <c r="DA442">
        <f t="shared" ref="DA442:DA447" si="69">AI442</f>
        <v>7.13</v>
      </c>
      <c r="DB442">
        <f t="shared" si="65"/>
        <v>3.34</v>
      </c>
      <c r="DC442">
        <f t="shared" si="66"/>
        <v>0</v>
      </c>
    </row>
    <row r="443" spans="1:107" x14ac:dyDescent="0.2">
      <c r="A443">
        <f>ROW(Source!A195)</f>
        <v>195</v>
      </c>
      <c r="B443">
        <v>16630606</v>
      </c>
      <c r="C443">
        <v>16632120</v>
      </c>
      <c r="D443">
        <v>15170074</v>
      </c>
      <c r="E443">
        <v>1</v>
      </c>
      <c r="F443">
        <v>1</v>
      </c>
      <c r="G443">
        <v>1</v>
      </c>
      <c r="H443">
        <v>3</v>
      </c>
      <c r="I443" t="s">
        <v>1443</v>
      </c>
      <c r="J443" t="s">
        <v>1444</v>
      </c>
      <c r="K443" t="s">
        <v>1445</v>
      </c>
      <c r="L443">
        <v>1355</v>
      </c>
      <c r="N443">
        <v>1010</v>
      </c>
      <c r="O443" t="s">
        <v>243</v>
      </c>
      <c r="P443" t="s">
        <v>243</v>
      </c>
      <c r="Q443">
        <v>100</v>
      </c>
      <c r="W443">
        <v>0</v>
      </c>
      <c r="X443">
        <v>1794244060</v>
      </c>
      <c r="Y443">
        <v>1.02</v>
      </c>
      <c r="AA443">
        <v>613.17999999999995</v>
      </c>
      <c r="AB443">
        <v>0</v>
      </c>
      <c r="AC443">
        <v>0</v>
      </c>
      <c r="AD443">
        <v>0</v>
      </c>
      <c r="AE443">
        <v>86</v>
      </c>
      <c r="AF443">
        <v>0</v>
      </c>
      <c r="AG443">
        <v>0</v>
      </c>
      <c r="AH443">
        <v>0</v>
      </c>
      <c r="AI443">
        <v>7.13</v>
      </c>
      <c r="AJ443">
        <v>1</v>
      </c>
      <c r="AK443">
        <v>1</v>
      </c>
      <c r="AL443">
        <v>1</v>
      </c>
      <c r="AN443">
        <v>0</v>
      </c>
      <c r="AO443">
        <v>1</v>
      </c>
      <c r="AP443">
        <v>0</v>
      </c>
      <c r="AQ443">
        <v>0</v>
      </c>
      <c r="AR443">
        <v>0</v>
      </c>
      <c r="AS443" t="s">
        <v>6</v>
      </c>
      <c r="AT443">
        <v>1.02</v>
      </c>
      <c r="AU443" t="s">
        <v>6</v>
      </c>
      <c r="AV443">
        <v>0</v>
      </c>
      <c r="AW443">
        <v>2</v>
      </c>
      <c r="AX443">
        <v>16632136</v>
      </c>
      <c r="AY443">
        <v>1</v>
      </c>
      <c r="AZ443">
        <v>0</v>
      </c>
      <c r="BA443">
        <v>434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Y443*Source!I195</f>
        <v>0.255</v>
      </c>
      <c r="CY443">
        <f t="shared" si="67"/>
        <v>613.17999999999995</v>
      </c>
      <c r="CZ443">
        <f t="shared" si="68"/>
        <v>86</v>
      </c>
      <c r="DA443">
        <f t="shared" si="69"/>
        <v>7.13</v>
      </c>
      <c r="DB443">
        <f t="shared" si="65"/>
        <v>87.72</v>
      </c>
      <c r="DC443">
        <f t="shared" si="66"/>
        <v>0</v>
      </c>
    </row>
    <row r="444" spans="1:107" x14ac:dyDescent="0.2">
      <c r="A444">
        <f>ROW(Source!A195)</f>
        <v>195</v>
      </c>
      <c r="B444">
        <v>16630606</v>
      </c>
      <c r="C444">
        <v>16632120</v>
      </c>
      <c r="D444">
        <v>15170434</v>
      </c>
      <c r="E444">
        <v>1</v>
      </c>
      <c r="F444">
        <v>1</v>
      </c>
      <c r="G444">
        <v>1</v>
      </c>
      <c r="H444">
        <v>3</v>
      </c>
      <c r="I444" t="s">
        <v>1478</v>
      </c>
      <c r="J444" t="s">
        <v>1479</v>
      </c>
      <c r="K444" t="s">
        <v>1480</v>
      </c>
      <c r="L444">
        <v>1348</v>
      </c>
      <c r="N444">
        <v>1009</v>
      </c>
      <c r="O444" t="s">
        <v>98</v>
      </c>
      <c r="P444" t="s">
        <v>98</v>
      </c>
      <c r="Q444">
        <v>1000</v>
      </c>
      <c r="W444">
        <v>0</v>
      </c>
      <c r="X444">
        <v>797358079</v>
      </c>
      <c r="Y444">
        <v>1.6000000000000001E-4</v>
      </c>
      <c r="AA444">
        <v>212474</v>
      </c>
      <c r="AB444">
        <v>0</v>
      </c>
      <c r="AC444">
        <v>0</v>
      </c>
      <c r="AD444">
        <v>0</v>
      </c>
      <c r="AE444">
        <v>29800</v>
      </c>
      <c r="AF444">
        <v>0</v>
      </c>
      <c r="AG444">
        <v>0</v>
      </c>
      <c r="AH444">
        <v>0</v>
      </c>
      <c r="AI444">
        <v>7.13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6</v>
      </c>
      <c r="AT444">
        <v>1.6000000000000001E-4</v>
      </c>
      <c r="AU444" t="s">
        <v>6</v>
      </c>
      <c r="AV444">
        <v>0</v>
      </c>
      <c r="AW444">
        <v>2</v>
      </c>
      <c r="AX444">
        <v>16632137</v>
      </c>
      <c r="AY444">
        <v>1</v>
      </c>
      <c r="AZ444">
        <v>0</v>
      </c>
      <c r="BA444">
        <v>435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Y444*Source!I195</f>
        <v>4.0000000000000003E-5</v>
      </c>
      <c r="CY444">
        <f t="shared" si="67"/>
        <v>212474</v>
      </c>
      <c r="CZ444">
        <f t="shared" si="68"/>
        <v>29800</v>
      </c>
      <c r="DA444">
        <f t="shared" si="69"/>
        <v>7.13</v>
      </c>
      <c r="DB444">
        <f t="shared" si="65"/>
        <v>4.7699999999999996</v>
      </c>
      <c r="DC444">
        <f t="shared" si="66"/>
        <v>0</v>
      </c>
    </row>
    <row r="445" spans="1:107" x14ac:dyDescent="0.2">
      <c r="A445">
        <f>ROW(Source!A195)</f>
        <v>195</v>
      </c>
      <c r="B445">
        <v>16630606</v>
      </c>
      <c r="C445">
        <v>16632120</v>
      </c>
      <c r="D445">
        <v>15170438</v>
      </c>
      <c r="E445">
        <v>1</v>
      </c>
      <c r="F445">
        <v>1</v>
      </c>
      <c r="G445">
        <v>1</v>
      </c>
      <c r="H445">
        <v>3</v>
      </c>
      <c r="I445" t="s">
        <v>1481</v>
      </c>
      <c r="J445" t="s">
        <v>1482</v>
      </c>
      <c r="K445" t="s">
        <v>1483</v>
      </c>
      <c r="L445">
        <v>1348</v>
      </c>
      <c r="N445">
        <v>1009</v>
      </c>
      <c r="O445" t="s">
        <v>98</v>
      </c>
      <c r="P445" t="s">
        <v>98</v>
      </c>
      <c r="Q445">
        <v>1000</v>
      </c>
      <c r="W445">
        <v>0</v>
      </c>
      <c r="X445">
        <v>-1755229539</v>
      </c>
      <c r="Y445">
        <v>2.9999999999999997E-4</v>
      </c>
      <c r="AA445">
        <v>88625.9</v>
      </c>
      <c r="AB445">
        <v>0</v>
      </c>
      <c r="AC445">
        <v>0</v>
      </c>
      <c r="AD445">
        <v>0</v>
      </c>
      <c r="AE445">
        <v>12430</v>
      </c>
      <c r="AF445">
        <v>0</v>
      </c>
      <c r="AG445">
        <v>0</v>
      </c>
      <c r="AH445">
        <v>0</v>
      </c>
      <c r="AI445">
        <v>7.13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6</v>
      </c>
      <c r="AT445">
        <v>2.9999999999999997E-4</v>
      </c>
      <c r="AU445" t="s">
        <v>6</v>
      </c>
      <c r="AV445">
        <v>0</v>
      </c>
      <c r="AW445">
        <v>2</v>
      </c>
      <c r="AX445">
        <v>16632138</v>
      </c>
      <c r="AY445">
        <v>1</v>
      </c>
      <c r="AZ445">
        <v>0</v>
      </c>
      <c r="BA445">
        <v>436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Y445*Source!I195</f>
        <v>7.4999999999999993E-5</v>
      </c>
      <c r="CY445">
        <f t="shared" si="67"/>
        <v>88625.9</v>
      </c>
      <c r="CZ445">
        <f t="shared" si="68"/>
        <v>12430</v>
      </c>
      <c r="DA445">
        <f t="shared" si="69"/>
        <v>7.13</v>
      </c>
      <c r="DB445">
        <f t="shared" si="65"/>
        <v>3.73</v>
      </c>
      <c r="DC445">
        <f t="shared" si="66"/>
        <v>0</v>
      </c>
    </row>
    <row r="446" spans="1:107" x14ac:dyDescent="0.2">
      <c r="A446">
        <f>ROW(Source!A195)</f>
        <v>195</v>
      </c>
      <c r="B446">
        <v>16630606</v>
      </c>
      <c r="C446">
        <v>16632120</v>
      </c>
      <c r="D446">
        <v>15220578</v>
      </c>
      <c r="E446">
        <v>1</v>
      </c>
      <c r="F446">
        <v>1</v>
      </c>
      <c r="G446">
        <v>1</v>
      </c>
      <c r="H446">
        <v>3</v>
      </c>
      <c r="I446" t="s">
        <v>649</v>
      </c>
      <c r="J446" t="s">
        <v>651</v>
      </c>
      <c r="K446" t="s">
        <v>650</v>
      </c>
      <c r="L446">
        <v>1358</v>
      </c>
      <c r="N446">
        <v>1010</v>
      </c>
      <c r="O446" t="s">
        <v>616</v>
      </c>
      <c r="P446" t="s">
        <v>616</v>
      </c>
      <c r="Q446">
        <v>10</v>
      </c>
      <c r="W446">
        <v>0</v>
      </c>
      <c r="X446">
        <v>815488521</v>
      </c>
      <c r="Y446">
        <v>10</v>
      </c>
      <c r="AA446">
        <v>685.91</v>
      </c>
      <c r="AB446">
        <v>0</v>
      </c>
      <c r="AC446">
        <v>0</v>
      </c>
      <c r="AD446">
        <v>0</v>
      </c>
      <c r="AE446">
        <v>96.2</v>
      </c>
      <c r="AF446">
        <v>0</v>
      </c>
      <c r="AG446">
        <v>0</v>
      </c>
      <c r="AH446">
        <v>0</v>
      </c>
      <c r="AI446">
        <v>7.13</v>
      </c>
      <c r="AJ446">
        <v>1</v>
      </c>
      <c r="AK446">
        <v>1</v>
      </c>
      <c r="AL446">
        <v>1</v>
      </c>
      <c r="AN446">
        <v>0</v>
      </c>
      <c r="AO446">
        <v>0</v>
      </c>
      <c r="AP446">
        <v>0</v>
      </c>
      <c r="AQ446">
        <v>0</v>
      </c>
      <c r="AR446">
        <v>0</v>
      </c>
      <c r="AS446" t="s">
        <v>6</v>
      </c>
      <c r="AT446">
        <v>10</v>
      </c>
      <c r="AU446" t="s">
        <v>6</v>
      </c>
      <c r="AV446">
        <v>0</v>
      </c>
      <c r="AW446">
        <v>1</v>
      </c>
      <c r="AX446">
        <v>-1</v>
      </c>
      <c r="AY446">
        <v>0</v>
      </c>
      <c r="AZ446">
        <v>0</v>
      </c>
      <c r="BA446" t="s">
        <v>6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Y446*Source!I195</f>
        <v>2.5</v>
      </c>
      <c r="CY446">
        <f t="shared" si="67"/>
        <v>685.91</v>
      </c>
      <c r="CZ446">
        <f t="shared" si="68"/>
        <v>96.2</v>
      </c>
      <c r="DA446">
        <f t="shared" si="69"/>
        <v>7.13</v>
      </c>
      <c r="DB446">
        <f t="shared" si="65"/>
        <v>962</v>
      </c>
      <c r="DC446">
        <f t="shared" si="66"/>
        <v>0</v>
      </c>
    </row>
    <row r="447" spans="1:107" x14ac:dyDescent="0.2">
      <c r="A447">
        <f>ROW(Source!A195)</f>
        <v>195</v>
      </c>
      <c r="B447">
        <v>16630606</v>
      </c>
      <c r="C447">
        <v>16632120</v>
      </c>
      <c r="D447">
        <v>15164559</v>
      </c>
      <c r="E447">
        <v>17</v>
      </c>
      <c r="F447">
        <v>1</v>
      </c>
      <c r="G447">
        <v>1</v>
      </c>
      <c r="H447">
        <v>3</v>
      </c>
      <c r="I447" t="s">
        <v>1431</v>
      </c>
      <c r="J447" t="s">
        <v>6</v>
      </c>
      <c r="K447" t="s">
        <v>1432</v>
      </c>
      <c r="L447">
        <v>1374</v>
      </c>
      <c r="N447">
        <v>1013</v>
      </c>
      <c r="O447" t="s">
        <v>1433</v>
      </c>
      <c r="P447" t="s">
        <v>1433</v>
      </c>
      <c r="Q447">
        <v>1</v>
      </c>
      <c r="W447">
        <v>0</v>
      </c>
      <c r="X447">
        <v>-1731369543</v>
      </c>
      <c r="Y447">
        <v>6.27</v>
      </c>
      <c r="AA447">
        <v>1</v>
      </c>
      <c r="AB447">
        <v>0</v>
      </c>
      <c r="AC447">
        <v>0</v>
      </c>
      <c r="AD447">
        <v>0</v>
      </c>
      <c r="AE447">
        <v>1</v>
      </c>
      <c r="AF447">
        <v>0</v>
      </c>
      <c r="AG447">
        <v>0</v>
      </c>
      <c r="AH447">
        <v>0</v>
      </c>
      <c r="AI447">
        <v>1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6</v>
      </c>
      <c r="AT447">
        <v>6.27</v>
      </c>
      <c r="AU447" t="s">
        <v>6</v>
      </c>
      <c r="AV447">
        <v>0</v>
      </c>
      <c r="AW447">
        <v>2</v>
      </c>
      <c r="AX447">
        <v>16632139</v>
      </c>
      <c r="AY447">
        <v>1</v>
      </c>
      <c r="AZ447">
        <v>0</v>
      </c>
      <c r="BA447">
        <v>437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Y447*Source!I195</f>
        <v>1.5674999999999999</v>
      </c>
      <c r="CY447">
        <f t="shared" si="67"/>
        <v>1</v>
      </c>
      <c r="CZ447">
        <f t="shared" si="68"/>
        <v>1</v>
      </c>
      <c r="DA447">
        <f t="shared" si="69"/>
        <v>1</v>
      </c>
      <c r="DB447">
        <f t="shared" si="65"/>
        <v>6.27</v>
      </c>
      <c r="DC447">
        <f t="shared" si="66"/>
        <v>0</v>
      </c>
    </row>
    <row r="448" spans="1:107" x14ac:dyDescent="0.2">
      <c r="A448">
        <f>ROW(Source!A197)</f>
        <v>197</v>
      </c>
      <c r="B448">
        <v>16630606</v>
      </c>
      <c r="C448">
        <v>16632141</v>
      </c>
      <c r="D448">
        <v>15442878</v>
      </c>
      <c r="E448">
        <v>1</v>
      </c>
      <c r="F448">
        <v>1</v>
      </c>
      <c r="G448">
        <v>1</v>
      </c>
      <c r="H448">
        <v>1</v>
      </c>
      <c r="I448" t="s">
        <v>1417</v>
      </c>
      <c r="J448" t="s">
        <v>6</v>
      </c>
      <c r="K448" t="s">
        <v>1418</v>
      </c>
      <c r="L448">
        <v>1191</v>
      </c>
      <c r="N448">
        <v>1013</v>
      </c>
      <c r="O448" t="s">
        <v>1148</v>
      </c>
      <c r="P448" t="s">
        <v>1148</v>
      </c>
      <c r="Q448">
        <v>1</v>
      </c>
      <c r="W448">
        <v>0</v>
      </c>
      <c r="X448">
        <v>-362667798</v>
      </c>
      <c r="Y448">
        <v>0.9</v>
      </c>
      <c r="AA448">
        <v>0</v>
      </c>
      <c r="AB448">
        <v>0</v>
      </c>
      <c r="AC448">
        <v>0</v>
      </c>
      <c r="AD448">
        <v>74.87</v>
      </c>
      <c r="AE448">
        <v>0</v>
      </c>
      <c r="AF448">
        <v>0</v>
      </c>
      <c r="AG448">
        <v>0</v>
      </c>
      <c r="AH448">
        <v>10.5</v>
      </c>
      <c r="AI448">
        <v>1</v>
      </c>
      <c r="AJ448">
        <v>1</v>
      </c>
      <c r="AK448">
        <v>1</v>
      </c>
      <c r="AL448">
        <v>7.13</v>
      </c>
      <c r="AN448">
        <v>0</v>
      </c>
      <c r="AO448">
        <v>1</v>
      </c>
      <c r="AP448">
        <v>0</v>
      </c>
      <c r="AQ448">
        <v>0</v>
      </c>
      <c r="AR448">
        <v>0</v>
      </c>
      <c r="AS448" t="s">
        <v>6</v>
      </c>
      <c r="AT448">
        <v>0.9</v>
      </c>
      <c r="AU448" t="s">
        <v>6</v>
      </c>
      <c r="AV448">
        <v>1</v>
      </c>
      <c r="AW448">
        <v>2</v>
      </c>
      <c r="AX448">
        <v>16632151</v>
      </c>
      <c r="AY448">
        <v>1</v>
      </c>
      <c r="AZ448">
        <v>0</v>
      </c>
      <c r="BA448">
        <v>438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Y448*Source!I197</f>
        <v>1.8</v>
      </c>
      <c r="CY448">
        <f>AD448</f>
        <v>74.87</v>
      </c>
      <c r="CZ448">
        <f>AH448</f>
        <v>10.5</v>
      </c>
      <c r="DA448">
        <f>AL448</f>
        <v>7.13</v>
      </c>
      <c r="DB448">
        <f t="shared" si="65"/>
        <v>9.4499999999999993</v>
      </c>
      <c r="DC448">
        <f t="shared" si="66"/>
        <v>0</v>
      </c>
    </row>
    <row r="449" spans="1:107" x14ac:dyDescent="0.2">
      <c r="A449">
        <f>ROW(Source!A197)</f>
        <v>197</v>
      </c>
      <c r="B449">
        <v>16630606</v>
      </c>
      <c r="C449">
        <v>16632141</v>
      </c>
      <c r="D449">
        <v>15430395</v>
      </c>
      <c r="E449">
        <v>1</v>
      </c>
      <c r="F449">
        <v>1</v>
      </c>
      <c r="G449">
        <v>1</v>
      </c>
      <c r="H449">
        <v>1</v>
      </c>
      <c r="I449" t="s">
        <v>1149</v>
      </c>
      <c r="J449" t="s">
        <v>6</v>
      </c>
      <c r="K449" t="s">
        <v>1150</v>
      </c>
      <c r="L449">
        <v>1191</v>
      </c>
      <c r="N449">
        <v>1013</v>
      </c>
      <c r="O449" t="s">
        <v>1148</v>
      </c>
      <c r="P449" t="s">
        <v>1148</v>
      </c>
      <c r="Q449">
        <v>1</v>
      </c>
      <c r="W449">
        <v>0</v>
      </c>
      <c r="X449">
        <v>-1417349443</v>
      </c>
      <c r="Y449">
        <v>0.2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1</v>
      </c>
      <c r="AJ449">
        <v>1</v>
      </c>
      <c r="AK449">
        <v>7.13</v>
      </c>
      <c r="AL449">
        <v>1</v>
      </c>
      <c r="AN449">
        <v>0</v>
      </c>
      <c r="AO449">
        <v>1</v>
      </c>
      <c r="AP449">
        <v>0</v>
      </c>
      <c r="AQ449">
        <v>0</v>
      </c>
      <c r="AR449">
        <v>0</v>
      </c>
      <c r="AS449" t="s">
        <v>6</v>
      </c>
      <c r="AT449">
        <v>0.2</v>
      </c>
      <c r="AU449" t="s">
        <v>6</v>
      </c>
      <c r="AV449">
        <v>2</v>
      </c>
      <c r="AW449">
        <v>2</v>
      </c>
      <c r="AX449">
        <v>16632152</v>
      </c>
      <c r="AY449">
        <v>1</v>
      </c>
      <c r="AZ449">
        <v>0</v>
      </c>
      <c r="BA449">
        <v>439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Y449*Source!I197</f>
        <v>0.4</v>
      </c>
      <c r="CY449">
        <f>AD449</f>
        <v>0</v>
      </c>
      <c r="CZ449">
        <f>AH449</f>
        <v>0</v>
      </c>
      <c r="DA449">
        <f>AL449</f>
        <v>1</v>
      </c>
      <c r="DB449">
        <f t="shared" si="65"/>
        <v>0</v>
      </c>
      <c r="DC449">
        <f t="shared" si="66"/>
        <v>0</v>
      </c>
    </row>
    <row r="450" spans="1:107" x14ac:dyDescent="0.2">
      <c r="A450">
        <f>ROW(Source!A197)</f>
        <v>197</v>
      </c>
      <c r="B450">
        <v>16630606</v>
      </c>
      <c r="C450">
        <v>16632141</v>
      </c>
      <c r="D450">
        <v>15247680</v>
      </c>
      <c r="E450">
        <v>1</v>
      </c>
      <c r="F450">
        <v>1</v>
      </c>
      <c r="G450">
        <v>1</v>
      </c>
      <c r="H450">
        <v>2</v>
      </c>
      <c r="I450" t="s">
        <v>1419</v>
      </c>
      <c r="J450" t="s">
        <v>1420</v>
      </c>
      <c r="K450" t="s">
        <v>1421</v>
      </c>
      <c r="L450">
        <v>1368</v>
      </c>
      <c r="N450">
        <v>1011</v>
      </c>
      <c r="O450" t="s">
        <v>1154</v>
      </c>
      <c r="P450" t="s">
        <v>1154</v>
      </c>
      <c r="Q450">
        <v>1</v>
      </c>
      <c r="W450">
        <v>0</v>
      </c>
      <c r="X450">
        <v>-1718674368</v>
      </c>
      <c r="Y450">
        <v>0.1</v>
      </c>
      <c r="AA450">
        <v>0</v>
      </c>
      <c r="AB450">
        <v>798.49</v>
      </c>
      <c r="AC450">
        <v>13.5</v>
      </c>
      <c r="AD450">
        <v>0</v>
      </c>
      <c r="AE450">
        <v>0</v>
      </c>
      <c r="AF450">
        <v>111.99</v>
      </c>
      <c r="AG450">
        <v>13.5</v>
      </c>
      <c r="AH450">
        <v>0</v>
      </c>
      <c r="AI450">
        <v>1</v>
      </c>
      <c r="AJ450">
        <v>7.13</v>
      </c>
      <c r="AK450">
        <v>1</v>
      </c>
      <c r="AL450">
        <v>1</v>
      </c>
      <c r="AN450">
        <v>0</v>
      </c>
      <c r="AO450">
        <v>1</v>
      </c>
      <c r="AP450">
        <v>0</v>
      </c>
      <c r="AQ450">
        <v>0</v>
      </c>
      <c r="AR450">
        <v>0</v>
      </c>
      <c r="AS450" t="s">
        <v>6</v>
      </c>
      <c r="AT450">
        <v>0.1</v>
      </c>
      <c r="AU450" t="s">
        <v>6</v>
      </c>
      <c r="AV450">
        <v>0</v>
      </c>
      <c r="AW450">
        <v>2</v>
      </c>
      <c r="AX450">
        <v>16632153</v>
      </c>
      <c r="AY450">
        <v>1</v>
      </c>
      <c r="AZ450">
        <v>0</v>
      </c>
      <c r="BA450">
        <v>440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Y450*Source!I197</f>
        <v>0.2</v>
      </c>
      <c r="CY450">
        <f>AB450</f>
        <v>798.49</v>
      </c>
      <c r="CZ450">
        <f>AF450</f>
        <v>111.99</v>
      </c>
      <c r="DA450">
        <f>AJ450</f>
        <v>7.13</v>
      </c>
      <c r="DB450">
        <f t="shared" si="65"/>
        <v>11.2</v>
      </c>
      <c r="DC450">
        <f t="shared" si="66"/>
        <v>1.35</v>
      </c>
    </row>
    <row r="451" spans="1:107" x14ac:dyDescent="0.2">
      <c r="A451">
        <f>ROW(Source!A197)</f>
        <v>197</v>
      </c>
      <c r="B451">
        <v>16630606</v>
      </c>
      <c r="C451">
        <v>16632141</v>
      </c>
      <c r="D451">
        <v>15249073</v>
      </c>
      <c r="E451">
        <v>1</v>
      </c>
      <c r="F451">
        <v>1</v>
      </c>
      <c r="G451">
        <v>1</v>
      </c>
      <c r="H451">
        <v>2</v>
      </c>
      <c r="I451" t="s">
        <v>1157</v>
      </c>
      <c r="J451" t="s">
        <v>1158</v>
      </c>
      <c r="K451" t="s">
        <v>1159</v>
      </c>
      <c r="L451">
        <v>1368</v>
      </c>
      <c r="N451">
        <v>1011</v>
      </c>
      <c r="O451" t="s">
        <v>1154</v>
      </c>
      <c r="P451" t="s">
        <v>1154</v>
      </c>
      <c r="Q451">
        <v>1</v>
      </c>
      <c r="W451">
        <v>0</v>
      </c>
      <c r="X451">
        <v>1372534845</v>
      </c>
      <c r="Y451">
        <v>0.1</v>
      </c>
      <c r="AA451">
        <v>0</v>
      </c>
      <c r="AB451">
        <v>468.51</v>
      </c>
      <c r="AC451">
        <v>11.6</v>
      </c>
      <c r="AD451">
        <v>0</v>
      </c>
      <c r="AE451">
        <v>0</v>
      </c>
      <c r="AF451">
        <v>65.709999999999994</v>
      </c>
      <c r="AG451">
        <v>11.6</v>
      </c>
      <c r="AH451">
        <v>0</v>
      </c>
      <c r="AI451">
        <v>1</v>
      </c>
      <c r="AJ451">
        <v>7.13</v>
      </c>
      <c r="AK451">
        <v>1</v>
      </c>
      <c r="AL451">
        <v>1</v>
      </c>
      <c r="AN451">
        <v>0</v>
      </c>
      <c r="AO451">
        <v>1</v>
      </c>
      <c r="AP451">
        <v>0</v>
      </c>
      <c r="AQ451">
        <v>0</v>
      </c>
      <c r="AR451">
        <v>0</v>
      </c>
      <c r="AS451" t="s">
        <v>6</v>
      </c>
      <c r="AT451">
        <v>0.1</v>
      </c>
      <c r="AU451" t="s">
        <v>6</v>
      </c>
      <c r="AV451">
        <v>0</v>
      </c>
      <c r="AW451">
        <v>2</v>
      </c>
      <c r="AX451">
        <v>16632154</v>
      </c>
      <c r="AY451">
        <v>1</v>
      </c>
      <c r="AZ451">
        <v>0</v>
      </c>
      <c r="BA451">
        <v>441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Y451*Source!I197</f>
        <v>0.2</v>
      </c>
      <c r="CY451">
        <f>AB451</f>
        <v>468.51</v>
      </c>
      <c r="CZ451">
        <f>AF451</f>
        <v>65.709999999999994</v>
      </c>
      <c r="DA451">
        <f>AJ451</f>
        <v>7.13</v>
      </c>
      <c r="DB451">
        <f t="shared" si="65"/>
        <v>6.57</v>
      </c>
      <c r="DC451">
        <f t="shared" si="66"/>
        <v>1.1599999999999999</v>
      </c>
    </row>
    <row r="452" spans="1:107" x14ac:dyDescent="0.2">
      <c r="A452">
        <f>ROW(Source!A197)</f>
        <v>197</v>
      </c>
      <c r="B452">
        <v>16630606</v>
      </c>
      <c r="C452">
        <v>16632141</v>
      </c>
      <c r="D452">
        <v>15167588</v>
      </c>
      <c r="E452">
        <v>1</v>
      </c>
      <c r="F452">
        <v>1</v>
      </c>
      <c r="G452">
        <v>1</v>
      </c>
      <c r="H452">
        <v>3</v>
      </c>
      <c r="I452" t="s">
        <v>1422</v>
      </c>
      <c r="J452" t="s">
        <v>1423</v>
      </c>
      <c r="K452" t="s">
        <v>1424</v>
      </c>
      <c r="L452">
        <v>1346</v>
      </c>
      <c r="N452">
        <v>1009</v>
      </c>
      <c r="O452" t="s">
        <v>102</v>
      </c>
      <c r="P452" t="s">
        <v>102</v>
      </c>
      <c r="Q452">
        <v>1</v>
      </c>
      <c r="W452">
        <v>0</v>
      </c>
      <c r="X452">
        <v>-1088866022</v>
      </c>
      <c r="Y452">
        <v>0.01</v>
      </c>
      <c r="AA452">
        <v>216.75</v>
      </c>
      <c r="AB452">
        <v>0</v>
      </c>
      <c r="AC452">
        <v>0</v>
      </c>
      <c r="AD452">
        <v>0</v>
      </c>
      <c r="AE452">
        <v>30.4</v>
      </c>
      <c r="AF452">
        <v>0</v>
      </c>
      <c r="AG452">
        <v>0</v>
      </c>
      <c r="AH452">
        <v>0</v>
      </c>
      <c r="AI452">
        <v>7.13</v>
      </c>
      <c r="AJ452">
        <v>1</v>
      </c>
      <c r="AK452">
        <v>1</v>
      </c>
      <c r="AL452">
        <v>1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6</v>
      </c>
      <c r="AT452">
        <v>0.01</v>
      </c>
      <c r="AU452" t="s">
        <v>6</v>
      </c>
      <c r="AV452">
        <v>0</v>
      </c>
      <c r="AW452">
        <v>2</v>
      </c>
      <c r="AX452">
        <v>16632155</v>
      </c>
      <c r="AY452">
        <v>1</v>
      </c>
      <c r="AZ452">
        <v>0</v>
      </c>
      <c r="BA452">
        <v>442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Y452*Source!I197</f>
        <v>0.02</v>
      </c>
      <c r="CY452">
        <f>AA452</f>
        <v>216.75</v>
      </c>
      <c r="CZ452">
        <f>AE452</f>
        <v>30.4</v>
      </c>
      <c r="DA452">
        <f>AI452</f>
        <v>7.13</v>
      </c>
      <c r="DB452">
        <f t="shared" si="65"/>
        <v>0.3</v>
      </c>
      <c r="DC452">
        <f t="shared" si="66"/>
        <v>0</v>
      </c>
    </row>
    <row r="453" spans="1:107" x14ac:dyDescent="0.2">
      <c r="A453">
        <f>ROW(Source!A197)</f>
        <v>197</v>
      </c>
      <c r="B453">
        <v>16630606</v>
      </c>
      <c r="C453">
        <v>16632141</v>
      </c>
      <c r="D453">
        <v>15169942</v>
      </c>
      <c r="E453">
        <v>1</v>
      </c>
      <c r="F453">
        <v>1</v>
      </c>
      <c r="G453">
        <v>1</v>
      </c>
      <c r="H453">
        <v>3</v>
      </c>
      <c r="I453" t="s">
        <v>1425</v>
      </c>
      <c r="J453" t="s">
        <v>1426</v>
      </c>
      <c r="K453" t="s">
        <v>1427</v>
      </c>
      <c r="L453">
        <v>1346</v>
      </c>
      <c r="N453">
        <v>1009</v>
      </c>
      <c r="O453" t="s">
        <v>102</v>
      </c>
      <c r="P453" t="s">
        <v>102</v>
      </c>
      <c r="Q453">
        <v>1</v>
      </c>
      <c r="W453">
        <v>0</v>
      </c>
      <c r="X453">
        <v>103900845</v>
      </c>
      <c r="Y453">
        <v>0.3</v>
      </c>
      <c r="AA453">
        <v>64.459999999999994</v>
      </c>
      <c r="AB453">
        <v>0</v>
      </c>
      <c r="AC453">
        <v>0</v>
      </c>
      <c r="AD453">
        <v>0</v>
      </c>
      <c r="AE453">
        <v>9.0399999999999991</v>
      </c>
      <c r="AF453">
        <v>0</v>
      </c>
      <c r="AG453">
        <v>0</v>
      </c>
      <c r="AH453">
        <v>0</v>
      </c>
      <c r="AI453">
        <v>7.13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0</v>
      </c>
      <c r="AQ453">
        <v>0</v>
      </c>
      <c r="AR453">
        <v>0</v>
      </c>
      <c r="AS453" t="s">
        <v>6</v>
      </c>
      <c r="AT453">
        <v>0.3</v>
      </c>
      <c r="AU453" t="s">
        <v>6</v>
      </c>
      <c r="AV453">
        <v>0</v>
      </c>
      <c r="AW453">
        <v>2</v>
      </c>
      <c r="AX453">
        <v>16632156</v>
      </c>
      <c r="AY453">
        <v>1</v>
      </c>
      <c r="AZ453">
        <v>0</v>
      </c>
      <c r="BA453">
        <v>443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Y453*Source!I197</f>
        <v>0.6</v>
      </c>
      <c r="CY453">
        <f>AA453</f>
        <v>64.459999999999994</v>
      </c>
      <c r="CZ453">
        <f>AE453</f>
        <v>9.0399999999999991</v>
      </c>
      <c r="DA453">
        <f>AI453</f>
        <v>7.13</v>
      </c>
      <c r="DB453">
        <f t="shared" si="65"/>
        <v>2.71</v>
      </c>
      <c r="DC453">
        <f t="shared" si="66"/>
        <v>0</v>
      </c>
    </row>
    <row r="454" spans="1:107" x14ac:dyDescent="0.2">
      <c r="A454">
        <f>ROW(Source!A197)</f>
        <v>197</v>
      </c>
      <c r="B454">
        <v>16630606</v>
      </c>
      <c r="C454">
        <v>16632141</v>
      </c>
      <c r="D454">
        <v>15191488</v>
      </c>
      <c r="E454">
        <v>1</v>
      </c>
      <c r="F454">
        <v>1</v>
      </c>
      <c r="G454">
        <v>1</v>
      </c>
      <c r="H454">
        <v>3</v>
      </c>
      <c r="I454" t="s">
        <v>1428</v>
      </c>
      <c r="J454" t="s">
        <v>1429</v>
      </c>
      <c r="K454" t="s">
        <v>1430</v>
      </c>
      <c r="L454">
        <v>1348</v>
      </c>
      <c r="N454">
        <v>1009</v>
      </c>
      <c r="O454" t="s">
        <v>98</v>
      </c>
      <c r="P454" t="s">
        <v>98</v>
      </c>
      <c r="Q454">
        <v>1000</v>
      </c>
      <c r="W454">
        <v>0</v>
      </c>
      <c r="X454">
        <v>-1598896989</v>
      </c>
      <c r="Y454">
        <v>5.9999999999999995E-4</v>
      </c>
      <c r="AA454">
        <v>35650</v>
      </c>
      <c r="AB454">
        <v>0</v>
      </c>
      <c r="AC454">
        <v>0</v>
      </c>
      <c r="AD454">
        <v>0</v>
      </c>
      <c r="AE454">
        <v>5000</v>
      </c>
      <c r="AF454">
        <v>0</v>
      </c>
      <c r="AG454">
        <v>0</v>
      </c>
      <c r="AH454">
        <v>0</v>
      </c>
      <c r="AI454">
        <v>7.13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6</v>
      </c>
      <c r="AT454">
        <v>5.9999999999999995E-4</v>
      </c>
      <c r="AU454" t="s">
        <v>6</v>
      </c>
      <c r="AV454">
        <v>0</v>
      </c>
      <c r="AW454">
        <v>2</v>
      </c>
      <c r="AX454">
        <v>16632157</v>
      </c>
      <c r="AY454">
        <v>1</v>
      </c>
      <c r="AZ454">
        <v>0</v>
      </c>
      <c r="BA454">
        <v>444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Y454*Source!I197</f>
        <v>1.1999999999999999E-3</v>
      </c>
      <c r="CY454">
        <f>AA454</f>
        <v>35650</v>
      </c>
      <c r="CZ454">
        <f>AE454</f>
        <v>5000</v>
      </c>
      <c r="DA454">
        <f>AI454</f>
        <v>7.13</v>
      </c>
      <c r="DB454">
        <f t="shared" si="65"/>
        <v>3</v>
      </c>
      <c r="DC454">
        <f t="shared" si="66"/>
        <v>0</v>
      </c>
    </row>
    <row r="455" spans="1:107" x14ac:dyDescent="0.2">
      <c r="A455">
        <f>ROW(Source!A197)</f>
        <v>197</v>
      </c>
      <c r="B455">
        <v>16630606</v>
      </c>
      <c r="C455">
        <v>16632141</v>
      </c>
      <c r="D455">
        <v>15225614</v>
      </c>
      <c r="E455">
        <v>1</v>
      </c>
      <c r="F455">
        <v>1</v>
      </c>
      <c r="G455">
        <v>1</v>
      </c>
      <c r="H455">
        <v>3</v>
      </c>
      <c r="I455" t="s">
        <v>655</v>
      </c>
      <c r="J455" t="s">
        <v>657</v>
      </c>
      <c r="K455" t="s">
        <v>656</v>
      </c>
      <c r="L455">
        <v>1354</v>
      </c>
      <c r="N455">
        <v>1010</v>
      </c>
      <c r="O455" t="s">
        <v>132</v>
      </c>
      <c r="P455" t="s">
        <v>132</v>
      </c>
      <c r="Q455">
        <v>1</v>
      </c>
      <c r="W455">
        <v>0</v>
      </c>
      <c r="X455">
        <v>19955358</v>
      </c>
      <c r="Y455">
        <v>1</v>
      </c>
      <c r="AA455">
        <v>1167.18</v>
      </c>
      <c r="AB455">
        <v>0</v>
      </c>
      <c r="AC455">
        <v>0</v>
      </c>
      <c r="AD455">
        <v>0</v>
      </c>
      <c r="AE455">
        <v>163.69999999999999</v>
      </c>
      <c r="AF455">
        <v>0</v>
      </c>
      <c r="AG455">
        <v>0</v>
      </c>
      <c r="AH455">
        <v>0</v>
      </c>
      <c r="AI455">
        <v>7.13</v>
      </c>
      <c r="AJ455">
        <v>1</v>
      </c>
      <c r="AK455">
        <v>1</v>
      </c>
      <c r="AL455">
        <v>1</v>
      </c>
      <c r="AN455">
        <v>0</v>
      </c>
      <c r="AO455">
        <v>0</v>
      </c>
      <c r="AP455">
        <v>0</v>
      </c>
      <c r="AQ455">
        <v>0</v>
      </c>
      <c r="AR455">
        <v>0</v>
      </c>
      <c r="AS455" t="s">
        <v>6</v>
      </c>
      <c r="AT455">
        <v>1</v>
      </c>
      <c r="AU455" t="s">
        <v>6</v>
      </c>
      <c r="AV455">
        <v>0</v>
      </c>
      <c r="AW455">
        <v>1</v>
      </c>
      <c r="AX455">
        <v>-1</v>
      </c>
      <c r="AY455">
        <v>0</v>
      </c>
      <c r="AZ455">
        <v>0</v>
      </c>
      <c r="BA455" t="s">
        <v>6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Y455*Source!I197</f>
        <v>2</v>
      </c>
      <c r="CY455">
        <f>AA455</f>
        <v>1167.18</v>
      </c>
      <c r="CZ455">
        <f>AE455</f>
        <v>163.69999999999999</v>
      </c>
      <c r="DA455">
        <f>AI455</f>
        <v>7.13</v>
      </c>
      <c r="DB455">
        <f t="shared" si="65"/>
        <v>163.69999999999999</v>
      </c>
      <c r="DC455">
        <f t="shared" si="66"/>
        <v>0</v>
      </c>
    </row>
    <row r="456" spans="1:107" x14ac:dyDescent="0.2">
      <c r="A456">
        <f>ROW(Source!A197)</f>
        <v>197</v>
      </c>
      <c r="B456">
        <v>16630606</v>
      </c>
      <c r="C456">
        <v>16632141</v>
      </c>
      <c r="D456">
        <v>15164559</v>
      </c>
      <c r="E456">
        <v>17</v>
      </c>
      <c r="F456">
        <v>1</v>
      </c>
      <c r="G456">
        <v>1</v>
      </c>
      <c r="H456">
        <v>3</v>
      </c>
      <c r="I456" t="s">
        <v>1431</v>
      </c>
      <c r="J456" t="s">
        <v>6</v>
      </c>
      <c r="K456" t="s">
        <v>1432</v>
      </c>
      <c r="L456">
        <v>1374</v>
      </c>
      <c r="N456">
        <v>1013</v>
      </c>
      <c r="O456" t="s">
        <v>1433</v>
      </c>
      <c r="P456" t="s">
        <v>1433</v>
      </c>
      <c r="Q456">
        <v>1</v>
      </c>
      <c r="W456">
        <v>0</v>
      </c>
      <c r="X456">
        <v>-1731369543</v>
      </c>
      <c r="Y456">
        <v>0.19</v>
      </c>
      <c r="AA456">
        <v>1</v>
      </c>
      <c r="AB456">
        <v>0</v>
      </c>
      <c r="AC456">
        <v>0</v>
      </c>
      <c r="AD456">
        <v>0</v>
      </c>
      <c r="AE456">
        <v>1</v>
      </c>
      <c r="AF456">
        <v>0</v>
      </c>
      <c r="AG456">
        <v>0</v>
      </c>
      <c r="AH456">
        <v>0</v>
      </c>
      <c r="AI456">
        <v>1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6</v>
      </c>
      <c r="AT456">
        <v>0.19</v>
      </c>
      <c r="AU456" t="s">
        <v>6</v>
      </c>
      <c r="AV456">
        <v>0</v>
      </c>
      <c r="AW456">
        <v>2</v>
      </c>
      <c r="AX456">
        <v>16632158</v>
      </c>
      <c r="AY456">
        <v>1</v>
      </c>
      <c r="AZ456">
        <v>0</v>
      </c>
      <c r="BA456">
        <v>445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Y456*Source!I197</f>
        <v>0.38</v>
      </c>
      <c r="CY456">
        <f>AA456</f>
        <v>1</v>
      </c>
      <c r="CZ456">
        <f>AE456</f>
        <v>1</v>
      </c>
      <c r="DA456">
        <f>AI456</f>
        <v>1</v>
      </c>
      <c r="DB456">
        <f t="shared" si="65"/>
        <v>0.19</v>
      </c>
      <c r="DC456">
        <f t="shared" si="66"/>
        <v>0</v>
      </c>
    </row>
    <row r="457" spans="1:107" x14ac:dyDescent="0.2">
      <c r="A457">
        <f>ROW(Source!A199)</f>
        <v>199</v>
      </c>
      <c r="B457">
        <v>16630606</v>
      </c>
      <c r="C457">
        <v>16632160</v>
      </c>
      <c r="D457">
        <v>15435721</v>
      </c>
      <c r="E457">
        <v>1</v>
      </c>
      <c r="F457">
        <v>1</v>
      </c>
      <c r="G457">
        <v>1</v>
      </c>
      <c r="H457">
        <v>1</v>
      </c>
      <c r="I457" t="s">
        <v>1311</v>
      </c>
      <c r="J457" t="s">
        <v>6</v>
      </c>
      <c r="K457" t="s">
        <v>1312</v>
      </c>
      <c r="L457">
        <v>1191</v>
      </c>
      <c r="N457">
        <v>1013</v>
      </c>
      <c r="O457" t="s">
        <v>1148</v>
      </c>
      <c r="P457" t="s">
        <v>1148</v>
      </c>
      <c r="Q457">
        <v>1</v>
      </c>
      <c r="W457">
        <v>0</v>
      </c>
      <c r="X457">
        <v>1983201532</v>
      </c>
      <c r="Y457">
        <v>1.56</v>
      </c>
      <c r="AA457">
        <v>0</v>
      </c>
      <c r="AB457">
        <v>0</v>
      </c>
      <c r="AC457">
        <v>0</v>
      </c>
      <c r="AD457">
        <v>67.81</v>
      </c>
      <c r="AE457">
        <v>0</v>
      </c>
      <c r="AF457">
        <v>0</v>
      </c>
      <c r="AG457">
        <v>0</v>
      </c>
      <c r="AH457">
        <v>9.51</v>
      </c>
      <c r="AI457">
        <v>1</v>
      </c>
      <c r="AJ457">
        <v>1</v>
      </c>
      <c r="AK457">
        <v>1</v>
      </c>
      <c r="AL457">
        <v>7.13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6</v>
      </c>
      <c r="AT457">
        <v>1.56</v>
      </c>
      <c r="AU457" t="s">
        <v>6</v>
      </c>
      <c r="AV457">
        <v>1</v>
      </c>
      <c r="AW457">
        <v>2</v>
      </c>
      <c r="AX457">
        <v>16632178</v>
      </c>
      <c r="AY457">
        <v>1</v>
      </c>
      <c r="AZ457">
        <v>0</v>
      </c>
      <c r="BA457">
        <v>446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Y457*Source!I199</f>
        <v>28.080000000000002</v>
      </c>
      <c r="CY457">
        <f>AD457</f>
        <v>67.81</v>
      </c>
      <c r="CZ457">
        <f>AH457</f>
        <v>9.51</v>
      </c>
      <c r="DA457">
        <f>AL457</f>
        <v>7.13</v>
      </c>
      <c r="DB457">
        <f t="shared" si="65"/>
        <v>14.84</v>
      </c>
      <c r="DC457">
        <f t="shared" si="66"/>
        <v>0</v>
      </c>
    </row>
    <row r="458" spans="1:107" x14ac:dyDescent="0.2">
      <c r="A458">
        <f>ROW(Source!A199)</f>
        <v>199</v>
      </c>
      <c r="B458">
        <v>16630606</v>
      </c>
      <c r="C458">
        <v>16632160</v>
      </c>
      <c r="D458">
        <v>15249377</v>
      </c>
      <c r="E458">
        <v>1</v>
      </c>
      <c r="F458">
        <v>1</v>
      </c>
      <c r="G458">
        <v>1</v>
      </c>
      <c r="H458">
        <v>2</v>
      </c>
      <c r="I458" t="s">
        <v>1222</v>
      </c>
      <c r="J458" t="s">
        <v>1223</v>
      </c>
      <c r="K458" t="s">
        <v>1224</v>
      </c>
      <c r="L458">
        <v>1368</v>
      </c>
      <c r="N458">
        <v>1011</v>
      </c>
      <c r="O458" t="s">
        <v>1154</v>
      </c>
      <c r="P458" t="s">
        <v>1154</v>
      </c>
      <c r="Q458">
        <v>1</v>
      </c>
      <c r="W458">
        <v>0</v>
      </c>
      <c r="X458">
        <v>-353815937</v>
      </c>
      <c r="Y458">
        <v>0.13</v>
      </c>
      <c r="AA458">
        <v>0</v>
      </c>
      <c r="AB458">
        <v>57.75</v>
      </c>
      <c r="AC458">
        <v>0</v>
      </c>
      <c r="AD458">
        <v>0</v>
      </c>
      <c r="AE458">
        <v>0</v>
      </c>
      <c r="AF458">
        <v>8.1</v>
      </c>
      <c r="AG458">
        <v>0</v>
      </c>
      <c r="AH458">
        <v>0</v>
      </c>
      <c r="AI458">
        <v>1</v>
      </c>
      <c r="AJ458">
        <v>7.13</v>
      </c>
      <c r="AK458">
        <v>1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6</v>
      </c>
      <c r="AT458">
        <v>0.13</v>
      </c>
      <c r="AU458" t="s">
        <v>6</v>
      </c>
      <c r="AV458">
        <v>0</v>
      </c>
      <c r="AW458">
        <v>2</v>
      </c>
      <c r="AX458">
        <v>16632179</v>
      </c>
      <c r="AY458">
        <v>1</v>
      </c>
      <c r="AZ458">
        <v>0</v>
      </c>
      <c r="BA458">
        <v>447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Y458*Source!I199</f>
        <v>2.34</v>
      </c>
      <c r="CY458">
        <f>AB458</f>
        <v>57.75</v>
      </c>
      <c r="CZ458">
        <f>AF458</f>
        <v>8.1</v>
      </c>
      <c r="DA458">
        <f>AJ458</f>
        <v>7.13</v>
      </c>
      <c r="DB458">
        <f t="shared" si="65"/>
        <v>1.05</v>
      </c>
      <c r="DC458">
        <f t="shared" si="66"/>
        <v>0</v>
      </c>
    </row>
    <row r="459" spans="1:107" x14ac:dyDescent="0.2">
      <c r="A459">
        <f>ROW(Source!A199)</f>
        <v>199</v>
      </c>
      <c r="B459">
        <v>16630606</v>
      </c>
      <c r="C459">
        <v>16632160</v>
      </c>
      <c r="D459">
        <v>15165537</v>
      </c>
      <c r="E459">
        <v>1</v>
      </c>
      <c r="F459">
        <v>1</v>
      </c>
      <c r="G459">
        <v>1</v>
      </c>
      <c r="H459">
        <v>3</v>
      </c>
      <c r="I459" t="s">
        <v>1434</v>
      </c>
      <c r="J459" t="s">
        <v>1435</v>
      </c>
      <c r="K459" t="s">
        <v>1436</v>
      </c>
      <c r="L459">
        <v>1346</v>
      </c>
      <c r="N459">
        <v>1009</v>
      </c>
      <c r="O459" t="s">
        <v>102</v>
      </c>
      <c r="P459" t="s">
        <v>102</v>
      </c>
      <c r="Q459">
        <v>1</v>
      </c>
      <c r="W459">
        <v>0</v>
      </c>
      <c r="X459">
        <v>618806536</v>
      </c>
      <c r="Y459">
        <v>6.0000000000000001E-3</v>
      </c>
      <c r="AA459">
        <v>320.64</v>
      </c>
      <c r="AB459">
        <v>0</v>
      </c>
      <c r="AC459">
        <v>0</v>
      </c>
      <c r="AD459">
        <v>0</v>
      </c>
      <c r="AE459">
        <v>44.97</v>
      </c>
      <c r="AF459">
        <v>0</v>
      </c>
      <c r="AG459">
        <v>0</v>
      </c>
      <c r="AH459">
        <v>0</v>
      </c>
      <c r="AI459">
        <v>7.13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0</v>
      </c>
      <c r="AQ459">
        <v>0</v>
      </c>
      <c r="AR459">
        <v>0</v>
      </c>
      <c r="AS459" t="s">
        <v>6</v>
      </c>
      <c r="AT459">
        <v>6.0000000000000001E-3</v>
      </c>
      <c r="AU459" t="s">
        <v>6</v>
      </c>
      <c r="AV459">
        <v>0</v>
      </c>
      <c r="AW459">
        <v>2</v>
      </c>
      <c r="AX459">
        <v>16632180</v>
      </c>
      <c r="AY459">
        <v>1</v>
      </c>
      <c r="AZ459">
        <v>0</v>
      </c>
      <c r="BA459">
        <v>448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Y459*Source!I199</f>
        <v>0.108</v>
      </c>
      <c r="CY459">
        <f t="shared" ref="CY459:CY473" si="70">AA459</f>
        <v>320.64</v>
      </c>
      <c r="CZ459">
        <f t="shared" ref="CZ459:CZ473" si="71">AE459</f>
        <v>44.97</v>
      </c>
      <c r="DA459">
        <f t="shared" ref="DA459:DA473" si="72">AI459</f>
        <v>7.13</v>
      </c>
      <c r="DB459">
        <f t="shared" si="65"/>
        <v>0.27</v>
      </c>
      <c r="DC459">
        <f t="shared" si="66"/>
        <v>0</v>
      </c>
    </row>
    <row r="460" spans="1:107" x14ac:dyDescent="0.2">
      <c r="A460">
        <f>ROW(Source!A199)</f>
        <v>199</v>
      </c>
      <c r="B460">
        <v>16630606</v>
      </c>
      <c r="C460">
        <v>16632160</v>
      </c>
      <c r="D460">
        <v>15167269</v>
      </c>
      <c r="E460">
        <v>1</v>
      </c>
      <c r="F460">
        <v>1</v>
      </c>
      <c r="G460">
        <v>1</v>
      </c>
      <c r="H460">
        <v>3</v>
      </c>
      <c r="I460" t="s">
        <v>1437</v>
      </c>
      <c r="J460" t="s">
        <v>1438</v>
      </c>
      <c r="K460" t="s">
        <v>1439</v>
      </c>
      <c r="L460">
        <v>1346</v>
      </c>
      <c r="N460">
        <v>1009</v>
      </c>
      <c r="O460" t="s">
        <v>102</v>
      </c>
      <c r="P460" t="s">
        <v>102</v>
      </c>
      <c r="Q460">
        <v>1</v>
      </c>
      <c r="W460">
        <v>0</v>
      </c>
      <c r="X460">
        <v>56922527</v>
      </c>
      <c r="Y460">
        <v>1E-3</v>
      </c>
      <c r="AA460">
        <v>82</v>
      </c>
      <c r="AB460">
        <v>0</v>
      </c>
      <c r="AC460">
        <v>0</v>
      </c>
      <c r="AD460">
        <v>0</v>
      </c>
      <c r="AE460">
        <v>11.5</v>
      </c>
      <c r="AF460">
        <v>0</v>
      </c>
      <c r="AG460">
        <v>0</v>
      </c>
      <c r="AH460">
        <v>0</v>
      </c>
      <c r="AI460">
        <v>7.13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0</v>
      </c>
      <c r="AQ460">
        <v>0</v>
      </c>
      <c r="AR460">
        <v>0</v>
      </c>
      <c r="AS460" t="s">
        <v>6</v>
      </c>
      <c r="AT460">
        <v>1E-3</v>
      </c>
      <c r="AU460" t="s">
        <v>6</v>
      </c>
      <c r="AV460">
        <v>0</v>
      </c>
      <c r="AW460">
        <v>2</v>
      </c>
      <c r="AX460">
        <v>16632181</v>
      </c>
      <c r="AY460">
        <v>1</v>
      </c>
      <c r="AZ460">
        <v>0</v>
      </c>
      <c r="BA460">
        <v>449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Y460*Source!I199</f>
        <v>1.8000000000000002E-2</v>
      </c>
      <c r="CY460">
        <f t="shared" si="70"/>
        <v>82</v>
      </c>
      <c r="CZ460">
        <f t="shared" si="71"/>
        <v>11.5</v>
      </c>
      <c r="DA460">
        <f t="shared" si="72"/>
        <v>7.13</v>
      </c>
      <c r="DB460">
        <f t="shared" si="65"/>
        <v>0.01</v>
      </c>
      <c r="DC460">
        <f t="shared" si="66"/>
        <v>0</v>
      </c>
    </row>
    <row r="461" spans="1:107" x14ac:dyDescent="0.2">
      <c r="A461">
        <f>ROW(Source!A199)</f>
        <v>199</v>
      </c>
      <c r="B461">
        <v>16630606</v>
      </c>
      <c r="C461">
        <v>16632160</v>
      </c>
      <c r="D461">
        <v>15167588</v>
      </c>
      <c r="E461">
        <v>1</v>
      </c>
      <c r="F461">
        <v>1</v>
      </c>
      <c r="G461">
        <v>1</v>
      </c>
      <c r="H461">
        <v>3</v>
      </c>
      <c r="I461" t="s">
        <v>1422</v>
      </c>
      <c r="J461" t="s">
        <v>1423</v>
      </c>
      <c r="K461" t="s">
        <v>1424</v>
      </c>
      <c r="L461">
        <v>1346</v>
      </c>
      <c r="N461">
        <v>1009</v>
      </c>
      <c r="O461" t="s">
        <v>102</v>
      </c>
      <c r="P461" t="s">
        <v>102</v>
      </c>
      <c r="Q461">
        <v>1</v>
      </c>
      <c r="W461">
        <v>0</v>
      </c>
      <c r="X461">
        <v>-1088866022</v>
      </c>
      <c r="Y461">
        <v>1.2E-2</v>
      </c>
      <c r="AA461">
        <v>216.75</v>
      </c>
      <c r="AB461">
        <v>0</v>
      </c>
      <c r="AC461">
        <v>0</v>
      </c>
      <c r="AD461">
        <v>0</v>
      </c>
      <c r="AE461">
        <v>30.4</v>
      </c>
      <c r="AF461">
        <v>0</v>
      </c>
      <c r="AG461">
        <v>0</v>
      </c>
      <c r="AH461">
        <v>0</v>
      </c>
      <c r="AI461">
        <v>7.13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0</v>
      </c>
      <c r="AQ461">
        <v>0</v>
      </c>
      <c r="AR461">
        <v>0</v>
      </c>
      <c r="AS461" t="s">
        <v>6</v>
      </c>
      <c r="AT461">
        <v>1.2E-2</v>
      </c>
      <c r="AU461" t="s">
        <v>6</v>
      </c>
      <c r="AV461">
        <v>0</v>
      </c>
      <c r="AW461">
        <v>2</v>
      </c>
      <c r="AX461">
        <v>16632182</v>
      </c>
      <c r="AY461">
        <v>1</v>
      </c>
      <c r="AZ461">
        <v>0</v>
      </c>
      <c r="BA461">
        <v>450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Y461*Source!I199</f>
        <v>0.216</v>
      </c>
      <c r="CY461">
        <f t="shared" si="70"/>
        <v>216.75</v>
      </c>
      <c r="CZ461">
        <f t="shared" si="71"/>
        <v>30.4</v>
      </c>
      <c r="DA461">
        <f t="shared" si="72"/>
        <v>7.13</v>
      </c>
      <c r="DB461">
        <f t="shared" si="65"/>
        <v>0.36</v>
      </c>
      <c r="DC461">
        <f t="shared" si="66"/>
        <v>0</v>
      </c>
    </row>
    <row r="462" spans="1:107" x14ac:dyDescent="0.2">
      <c r="A462">
        <f>ROW(Source!A199)</f>
        <v>199</v>
      </c>
      <c r="B462">
        <v>16630606</v>
      </c>
      <c r="C462">
        <v>16632160</v>
      </c>
      <c r="D462">
        <v>15168752</v>
      </c>
      <c r="E462">
        <v>1</v>
      </c>
      <c r="F462">
        <v>1</v>
      </c>
      <c r="G462">
        <v>1</v>
      </c>
      <c r="H462">
        <v>3</v>
      </c>
      <c r="I462" t="s">
        <v>1440</v>
      </c>
      <c r="J462" t="s">
        <v>1441</v>
      </c>
      <c r="K462" t="s">
        <v>1442</v>
      </c>
      <c r="L462">
        <v>1346</v>
      </c>
      <c r="N462">
        <v>1009</v>
      </c>
      <c r="O462" t="s">
        <v>102</v>
      </c>
      <c r="P462" t="s">
        <v>102</v>
      </c>
      <c r="Q462">
        <v>1</v>
      </c>
      <c r="W462">
        <v>0</v>
      </c>
      <c r="X462">
        <v>586013393</v>
      </c>
      <c r="Y462">
        <v>7.0000000000000007E-2</v>
      </c>
      <c r="AA462">
        <v>75.36</v>
      </c>
      <c r="AB462">
        <v>0</v>
      </c>
      <c r="AC462">
        <v>0</v>
      </c>
      <c r="AD462">
        <v>0</v>
      </c>
      <c r="AE462">
        <v>10.57</v>
      </c>
      <c r="AF462">
        <v>0</v>
      </c>
      <c r="AG462">
        <v>0</v>
      </c>
      <c r="AH462">
        <v>0</v>
      </c>
      <c r="AI462">
        <v>7.13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6</v>
      </c>
      <c r="AT462">
        <v>7.0000000000000007E-2</v>
      </c>
      <c r="AU462" t="s">
        <v>6</v>
      </c>
      <c r="AV462">
        <v>0</v>
      </c>
      <c r="AW462">
        <v>2</v>
      </c>
      <c r="AX462">
        <v>16632183</v>
      </c>
      <c r="AY462">
        <v>1</v>
      </c>
      <c r="AZ462">
        <v>0</v>
      </c>
      <c r="BA462">
        <v>451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Y462*Source!I199</f>
        <v>1.2600000000000002</v>
      </c>
      <c r="CY462">
        <f t="shared" si="70"/>
        <v>75.36</v>
      </c>
      <c r="CZ462">
        <f t="shared" si="71"/>
        <v>10.57</v>
      </c>
      <c r="DA462">
        <f t="shared" si="72"/>
        <v>7.13</v>
      </c>
      <c r="DB462">
        <f t="shared" ref="DB462:DB493" si="73">ROUND(ROUND(AT462*CZ462,2),2)</f>
        <v>0.74</v>
      </c>
      <c r="DC462">
        <f t="shared" ref="DC462:DC493" si="74">ROUND(ROUND(AT462*AG462,2),2)</f>
        <v>0</v>
      </c>
    </row>
    <row r="463" spans="1:107" x14ac:dyDescent="0.2">
      <c r="A463">
        <f>ROW(Source!A199)</f>
        <v>199</v>
      </c>
      <c r="B463">
        <v>16630606</v>
      </c>
      <c r="C463">
        <v>16632160</v>
      </c>
      <c r="D463">
        <v>15169942</v>
      </c>
      <c r="E463">
        <v>1</v>
      </c>
      <c r="F463">
        <v>1</v>
      </c>
      <c r="G463">
        <v>1</v>
      </c>
      <c r="H463">
        <v>3</v>
      </c>
      <c r="I463" t="s">
        <v>1425</v>
      </c>
      <c r="J463" t="s">
        <v>1426</v>
      </c>
      <c r="K463" t="s">
        <v>1427</v>
      </c>
      <c r="L463">
        <v>1346</v>
      </c>
      <c r="N463">
        <v>1009</v>
      </c>
      <c r="O463" t="s">
        <v>102</v>
      </c>
      <c r="P463" t="s">
        <v>102</v>
      </c>
      <c r="Q463">
        <v>1</v>
      </c>
      <c r="W463">
        <v>0</v>
      </c>
      <c r="X463">
        <v>103900845</v>
      </c>
      <c r="Y463">
        <v>4.9000000000000002E-2</v>
      </c>
      <c r="AA463">
        <v>64.459999999999994</v>
      </c>
      <c r="AB463">
        <v>0</v>
      </c>
      <c r="AC463">
        <v>0</v>
      </c>
      <c r="AD463">
        <v>0</v>
      </c>
      <c r="AE463">
        <v>9.0399999999999991</v>
      </c>
      <c r="AF463">
        <v>0</v>
      </c>
      <c r="AG463">
        <v>0</v>
      </c>
      <c r="AH463">
        <v>0</v>
      </c>
      <c r="AI463">
        <v>7.13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0</v>
      </c>
      <c r="AQ463">
        <v>0</v>
      </c>
      <c r="AR463">
        <v>0</v>
      </c>
      <c r="AS463" t="s">
        <v>6</v>
      </c>
      <c r="AT463">
        <v>4.9000000000000002E-2</v>
      </c>
      <c r="AU463" t="s">
        <v>6</v>
      </c>
      <c r="AV463">
        <v>0</v>
      </c>
      <c r="AW463">
        <v>2</v>
      </c>
      <c r="AX463">
        <v>16632184</v>
      </c>
      <c r="AY463">
        <v>1</v>
      </c>
      <c r="AZ463">
        <v>0</v>
      </c>
      <c r="BA463">
        <v>452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Y463*Source!I199</f>
        <v>0.88200000000000001</v>
      </c>
      <c r="CY463">
        <f t="shared" si="70"/>
        <v>64.459999999999994</v>
      </c>
      <c r="CZ463">
        <f t="shared" si="71"/>
        <v>9.0399999999999991</v>
      </c>
      <c r="DA463">
        <f t="shared" si="72"/>
        <v>7.13</v>
      </c>
      <c r="DB463">
        <f t="shared" si="73"/>
        <v>0.44</v>
      </c>
      <c r="DC463">
        <f t="shared" si="74"/>
        <v>0</v>
      </c>
    </row>
    <row r="464" spans="1:107" x14ac:dyDescent="0.2">
      <c r="A464">
        <f>ROW(Source!A199)</f>
        <v>199</v>
      </c>
      <c r="B464">
        <v>16630606</v>
      </c>
      <c r="C464">
        <v>16632160</v>
      </c>
      <c r="D464">
        <v>15170074</v>
      </c>
      <c r="E464">
        <v>1</v>
      </c>
      <c r="F464">
        <v>1</v>
      </c>
      <c r="G464">
        <v>1</v>
      </c>
      <c r="H464">
        <v>3</v>
      </c>
      <c r="I464" t="s">
        <v>1443</v>
      </c>
      <c r="J464" t="s">
        <v>1444</v>
      </c>
      <c r="K464" t="s">
        <v>1445</v>
      </c>
      <c r="L464">
        <v>1355</v>
      </c>
      <c r="N464">
        <v>1010</v>
      </c>
      <c r="O464" t="s">
        <v>243</v>
      </c>
      <c r="P464" t="s">
        <v>243</v>
      </c>
      <c r="Q464">
        <v>100</v>
      </c>
      <c r="W464">
        <v>0</v>
      </c>
      <c r="X464">
        <v>1794244060</v>
      </c>
      <c r="Y464">
        <v>1.4E-2</v>
      </c>
      <c r="AA464">
        <v>613.17999999999995</v>
      </c>
      <c r="AB464">
        <v>0</v>
      </c>
      <c r="AC464">
        <v>0</v>
      </c>
      <c r="AD464">
        <v>0</v>
      </c>
      <c r="AE464">
        <v>86</v>
      </c>
      <c r="AF464">
        <v>0</v>
      </c>
      <c r="AG464">
        <v>0</v>
      </c>
      <c r="AH464">
        <v>0</v>
      </c>
      <c r="AI464">
        <v>7.13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0</v>
      </c>
      <c r="AQ464">
        <v>0</v>
      </c>
      <c r="AR464">
        <v>0</v>
      </c>
      <c r="AS464" t="s">
        <v>6</v>
      </c>
      <c r="AT464">
        <v>1.4E-2</v>
      </c>
      <c r="AU464" t="s">
        <v>6</v>
      </c>
      <c r="AV464">
        <v>0</v>
      </c>
      <c r="AW464">
        <v>2</v>
      </c>
      <c r="AX464">
        <v>16632185</v>
      </c>
      <c r="AY464">
        <v>1</v>
      </c>
      <c r="AZ464">
        <v>0</v>
      </c>
      <c r="BA464">
        <v>453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Y464*Source!I199</f>
        <v>0.252</v>
      </c>
      <c r="CY464">
        <f t="shared" si="70"/>
        <v>613.17999999999995</v>
      </c>
      <c r="CZ464">
        <f t="shared" si="71"/>
        <v>86</v>
      </c>
      <c r="DA464">
        <f t="shared" si="72"/>
        <v>7.13</v>
      </c>
      <c r="DB464">
        <f t="shared" si="73"/>
        <v>1.2</v>
      </c>
      <c r="DC464">
        <f t="shared" si="74"/>
        <v>0</v>
      </c>
    </row>
    <row r="465" spans="1:107" x14ac:dyDescent="0.2">
      <c r="A465">
        <f>ROW(Source!A199)</f>
        <v>199</v>
      </c>
      <c r="B465">
        <v>16630606</v>
      </c>
      <c r="C465">
        <v>16632160</v>
      </c>
      <c r="D465">
        <v>15170994</v>
      </c>
      <c r="E465">
        <v>1</v>
      </c>
      <c r="F465">
        <v>1</v>
      </c>
      <c r="G465">
        <v>1</v>
      </c>
      <c r="H465">
        <v>3</v>
      </c>
      <c r="I465" t="s">
        <v>1446</v>
      </c>
      <c r="J465" t="s">
        <v>1447</v>
      </c>
      <c r="K465" t="s">
        <v>1448</v>
      </c>
      <c r="L465">
        <v>1346</v>
      </c>
      <c r="N465">
        <v>1009</v>
      </c>
      <c r="O465" t="s">
        <v>102</v>
      </c>
      <c r="P465" t="s">
        <v>102</v>
      </c>
      <c r="Q465">
        <v>1</v>
      </c>
      <c r="W465">
        <v>0</v>
      </c>
      <c r="X465">
        <v>-856710481</v>
      </c>
      <c r="Y465">
        <v>1E-3</v>
      </c>
      <c r="AA465">
        <v>948.65</v>
      </c>
      <c r="AB465">
        <v>0</v>
      </c>
      <c r="AC465">
        <v>0</v>
      </c>
      <c r="AD465">
        <v>0</v>
      </c>
      <c r="AE465">
        <v>133.05000000000001</v>
      </c>
      <c r="AF465">
        <v>0</v>
      </c>
      <c r="AG465">
        <v>0</v>
      </c>
      <c r="AH465">
        <v>0</v>
      </c>
      <c r="AI465">
        <v>7.13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0</v>
      </c>
      <c r="AQ465">
        <v>0</v>
      </c>
      <c r="AR465">
        <v>0</v>
      </c>
      <c r="AS465" t="s">
        <v>6</v>
      </c>
      <c r="AT465">
        <v>1E-3</v>
      </c>
      <c r="AU465" t="s">
        <v>6</v>
      </c>
      <c r="AV465">
        <v>0</v>
      </c>
      <c r="AW465">
        <v>2</v>
      </c>
      <c r="AX465">
        <v>16632186</v>
      </c>
      <c r="AY465">
        <v>1</v>
      </c>
      <c r="AZ465">
        <v>0</v>
      </c>
      <c r="BA465">
        <v>454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Y465*Source!I199</f>
        <v>1.8000000000000002E-2</v>
      </c>
      <c r="CY465">
        <f t="shared" si="70"/>
        <v>948.65</v>
      </c>
      <c r="CZ465">
        <f t="shared" si="71"/>
        <v>133.05000000000001</v>
      </c>
      <c r="DA465">
        <f t="shared" si="72"/>
        <v>7.13</v>
      </c>
      <c r="DB465">
        <f t="shared" si="73"/>
        <v>0.13</v>
      </c>
      <c r="DC465">
        <f t="shared" si="74"/>
        <v>0</v>
      </c>
    </row>
    <row r="466" spans="1:107" x14ac:dyDescent="0.2">
      <c r="A466">
        <f>ROW(Source!A199)</f>
        <v>199</v>
      </c>
      <c r="B466">
        <v>16630606</v>
      </c>
      <c r="C466">
        <v>16632160</v>
      </c>
      <c r="D466">
        <v>15188647</v>
      </c>
      <c r="E466">
        <v>1</v>
      </c>
      <c r="F466">
        <v>1</v>
      </c>
      <c r="G466">
        <v>1</v>
      </c>
      <c r="H466">
        <v>3</v>
      </c>
      <c r="I466" t="s">
        <v>1449</v>
      </c>
      <c r="J466" t="s">
        <v>1450</v>
      </c>
      <c r="K466" t="s">
        <v>1451</v>
      </c>
      <c r="L466">
        <v>1348</v>
      </c>
      <c r="N466">
        <v>1009</v>
      </c>
      <c r="O466" t="s">
        <v>98</v>
      </c>
      <c r="P466" t="s">
        <v>98</v>
      </c>
      <c r="Q466">
        <v>1000</v>
      </c>
      <c r="W466">
        <v>0</v>
      </c>
      <c r="X466">
        <v>426000481</v>
      </c>
      <c r="Y466">
        <v>1E-3</v>
      </c>
      <c r="AA466">
        <v>81995</v>
      </c>
      <c r="AB466">
        <v>0</v>
      </c>
      <c r="AC466">
        <v>0</v>
      </c>
      <c r="AD466">
        <v>0</v>
      </c>
      <c r="AE466">
        <v>11500</v>
      </c>
      <c r="AF466">
        <v>0</v>
      </c>
      <c r="AG466">
        <v>0</v>
      </c>
      <c r="AH466">
        <v>0</v>
      </c>
      <c r="AI466">
        <v>7.13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6</v>
      </c>
      <c r="AT466">
        <v>1E-3</v>
      </c>
      <c r="AU466" t="s">
        <v>6</v>
      </c>
      <c r="AV466">
        <v>0</v>
      </c>
      <c r="AW466">
        <v>2</v>
      </c>
      <c r="AX466">
        <v>16632187</v>
      </c>
      <c r="AY466">
        <v>1</v>
      </c>
      <c r="AZ466">
        <v>0</v>
      </c>
      <c r="BA466">
        <v>455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Y466*Source!I199</f>
        <v>1.8000000000000002E-2</v>
      </c>
      <c r="CY466">
        <f t="shared" si="70"/>
        <v>81995</v>
      </c>
      <c r="CZ466">
        <f t="shared" si="71"/>
        <v>11500</v>
      </c>
      <c r="DA466">
        <f t="shared" si="72"/>
        <v>7.13</v>
      </c>
      <c r="DB466">
        <f t="shared" si="73"/>
        <v>11.5</v>
      </c>
      <c r="DC466">
        <f t="shared" si="74"/>
        <v>0</v>
      </c>
    </row>
    <row r="467" spans="1:107" x14ac:dyDescent="0.2">
      <c r="A467">
        <f>ROW(Source!A199)</f>
        <v>199</v>
      </c>
      <c r="B467">
        <v>16630606</v>
      </c>
      <c r="C467">
        <v>16632160</v>
      </c>
      <c r="D467">
        <v>15203834</v>
      </c>
      <c r="E467">
        <v>1</v>
      </c>
      <c r="F467">
        <v>1</v>
      </c>
      <c r="G467">
        <v>1</v>
      </c>
      <c r="H467">
        <v>3</v>
      </c>
      <c r="I467" t="s">
        <v>1452</v>
      </c>
      <c r="J467" t="s">
        <v>1453</v>
      </c>
      <c r="K467" t="s">
        <v>1454</v>
      </c>
      <c r="L467">
        <v>1346</v>
      </c>
      <c r="N467">
        <v>1009</v>
      </c>
      <c r="O467" t="s">
        <v>102</v>
      </c>
      <c r="P467" t="s">
        <v>102</v>
      </c>
      <c r="Q467">
        <v>1</v>
      </c>
      <c r="W467">
        <v>0</v>
      </c>
      <c r="X467">
        <v>210558753</v>
      </c>
      <c r="Y467">
        <v>3.5999999999999997E-2</v>
      </c>
      <c r="AA467">
        <v>203.92</v>
      </c>
      <c r="AB467">
        <v>0</v>
      </c>
      <c r="AC467">
        <v>0</v>
      </c>
      <c r="AD467">
        <v>0</v>
      </c>
      <c r="AE467">
        <v>28.6</v>
      </c>
      <c r="AF467">
        <v>0</v>
      </c>
      <c r="AG467">
        <v>0</v>
      </c>
      <c r="AH467">
        <v>0</v>
      </c>
      <c r="AI467">
        <v>7.13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6</v>
      </c>
      <c r="AT467">
        <v>3.5999999999999997E-2</v>
      </c>
      <c r="AU467" t="s">
        <v>6</v>
      </c>
      <c r="AV467">
        <v>0</v>
      </c>
      <c r="AW467">
        <v>2</v>
      </c>
      <c r="AX467">
        <v>16632188</v>
      </c>
      <c r="AY467">
        <v>1</v>
      </c>
      <c r="AZ467">
        <v>0</v>
      </c>
      <c r="BA467">
        <v>456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Y467*Source!I199</f>
        <v>0.64799999999999991</v>
      </c>
      <c r="CY467">
        <f t="shared" si="70"/>
        <v>203.92</v>
      </c>
      <c r="CZ467">
        <f t="shared" si="71"/>
        <v>28.6</v>
      </c>
      <c r="DA467">
        <f t="shared" si="72"/>
        <v>7.13</v>
      </c>
      <c r="DB467">
        <f t="shared" si="73"/>
        <v>1.03</v>
      </c>
      <c r="DC467">
        <f t="shared" si="74"/>
        <v>0</v>
      </c>
    </row>
    <row r="468" spans="1:107" x14ac:dyDescent="0.2">
      <c r="A468">
        <f>ROW(Source!A199)</f>
        <v>199</v>
      </c>
      <c r="B468">
        <v>16630606</v>
      </c>
      <c r="C468">
        <v>16632160</v>
      </c>
      <c r="D468">
        <v>15203987</v>
      </c>
      <c r="E468">
        <v>1</v>
      </c>
      <c r="F468">
        <v>1</v>
      </c>
      <c r="G468">
        <v>1</v>
      </c>
      <c r="H468">
        <v>3</v>
      </c>
      <c r="I468" t="s">
        <v>1455</v>
      </c>
      <c r="J468" t="s">
        <v>1456</v>
      </c>
      <c r="K468" t="s">
        <v>1457</v>
      </c>
      <c r="L468">
        <v>1346</v>
      </c>
      <c r="N468">
        <v>1009</v>
      </c>
      <c r="O468" t="s">
        <v>102</v>
      </c>
      <c r="P468" t="s">
        <v>102</v>
      </c>
      <c r="Q468">
        <v>1</v>
      </c>
      <c r="W468">
        <v>0</v>
      </c>
      <c r="X468">
        <v>-1274984028</v>
      </c>
      <c r="Y468">
        <v>6.0000000000000001E-3</v>
      </c>
      <c r="AA468">
        <v>254.04</v>
      </c>
      <c r="AB468">
        <v>0</v>
      </c>
      <c r="AC468">
        <v>0</v>
      </c>
      <c r="AD468">
        <v>0</v>
      </c>
      <c r="AE468">
        <v>35.630000000000003</v>
      </c>
      <c r="AF468">
        <v>0</v>
      </c>
      <c r="AG468">
        <v>0</v>
      </c>
      <c r="AH468">
        <v>0</v>
      </c>
      <c r="AI468">
        <v>7.13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6</v>
      </c>
      <c r="AT468">
        <v>6.0000000000000001E-3</v>
      </c>
      <c r="AU468" t="s">
        <v>6</v>
      </c>
      <c r="AV468">
        <v>0</v>
      </c>
      <c r="AW468">
        <v>2</v>
      </c>
      <c r="AX468">
        <v>16632189</v>
      </c>
      <c r="AY468">
        <v>1</v>
      </c>
      <c r="AZ468">
        <v>0</v>
      </c>
      <c r="BA468">
        <v>457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Y468*Source!I199</f>
        <v>0.108</v>
      </c>
      <c r="CY468">
        <f t="shared" si="70"/>
        <v>254.04</v>
      </c>
      <c r="CZ468">
        <f t="shared" si="71"/>
        <v>35.630000000000003</v>
      </c>
      <c r="DA468">
        <f t="shared" si="72"/>
        <v>7.13</v>
      </c>
      <c r="DB468">
        <f t="shared" si="73"/>
        <v>0.21</v>
      </c>
      <c r="DC468">
        <f t="shared" si="74"/>
        <v>0</v>
      </c>
    </row>
    <row r="469" spans="1:107" x14ac:dyDescent="0.2">
      <c r="A469">
        <f>ROW(Source!A199)</f>
        <v>199</v>
      </c>
      <c r="B469">
        <v>16630606</v>
      </c>
      <c r="C469">
        <v>16632160</v>
      </c>
      <c r="D469">
        <v>15217463</v>
      </c>
      <c r="E469">
        <v>1</v>
      </c>
      <c r="F469">
        <v>1</v>
      </c>
      <c r="G469">
        <v>1</v>
      </c>
      <c r="H469">
        <v>3</v>
      </c>
      <c r="I469" t="s">
        <v>1458</v>
      </c>
      <c r="J469" t="s">
        <v>1459</v>
      </c>
      <c r="K469" t="s">
        <v>1460</v>
      </c>
      <c r="L469">
        <v>1358</v>
      </c>
      <c r="N469">
        <v>1010</v>
      </c>
      <c r="O469" t="s">
        <v>616</v>
      </c>
      <c r="P469" t="s">
        <v>616</v>
      </c>
      <c r="Q469">
        <v>10</v>
      </c>
      <c r="W469">
        <v>0</v>
      </c>
      <c r="X469">
        <v>1386890308</v>
      </c>
      <c r="Y469">
        <v>0.1</v>
      </c>
      <c r="AA469">
        <v>278.07</v>
      </c>
      <c r="AB469">
        <v>0</v>
      </c>
      <c r="AC469">
        <v>0</v>
      </c>
      <c r="AD469">
        <v>0</v>
      </c>
      <c r="AE469">
        <v>39</v>
      </c>
      <c r="AF469">
        <v>0</v>
      </c>
      <c r="AG469">
        <v>0</v>
      </c>
      <c r="AH469">
        <v>0</v>
      </c>
      <c r="AI469">
        <v>7.13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6</v>
      </c>
      <c r="AT469">
        <v>0.1</v>
      </c>
      <c r="AU469" t="s">
        <v>6</v>
      </c>
      <c r="AV469">
        <v>0</v>
      </c>
      <c r="AW469">
        <v>2</v>
      </c>
      <c r="AX469">
        <v>16632190</v>
      </c>
      <c r="AY469">
        <v>1</v>
      </c>
      <c r="AZ469">
        <v>0</v>
      </c>
      <c r="BA469">
        <v>458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Y469*Source!I199</f>
        <v>1.8</v>
      </c>
      <c r="CY469">
        <f t="shared" si="70"/>
        <v>278.07</v>
      </c>
      <c r="CZ469">
        <f t="shared" si="71"/>
        <v>39</v>
      </c>
      <c r="DA469">
        <f t="shared" si="72"/>
        <v>7.13</v>
      </c>
      <c r="DB469">
        <f t="shared" si="73"/>
        <v>3.9</v>
      </c>
      <c r="DC469">
        <f t="shared" si="74"/>
        <v>0</v>
      </c>
    </row>
    <row r="470" spans="1:107" x14ac:dyDescent="0.2">
      <c r="A470">
        <f>ROW(Source!A199)</f>
        <v>199</v>
      </c>
      <c r="B470">
        <v>16630606</v>
      </c>
      <c r="C470">
        <v>16632160</v>
      </c>
      <c r="D470">
        <v>15238775</v>
      </c>
      <c r="E470">
        <v>1</v>
      </c>
      <c r="F470">
        <v>1</v>
      </c>
      <c r="G470">
        <v>1</v>
      </c>
      <c r="H470">
        <v>3</v>
      </c>
      <c r="I470" t="s">
        <v>669</v>
      </c>
      <c r="J470" t="s">
        <v>671</v>
      </c>
      <c r="K470" t="s">
        <v>670</v>
      </c>
      <c r="L470">
        <v>1354</v>
      </c>
      <c r="N470">
        <v>1010</v>
      </c>
      <c r="O470" t="s">
        <v>132</v>
      </c>
      <c r="P470" t="s">
        <v>132</v>
      </c>
      <c r="Q470">
        <v>1</v>
      </c>
      <c r="W470">
        <v>0</v>
      </c>
      <c r="X470">
        <v>-1557122540</v>
      </c>
      <c r="Y470">
        <v>0.111111</v>
      </c>
      <c r="AA470">
        <v>1017.02</v>
      </c>
      <c r="AB470">
        <v>0</v>
      </c>
      <c r="AC470">
        <v>0</v>
      </c>
      <c r="AD470">
        <v>0</v>
      </c>
      <c r="AE470">
        <v>142.63999999999999</v>
      </c>
      <c r="AF470">
        <v>0</v>
      </c>
      <c r="AG470">
        <v>0</v>
      </c>
      <c r="AH470">
        <v>0</v>
      </c>
      <c r="AI470">
        <v>7.13</v>
      </c>
      <c r="AJ470">
        <v>1</v>
      </c>
      <c r="AK470">
        <v>1</v>
      </c>
      <c r="AL470">
        <v>1</v>
      </c>
      <c r="AN470">
        <v>0</v>
      </c>
      <c r="AO470">
        <v>0</v>
      </c>
      <c r="AP470">
        <v>0</v>
      </c>
      <c r="AQ470">
        <v>0</v>
      </c>
      <c r="AR470">
        <v>0</v>
      </c>
      <c r="AS470" t="s">
        <v>6</v>
      </c>
      <c r="AT470">
        <v>0.111111</v>
      </c>
      <c r="AU470" t="s">
        <v>6</v>
      </c>
      <c r="AV470">
        <v>0</v>
      </c>
      <c r="AW470">
        <v>1</v>
      </c>
      <c r="AX470">
        <v>-1</v>
      </c>
      <c r="AY470">
        <v>0</v>
      </c>
      <c r="AZ470">
        <v>0</v>
      </c>
      <c r="BA470" t="s">
        <v>6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Y470*Source!I199</f>
        <v>1.9999979999999999</v>
      </c>
      <c r="CY470">
        <f t="shared" si="70"/>
        <v>1017.02</v>
      </c>
      <c r="CZ470">
        <f t="shared" si="71"/>
        <v>142.63999999999999</v>
      </c>
      <c r="DA470">
        <f t="shared" si="72"/>
        <v>7.13</v>
      </c>
      <c r="DB470">
        <f t="shared" si="73"/>
        <v>15.85</v>
      </c>
      <c r="DC470">
        <f t="shared" si="74"/>
        <v>0</v>
      </c>
    </row>
    <row r="471" spans="1:107" x14ac:dyDescent="0.2">
      <c r="A471">
        <f>ROW(Source!A199)</f>
        <v>199</v>
      </c>
      <c r="B471">
        <v>16630606</v>
      </c>
      <c r="C471">
        <v>16632160</v>
      </c>
      <c r="D471">
        <v>15238946</v>
      </c>
      <c r="E471">
        <v>1</v>
      </c>
      <c r="F471">
        <v>1</v>
      </c>
      <c r="G471">
        <v>1</v>
      </c>
      <c r="H471">
        <v>3</v>
      </c>
      <c r="I471" t="s">
        <v>665</v>
      </c>
      <c r="J471" t="s">
        <v>667</v>
      </c>
      <c r="K471" t="s">
        <v>666</v>
      </c>
      <c r="L471">
        <v>1354</v>
      </c>
      <c r="N471">
        <v>1010</v>
      </c>
      <c r="O471" t="s">
        <v>132</v>
      </c>
      <c r="P471" t="s">
        <v>132</v>
      </c>
      <c r="Q471">
        <v>1</v>
      </c>
      <c r="W471">
        <v>0</v>
      </c>
      <c r="X471">
        <v>-400125341</v>
      </c>
      <c r="Y471">
        <v>0.111111</v>
      </c>
      <c r="AA471">
        <v>524.98</v>
      </c>
      <c r="AB471">
        <v>0</v>
      </c>
      <c r="AC471">
        <v>0</v>
      </c>
      <c r="AD471">
        <v>0</v>
      </c>
      <c r="AE471">
        <v>73.63</v>
      </c>
      <c r="AF471">
        <v>0</v>
      </c>
      <c r="AG471">
        <v>0</v>
      </c>
      <c r="AH471">
        <v>0</v>
      </c>
      <c r="AI471">
        <v>7.13</v>
      </c>
      <c r="AJ471">
        <v>1</v>
      </c>
      <c r="AK471">
        <v>1</v>
      </c>
      <c r="AL471">
        <v>1</v>
      </c>
      <c r="AN471">
        <v>0</v>
      </c>
      <c r="AO471">
        <v>0</v>
      </c>
      <c r="AP471">
        <v>0</v>
      </c>
      <c r="AQ471">
        <v>0</v>
      </c>
      <c r="AR471">
        <v>0</v>
      </c>
      <c r="AS471" t="s">
        <v>6</v>
      </c>
      <c r="AT471">
        <v>0.111111</v>
      </c>
      <c r="AU471" t="s">
        <v>6</v>
      </c>
      <c r="AV471">
        <v>0</v>
      </c>
      <c r="AW471">
        <v>1</v>
      </c>
      <c r="AX471">
        <v>-1</v>
      </c>
      <c r="AY471">
        <v>0</v>
      </c>
      <c r="AZ471">
        <v>0</v>
      </c>
      <c r="BA471" t="s">
        <v>6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Y471*Source!I199</f>
        <v>1.9999979999999999</v>
      </c>
      <c r="CY471">
        <f t="shared" si="70"/>
        <v>524.98</v>
      </c>
      <c r="CZ471">
        <f t="shared" si="71"/>
        <v>73.63</v>
      </c>
      <c r="DA471">
        <f t="shared" si="72"/>
        <v>7.13</v>
      </c>
      <c r="DB471">
        <f t="shared" si="73"/>
        <v>8.18</v>
      </c>
      <c r="DC471">
        <f t="shared" si="74"/>
        <v>0</v>
      </c>
    </row>
    <row r="472" spans="1:107" x14ac:dyDescent="0.2">
      <c r="A472">
        <f>ROW(Source!A199)</f>
        <v>199</v>
      </c>
      <c r="B472">
        <v>16630606</v>
      </c>
      <c r="C472">
        <v>16632160</v>
      </c>
      <c r="D472">
        <v>15238947</v>
      </c>
      <c r="E472">
        <v>1</v>
      </c>
      <c r="F472">
        <v>1</v>
      </c>
      <c r="G472">
        <v>1</v>
      </c>
      <c r="H472">
        <v>3</v>
      </c>
      <c r="I472" t="s">
        <v>661</v>
      </c>
      <c r="J472" t="s">
        <v>663</v>
      </c>
      <c r="K472" t="s">
        <v>662</v>
      </c>
      <c r="L472">
        <v>1354</v>
      </c>
      <c r="N472">
        <v>1010</v>
      </c>
      <c r="O472" t="s">
        <v>132</v>
      </c>
      <c r="P472" t="s">
        <v>132</v>
      </c>
      <c r="Q472">
        <v>1</v>
      </c>
      <c r="W472">
        <v>0</v>
      </c>
      <c r="X472">
        <v>1922285457</v>
      </c>
      <c r="Y472">
        <v>0.77777799999999997</v>
      </c>
      <c r="AA472">
        <v>474</v>
      </c>
      <c r="AB472">
        <v>0</v>
      </c>
      <c r="AC472">
        <v>0</v>
      </c>
      <c r="AD472">
        <v>0</v>
      </c>
      <c r="AE472">
        <v>66.48</v>
      </c>
      <c r="AF472">
        <v>0</v>
      </c>
      <c r="AG472">
        <v>0</v>
      </c>
      <c r="AH472">
        <v>0</v>
      </c>
      <c r="AI472">
        <v>7.13</v>
      </c>
      <c r="AJ472">
        <v>1</v>
      </c>
      <c r="AK472">
        <v>1</v>
      </c>
      <c r="AL472">
        <v>1</v>
      </c>
      <c r="AN472">
        <v>0</v>
      </c>
      <c r="AO472">
        <v>0</v>
      </c>
      <c r="AP472">
        <v>0</v>
      </c>
      <c r="AQ472">
        <v>0</v>
      </c>
      <c r="AR472">
        <v>0</v>
      </c>
      <c r="AS472" t="s">
        <v>6</v>
      </c>
      <c r="AT472">
        <v>0.77777799999999997</v>
      </c>
      <c r="AU472" t="s">
        <v>6</v>
      </c>
      <c r="AV472">
        <v>0</v>
      </c>
      <c r="AW472">
        <v>1</v>
      </c>
      <c r="AX472">
        <v>-1</v>
      </c>
      <c r="AY472">
        <v>0</v>
      </c>
      <c r="AZ472">
        <v>0</v>
      </c>
      <c r="BA472" t="s">
        <v>6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Y472*Source!I199</f>
        <v>14.000003999999999</v>
      </c>
      <c r="CY472">
        <f t="shared" si="70"/>
        <v>474</v>
      </c>
      <c r="CZ472">
        <f t="shared" si="71"/>
        <v>66.48</v>
      </c>
      <c r="DA472">
        <f t="shared" si="72"/>
        <v>7.13</v>
      </c>
      <c r="DB472">
        <f t="shared" si="73"/>
        <v>51.71</v>
      </c>
      <c r="DC472">
        <f t="shared" si="74"/>
        <v>0</v>
      </c>
    </row>
    <row r="473" spans="1:107" x14ac:dyDescent="0.2">
      <c r="A473">
        <f>ROW(Source!A199)</f>
        <v>199</v>
      </c>
      <c r="B473">
        <v>16630606</v>
      </c>
      <c r="C473">
        <v>16632160</v>
      </c>
      <c r="D473">
        <v>15164559</v>
      </c>
      <c r="E473">
        <v>17</v>
      </c>
      <c r="F473">
        <v>1</v>
      </c>
      <c r="G473">
        <v>1</v>
      </c>
      <c r="H473">
        <v>3</v>
      </c>
      <c r="I473" t="s">
        <v>1431</v>
      </c>
      <c r="J473" t="s">
        <v>6</v>
      </c>
      <c r="K473" t="s">
        <v>1432</v>
      </c>
      <c r="L473">
        <v>1374</v>
      </c>
      <c r="N473">
        <v>1013</v>
      </c>
      <c r="O473" t="s">
        <v>1433</v>
      </c>
      <c r="P473" t="s">
        <v>1433</v>
      </c>
      <c r="Q473">
        <v>1</v>
      </c>
      <c r="W473">
        <v>0</v>
      </c>
      <c r="X473">
        <v>-1731369543</v>
      </c>
      <c r="Y473">
        <v>0.3</v>
      </c>
      <c r="AA473">
        <v>1</v>
      </c>
      <c r="AB473">
        <v>0</v>
      </c>
      <c r="AC473">
        <v>0</v>
      </c>
      <c r="AD473">
        <v>0</v>
      </c>
      <c r="AE473">
        <v>1</v>
      </c>
      <c r="AF473">
        <v>0</v>
      </c>
      <c r="AG473">
        <v>0</v>
      </c>
      <c r="AH473">
        <v>0</v>
      </c>
      <c r="AI473">
        <v>1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6</v>
      </c>
      <c r="AT473">
        <v>0.3</v>
      </c>
      <c r="AU473" t="s">
        <v>6</v>
      </c>
      <c r="AV473">
        <v>0</v>
      </c>
      <c r="AW473">
        <v>2</v>
      </c>
      <c r="AX473">
        <v>16632191</v>
      </c>
      <c r="AY473">
        <v>1</v>
      </c>
      <c r="AZ473">
        <v>0</v>
      </c>
      <c r="BA473">
        <v>459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Y473*Source!I199</f>
        <v>5.3999999999999995</v>
      </c>
      <c r="CY473">
        <f t="shared" si="70"/>
        <v>1</v>
      </c>
      <c r="CZ473">
        <f t="shared" si="71"/>
        <v>1</v>
      </c>
      <c r="DA473">
        <f t="shared" si="72"/>
        <v>1</v>
      </c>
      <c r="DB473">
        <f t="shared" si="73"/>
        <v>0.3</v>
      </c>
      <c r="DC473">
        <f t="shared" si="74"/>
        <v>0</v>
      </c>
    </row>
    <row r="474" spans="1:107" x14ac:dyDescent="0.2">
      <c r="A474">
        <f>ROW(Source!A203)</f>
        <v>203</v>
      </c>
      <c r="B474">
        <v>16630606</v>
      </c>
      <c r="C474">
        <v>16632195</v>
      </c>
      <c r="D474">
        <v>15435721</v>
      </c>
      <c r="E474">
        <v>1</v>
      </c>
      <c r="F474">
        <v>1</v>
      </c>
      <c r="G474">
        <v>1</v>
      </c>
      <c r="H474">
        <v>1</v>
      </c>
      <c r="I474" t="s">
        <v>1311</v>
      </c>
      <c r="J474" t="s">
        <v>6</v>
      </c>
      <c r="K474" t="s">
        <v>1312</v>
      </c>
      <c r="L474">
        <v>1191</v>
      </c>
      <c r="N474">
        <v>1013</v>
      </c>
      <c r="O474" t="s">
        <v>1148</v>
      </c>
      <c r="P474" t="s">
        <v>1148</v>
      </c>
      <c r="Q474">
        <v>1</v>
      </c>
      <c r="W474">
        <v>0</v>
      </c>
      <c r="X474">
        <v>1983201532</v>
      </c>
      <c r="Y474">
        <v>2.3199999999999998</v>
      </c>
      <c r="AA474">
        <v>0</v>
      </c>
      <c r="AB474">
        <v>0</v>
      </c>
      <c r="AC474">
        <v>0</v>
      </c>
      <c r="AD474">
        <v>67.81</v>
      </c>
      <c r="AE474">
        <v>0</v>
      </c>
      <c r="AF474">
        <v>0</v>
      </c>
      <c r="AG474">
        <v>0</v>
      </c>
      <c r="AH474">
        <v>9.51</v>
      </c>
      <c r="AI474">
        <v>1</v>
      </c>
      <c r="AJ474">
        <v>1</v>
      </c>
      <c r="AK474">
        <v>1</v>
      </c>
      <c r="AL474">
        <v>7.13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6</v>
      </c>
      <c r="AT474">
        <v>2.3199999999999998</v>
      </c>
      <c r="AU474" t="s">
        <v>6</v>
      </c>
      <c r="AV474">
        <v>1</v>
      </c>
      <c r="AW474">
        <v>2</v>
      </c>
      <c r="AX474">
        <v>16632215</v>
      </c>
      <c r="AY474">
        <v>1</v>
      </c>
      <c r="AZ474">
        <v>0</v>
      </c>
      <c r="BA474">
        <v>460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Y474*Source!I203</f>
        <v>9.2799999999999994</v>
      </c>
      <c r="CY474">
        <f>AD474</f>
        <v>67.81</v>
      </c>
      <c r="CZ474">
        <f>AH474</f>
        <v>9.51</v>
      </c>
      <c r="DA474">
        <f>AL474</f>
        <v>7.13</v>
      </c>
      <c r="DB474">
        <f t="shared" si="73"/>
        <v>22.06</v>
      </c>
      <c r="DC474">
        <f t="shared" si="74"/>
        <v>0</v>
      </c>
    </row>
    <row r="475" spans="1:107" x14ac:dyDescent="0.2">
      <c r="A475">
        <f>ROW(Source!A203)</f>
        <v>203</v>
      </c>
      <c r="B475">
        <v>16630606</v>
      </c>
      <c r="C475">
        <v>16632195</v>
      </c>
      <c r="D475">
        <v>15430395</v>
      </c>
      <c r="E475">
        <v>1</v>
      </c>
      <c r="F475">
        <v>1</v>
      </c>
      <c r="G475">
        <v>1</v>
      </c>
      <c r="H475">
        <v>1</v>
      </c>
      <c r="I475" t="s">
        <v>1149</v>
      </c>
      <c r="J475" t="s">
        <v>6</v>
      </c>
      <c r="K475" t="s">
        <v>1150</v>
      </c>
      <c r="L475">
        <v>1191</v>
      </c>
      <c r="N475">
        <v>1013</v>
      </c>
      <c r="O475" t="s">
        <v>1148</v>
      </c>
      <c r="P475" t="s">
        <v>1148</v>
      </c>
      <c r="Q475">
        <v>1</v>
      </c>
      <c r="W475">
        <v>0</v>
      </c>
      <c r="X475">
        <v>-1417349443</v>
      </c>
      <c r="Y475">
        <v>0.02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1</v>
      </c>
      <c r="AJ475">
        <v>1</v>
      </c>
      <c r="AK475">
        <v>7.13</v>
      </c>
      <c r="AL475">
        <v>1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6</v>
      </c>
      <c r="AT475">
        <v>0.02</v>
      </c>
      <c r="AU475" t="s">
        <v>6</v>
      </c>
      <c r="AV475">
        <v>2</v>
      </c>
      <c r="AW475">
        <v>2</v>
      </c>
      <c r="AX475">
        <v>16632216</v>
      </c>
      <c r="AY475">
        <v>1</v>
      </c>
      <c r="AZ475">
        <v>0</v>
      </c>
      <c r="BA475">
        <v>461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Y475*Source!I203</f>
        <v>0.08</v>
      </c>
      <c r="CY475">
        <f>AD475</f>
        <v>0</v>
      </c>
      <c r="CZ475">
        <f>AH475</f>
        <v>0</v>
      </c>
      <c r="DA475">
        <f>AL475</f>
        <v>1</v>
      </c>
      <c r="DB475">
        <f t="shared" si="73"/>
        <v>0</v>
      </c>
      <c r="DC475">
        <f t="shared" si="74"/>
        <v>0</v>
      </c>
    </row>
    <row r="476" spans="1:107" x14ac:dyDescent="0.2">
      <c r="A476">
        <f>ROW(Source!A203)</f>
        <v>203</v>
      </c>
      <c r="B476">
        <v>16630606</v>
      </c>
      <c r="C476">
        <v>16632195</v>
      </c>
      <c r="D476">
        <v>15247680</v>
      </c>
      <c r="E476">
        <v>1</v>
      </c>
      <c r="F476">
        <v>1</v>
      </c>
      <c r="G476">
        <v>1</v>
      </c>
      <c r="H476">
        <v>2</v>
      </c>
      <c r="I476" t="s">
        <v>1419</v>
      </c>
      <c r="J476" t="s">
        <v>1420</v>
      </c>
      <c r="K476" t="s">
        <v>1421</v>
      </c>
      <c r="L476">
        <v>1368</v>
      </c>
      <c r="N476">
        <v>1011</v>
      </c>
      <c r="O476" t="s">
        <v>1154</v>
      </c>
      <c r="P476" t="s">
        <v>1154</v>
      </c>
      <c r="Q476">
        <v>1</v>
      </c>
      <c r="W476">
        <v>0</v>
      </c>
      <c r="X476">
        <v>-1718674368</v>
      </c>
      <c r="Y476">
        <v>0.01</v>
      </c>
      <c r="AA476">
        <v>0</v>
      </c>
      <c r="AB476">
        <v>798.49</v>
      </c>
      <c r="AC476">
        <v>13.5</v>
      </c>
      <c r="AD476">
        <v>0</v>
      </c>
      <c r="AE476">
        <v>0</v>
      </c>
      <c r="AF476">
        <v>111.99</v>
      </c>
      <c r="AG476">
        <v>13.5</v>
      </c>
      <c r="AH476">
        <v>0</v>
      </c>
      <c r="AI476">
        <v>1</v>
      </c>
      <c r="AJ476">
        <v>7.13</v>
      </c>
      <c r="AK476">
        <v>1</v>
      </c>
      <c r="AL476">
        <v>1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6</v>
      </c>
      <c r="AT476">
        <v>0.01</v>
      </c>
      <c r="AU476" t="s">
        <v>6</v>
      </c>
      <c r="AV476">
        <v>0</v>
      </c>
      <c r="AW476">
        <v>2</v>
      </c>
      <c r="AX476">
        <v>16632217</v>
      </c>
      <c r="AY476">
        <v>1</v>
      </c>
      <c r="AZ476">
        <v>0</v>
      </c>
      <c r="BA476">
        <v>462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Y476*Source!I203</f>
        <v>0.04</v>
      </c>
      <c r="CY476">
        <f>AB476</f>
        <v>798.49</v>
      </c>
      <c r="CZ476">
        <f>AF476</f>
        <v>111.99</v>
      </c>
      <c r="DA476">
        <f>AJ476</f>
        <v>7.13</v>
      </c>
      <c r="DB476">
        <f t="shared" si="73"/>
        <v>1.1200000000000001</v>
      </c>
      <c r="DC476">
        <f t="shared" si="74"/>
        <v>0.14000000000000001</v>
      </c>
    </row>
    <row r="477" spans="1:107" x14ac:dyDescent="0.2">
      <c r="A477">
        <f>ROW(Source!A203)</f>
        <v>203</v>
      </c>
      <c r="B477">
        <v>16630606</v>
      </c>
      <c r="C477">
        <v>16632195</v>
      </c>
      <c r="D477">
        <v>15249073</v>
      </c>
      <c r="E477">
        <v>1</v>
      </c>
      <c r="F477">
        <v>1</v>
      </c>
      <c r="G477">
        <v>1</v>
      </c>
      <c r="H477">
        <v>2</v>
      </c>
      <c r="I477" t="s">
        <v>1157</v>
      </c>
      <c r="J477" t="s">
        <v>1158</v>
      </c>
      <c r="K477" t="s">
        <v>1159</v>
      </c>
      <c r="L477">
        <v>1368</v>
      </c>
      <c r="N477">
        <v>1011</v>
      </c>
      <c r="O477" t="s">
        <v>1154</v>
      </c>
      <c r="P477" t="s">
        <v>1154</v>
      </c>
      <c r="Q477">
        <v>1</v>
      </c>
      <c r="W477">
        <v>0</v>
      </c>
      <c r="X477">
        <v>1372534845</v>
      </c>
      <c r="Y477">
        <v>0.01</v>
      </c>
      <c r="AA477">
        <v>0</v>
      </c>
      <c r="AB477">
        <v>468.51</v>
      </c>
      <c r="AC477">
        <v>11.6</v>
      </c>
      <c r="AD477">
        <v>0</v>
      </c>
      <c r="AE477">
        <v>0</v>
      </c>
      <c r="AF477">
        <v>65.709999999999994</v>
      </c>
      <c r="AG477">
        <v>11.6</v>
      </c>
      <c r="AH477">
        <v>0</v>
      </c>
      <c r="AI477">
        <v>1</v>
      </c>
      <c r="AJ477">
        <v>7.13</v>
      </c>
      <c r="AK477">
        <v>1</v>
      </c>
      <c r="AL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6</v>
      </c>
      <c r="AT477">
        <v>0.01</v>
      </c>
      <c r="AU477" t="s">
        <v>6</v>
      </c>
      <c r="AV477">
        <v>0</v>
      </c>
      <c r="AW477">
        <v>2</v>
      </c>
      <c r="AX477">
        <v>16632218</v>
      </c>
      <c r="AY477">
        <v>1</v>
      </c>
      <c r="AZ477">
        <v>0</v>
      </c>
      <c r="BA477">
        <v>463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Y477*Source!I203</f>
        <v>0.04</v>
      </c>
      <c r="CY477">
        <f>AB477</f>
        <v>468.51</v>
      </c>
      <c r="CZ477">
        <f>AF477</f>
        <v>65.709999999999994</v>
      </c>
      <c r="DA477">
        <f>AJ477</f>
        <v>7.13</v>
      </c>
      <c r="DB477">
        <f t="shared" si="73"/>
        <v>0.66</v>
      </c>
      <c r="DC477">
        <f t="shared" si="74"/>
        <v>0.12</v>
      </c>
    </row>
    <row r="478" spans="1:107" x14ac:dyDescent="0.2">
      <c r="A478">
        <f>ROW(Source!A203)</f>
        <v>203</v>
      </c>
      <c r="B478">
        <v>16630606</v>
      </c>
      <c r="C478">
        <v>16632195</v>
      </c>
      <c r="D478">
        <v>15249377</v>
      </c>
      <c r="E478">
        <v>1</v>
      </c>
      <c r="F478">
        <v>1</v>
      </c>
      <c r="G478">
        <v>1</v>
      </c>
      <c r="H478">
        <v>2</v>
      </c>
      <c r="I478" t="s">
        <v>1222</v>
      </c>
      <c r="J478" t="s">
        <v>1223</v>
      </c>
      <c r="K478" t="s">
        <v>1224</v>
      </c>
      <c r="L478">
        <v>1368</v>
      </c>
      <c r="N478">
        <v>1011</v>
      </c>
      <c r="O478" t="s">
        <v>1154</v>
      </c>
      <c r="P478" t="s">
        <v>1154</v>
      </c>
      <c r="Q478">
        <v>1</v>
      </c>
      <c r="W478">
        <v>0</v>
      </c>
      <c r="X478">
        <v>-353815937</v>
      </c>
      <c r="Y478">
        <v>0.13</v>
      </c>
      <c r="AA478">
        <v>0</v>
      </c>
      <c r="AB478">
        <v>57.75</v>
      </c>
      <c r="AC478">
        <v>0</v>
      </c>
      <c r="AD478">
        <v>0</v>
      </c>
      <c r="AE478">
        <v>0</v>
      </c>
      <c r="AF478">
        <v>8.1</v>
      </c>
      <c r="AG478">
        <v>0</v>
      </c>
      <c r="AH478">
        <v>0</v>
      </c>
      <c r="AI478">
        <v>1</v>
      </c>
      <c r="AJ478">
        <v>7.13</v>
      </c>
      <c r="AK478">
        <v>1</v>
      </c>
      <c r="AL478">
        <v>1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6</v>
      </c>
      <c r="AT478">
        <v>0.13</v>
      </c>
      <c r="AU478" t="s">
        <v>6</v>
      </c>
      <c r="AV478">
        <v>0</v>
      </c>
      <c r="AW478">
        <v>2</v>
      </c>
      <c r="AX478">
        <v>16632219</v>
      </c>
      <c r="AY478">
        <v>1</v>
      </c>
      <c r="AZ478">
        <v>0</v>
      </c>
      <c r="BA478">
        <v>464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Y478*Source!I203</f>
        <v>0.52</v>
      </c>
      <c r="CY478">
        <f>AB478</f>
        <v>57.75</v>
      </c>
      <c r="CZ478">
        <f>AF478</f>
        <v>8.1</v>
      </c>
      <c r="DA478">
        <f>AJ478</f>
        <v>7.13</v>
      </c>
      <c r="DB478">
        <f t="shared" si="73"/>
        <v>1.05</v>
      </c>
      <c r="DC478">
        <f t="shared" si="74"/>
        <v>0</v>
      </c>
    </row>
    <row r="479" spans="1:107" x14ac:dyDescent="0.2">
      <c r="A479">
        <f>ROW(Source!A203)</f>
        <v>203</v>
      </c>
      <c r="B479">
        <v>16630606</v>
      </c>
      <c r="C479">
        <v>16632195</v>
      </c>
      <c r="D479">
        <v>15250043</v>
      </c>
      <c r="E479">
        <v>1</v>
      </c>
      <c r="F479">
        <v>1</v>
      </c>
      <c r="G479">
        <v>1</v>
      </c>
      <c r="H479">
        <v>2</v>
      </c>
      <c r="I479" t="s">
        <v>1510</v>
      </c>
      <c r="J479" t="s">
        <v>1511</v>
      </c>
      <c r="K479" t="s">
        <v>1512</v>
      </c>
      <c r="L479">
        <v>1368</v>
      </c>
      <c r="N479">
        <v>1011</v>
      </c>
      <c r="O479" t="s">
        <v>1154</v>
      </c>
      <c r="P479" t="s">
        <v>1154</v>
      </c>
      <c r="Q479">
        <v>1</v>
      </c>
      <c r="W479">
        <v>0</v>
      </c>
      <c r="X479">
        <v>-995250510</v>
      </c>
      <c r="Y479">
        <v>0.2</v>
      </c>
      <c r="AA479">
        <v>0</v>
      </c>
      <c r="AB479">
        <v>7.91</v>
      </c>
      <c r="AC479">
        <v>0</v>
      </c>
      <c r="AD479">
        <v>0</v>
      </c>
      <c r="AE479">
        <v>0</v>
      </c>
      <c r="AF479">
        <v>1.1100000000000001</v>
      </c>
      <c r="AG479">
        <v>0</v>
      </c>
      <c r="AH479">
        <v>0</v>
      </c>
      <c r="AI479">
        <v>1</v>
      </c>
      <c r="AJ479">
        <v>7.13</v>
      </c>
      <c r="AK479">
        <v>1</v>
      </c>
      <c r="AL479">
        <v>1</v>
      </c>
      <c r="AN479">
        <v>0</v>
      </c>
      <c r="AO479">
        <v>1</v>
      </c>
      <c r="AP479">
        <v>0</v>
      </c>
      <c r="AQ479">
        <v>0</v>
      </c>
      <c r="AR479">
        <v>0</v>
      </c>
      <c r="AS479" t="s">
        <v>6</v>
      </c>
      <c r="AT479">
        <v>0.2</v>
      </c>
      <c r="AU479" t="s">
        <v>6</v>
      </c>
      <c r="AV479">
        <v>0</v>
      </c>
      <c r="AW479">
        <v>2</v>
      </c>
      <c r="AX479">
        <v>16632220</v>
      </c>
      <c r="AY479">
        <v>1</v>
      </c>
      <c r="AZ479">
        <v>0</v>
      </c>
      <c r="BA479">
        <v>465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Y479*Source!I203</f>
        <v>0.8</v>
      </c>
      <c r="CY479">
        <f>AB479</f>
        <v>7.91</v>
      </c>
      <c r="CZ479">
        <f>AF479</f>
        <v>1.1100000000000001</v>
      </c>
      <c r="DA479">
        <f>AJ479</f>
        <v>7.13</v>
      </c>
      <c r="DB479">
        <f t="shared" si="73"/>
        <v>0.22</v>
      </c>
      <c r="DC479">
        <f t="shared" si="74"/>
        <v>0</v>
      </c>
    </row>
    <row r="480" spans="1:107" x14ac:dyDescent="0.2">
      <c r="A480">
        <f>ROW(Source!A203)</f>
        <v>203</v>
      </c>
      <c r="B480">
        <v>16630606</v>
      </c>
      <c r="C480">
        <v>16632195</v>
      </c>
      <c r="D480">
        <v>15165537</v>
      </c>
      <c r="E480">
        <v>1</v>
      </c>
      <c r="F480">
        <v>1</v>
      </c>
      <c r="G480">
        <v>1</v>
      </c>
      <c r="H480">
        <v>3</v>
      </c>
      <c r="I480" t="s">
        <v>1434</v>
      </c>
      <c r="J480" t="s">
        <v>1435</v>
      </c>
      <c r="K480" t="s">
        <v>1436</v>
      </c>
      <c r="L480">
        <v>1346</v>
      </c>
      <c r="N480">
        <v>1009</v>
      </c>
      <c r="O480" t="s">
        <v>102</v>
      </c>
      <c r="P480" t="s">
        <v>102</v>
      </c>
      <c r="Q480">
        <v>1</v>
      </c>
      <c r="W480">
        <v>0</v>
      </c>
      <c r="X480">
        <v>618806536</v>
      </c>
      <c r="Y480">
        <v>8.9999999999999993E-3</v>
      </c>
      <c r="AA480">
        <v>320.64</v>
      </c>
      <c r="AB480">
        <v>0</v>
      </c>
      <c r="AC480">
        <v>0</v>
      </c>
      <c r="AD480">
        <v>0</v>
      </c>
      <c r="AE480">
        <v>44.97</v>
      </c>
      <c r="AF480">
        <v>0</v>
      </c>
      <c r="AG480">
        <v>0</v>
      </c>
      <c r="AH480">
        <v>0</v>
      </c>
      <c r="AI480">
        <v>7.13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6</v>
      </c>
      <c r="AT480">
        <v>8.9999999999999993E-3</v>
      </c>
      <c r="AU480" t="s">
        <v>6</v>
      </c>
      <c r="AV480">
        <v>0</v>
      </c>
      <c r="AW480">
        <v>2</v>
      </c>
      <c r="AX480">
        <v>16632221</v>
      </c>
      <c r="AY480">
        <v>1</v>
      </c>
      <c r="AZ480">
        <v>0</v>
      </c>
      <c r="BA480">
        <v>466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Y480*Source!I203</f>
        <v>3.5999999999999997E-2</v>
      </c>
      <c r="CY480">
        <f t="shared" ref="CY480:CY492" si="75">AA480</f>
        <v>320.64</v>
      </c>
      <c r="CZ480">
        <f t="shared" ref="CZ480:CZ492" si="76">AE480</f>
        <v>44.97</v>
      </c>
      <c r="DA480">
        <f t="shared" ref="DA480:DA492" si="77">AI480</f>
        <v>7.13</v>
      </c>
      <c r="DB480">
        <f t="shared" si="73"/>
        <v>0.4</v>
      </c>
      <c r="DC480">
        <f t="shared" si="74"/>
        <v>0</v>
      </c>
    </row>
    <row r="481" spans="1:107" x14ac:dyDescent="0.2">
      <c r="A481">
        <f>ROW(Source!A203)</f>
        <v>203</v>
      </c>
      <c r="B481">
        <v>16630606</v>
      </c>
      <c r="C481">
        <v>16632195</v>
      </c>
      <c r="D481">
        <v>15167269</v>
      </c>
      <c r="E481">
        <v>1</v>
      </c>
      <c r="F481">
        <v>1</v>
      </c>
      <c r="G481">
        <v>1</v>
      </c>
      <c r="H481">
        <v>3</v>
      </c>
      <c r="I481" t="s">
        <v>1437</v>
      </c>
      <c r="J481" t="s">
        <v>1438</v>
      </c>
      <c r="K481" t="s">
        <v>1439</v>
      </c>
      <c r="L481">
        <v>1346</v>
      </c>
      <c r="N481">
        <v>1009</v>
      </c>
      <c r="O481" t="s">
        <v>102</v>
      </c>
      <c r="P481" t="s">
        <v>102</v>
      </c>
      <c r="Q481">
        <v>1</v>
      </c>
      <c r="W481">
        <v>0</v>
      </c>
      <c r="X481">
        <v>56922527</v>
      </c>
      <c r="Y481">
        <v>4.0000000000000001E-3</v>
      </c>
      <c r="AA481">
        <v>82</v>
      </c>
      <c r="AB481">
        <v>0</v>
      </c>
      <c r="AC481">
        <v>0</v>
      </c>
      <c r="AD481">
        <v>0</v>
      </c>
      <c r="AE481">
        <v>11.5</v>
      </c>
      <c r="AF481">
        <v>0</v>
      </c>
      <c r="AG481">
        <v>0</v>
      </c>
      <c r="AH481">
        <v>0</v>
      </c>
      <c r="AI481">
        <v>7.13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0</v>
      </c>
      <c r="AQ481">
        <v>0</v>
      </c>
      <c r="AR481">
        <v>0</v>
      </c>
      <c r="AS481" t="s">
        <v>6</v>
      </c>
      <c r="AT481">
        <v>4.0000000000000001E-3</v>
      </c>
      <c r="AU481" t="s">
        <v>6</v>
      </c>
      <c r="AV481">
        <v>0</v>
      </c>
      <c r="AW481">
        <v>2</v>
      </c>
      <c r="AX481">
        <v>16632222</v>
      </c>
      <c r="AY481">
        <v>1</v>
      </c>
      <c r="AZ481">
        <v>0</v>
      </c>
      <c r="BA481">
        <v>467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Y481*Source!I203</f>
        <v>1.6E-2</v>
      </c>
      <c r="CY481">
        <f t="shared" si="75"/>
        <v>82</v>
      </c>
      <c r="CZ481">
        <f t="shared" si="76"/>
        <v>11.5</v>
      </c>
      <c r="DA481">
        <f t="shared" si="77"/>
        <v>7.13</v>
      </c>
      <c r="DB481">
        <f t="shared" si="73"/>
        <v>0.05</v>
      </c>
      <c r="DC481">
        <f t="shared" si="74"/>
        <v>0</v>
      </c>
    </row>
    <row r="482" spans="1:107" x14ac:dyDescent="0.2">
      <c r="A482">
        <f>ROW(Source!A203)</f>
        <v>203</v>
      </c>
      <c r="B482">
        <v>16630606</v>
      </c>
      <c r="C482">
        <v>16632195</v>
      </c>
      <c r="D482">
        <v>15167588</v>
      </c>
      <c r="E482">
        <v>1</v>
      </c>
      <c r="F482">
        <v>1</v>
      </c>
      <c r="G482">
        <v>1</v>
      </c>
      <c r="H482">
        <v>3</v>
      </c>
      <c r="I482" t="s">
        <v>1422</v>
      </c>
      <c r="J482" t="s">
        <v>1423</v>
      </c>
      <c r="K482" t="s">
        <v>1424</v>
      </c>
      <c r="L482">
        <v>1346</v>
      </c>
      <c r="N482">
        <v>1009</v>
      </c>
      <c r="O482" t="s">
        <v>102</v>
      </c>
      <c r="P482" t="s">
        <v>102</v>
      </c>
      <c r="Q482">
        <v>1</v>
      </c>
      <c r="W482">
        <v>0</v>
      </c>
      <c r="X482">
        <v>-1088866022</v>
      </c>
      <c r="Y482">
        <v>3.5999999999999997E-2</v>
      </c>
      <c r="AA482">
        <v>216.75</v>
      </c>
      <c r="AB482">
        <v>0</v>
      </c>
      <c r="AC482">
        <v>0</v>
      </c>
      <c r="AD482">
        <v>0</v>
      </c>
      <c r="AE482">
        <v>30.4</v>
      </c>
      <c r="AF482">
        <v>0</v>
      </c>
      <c r="AG482">
        <v>0</v>
      </c>
      <c r="AH482">
        <v>0</v>
      </c>
      <c r="AI482">
        <v>7.13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6</v>
      </c>
      <c r="AT482">
        <v>3.5999999999999997E-2</v>
      </c>
      <c r="AU482" t="s">
        <v>6</v>
      </c>
      <c r="AV482">
        <v>0</v>
      </c>
      <c r="AW482">
        <v>2</v>
      </c>
      <c r="AX482">
        <v>16632223</v>
      </c>
      <c r="AY482">
        <v>1</v>
      </c>
      <c r="AZ482">
        <v>0</v>
      </c>
      <c r="BA482">
        <v>468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Y482*Source!I203</f>
        <v>0.14399999999999999</v>
      </c>
      <c r="CY482">
        <f t="shared" si="75"/>
        <v>216.75</v>
      </c>
      <c r="CZ482">
        <f t="shared" si="76"/>
        <v>30.4</v>
      </c>
      <c r="DA482">
        <f t="shared" si="77"/>
        <v>7.13</v>
      </c>
      <c r="DB482">
        <f t="shared" si="73"/>
        <v>1.0900000000000001</v>
      </c>
      <c r="DC482">
        <f t="shared" si="74"/>
        <v>0</v>
      </c>
    </row>
    <row r="483" spans="1:107" x14ac:dyDescent="0.2">
      <c r="A483">
        <f>ROW(Source!A203)</f>
        <v>203</v>
      </c>
      <c r="B483">
        <v>16630606</v>
      </c>
      <c r="C483">
        <v>16632195</v>
      </c>
      <c r="D483">
        <v>15168752</v>
      </c>
      <c r="E483">
        <v>1</v>
      </c>
      <c r="F483">
        <v>1</v>
      </c>
      <c r="G483">
        <v>1</v>
      </c>
      <c r="H483">
        <v>3</v>
      </c>
      <c r="I483" t="s">
        <v>1440</v>
      </c>
      <c r="J483" t="s">
        <v>1441</v>
      </c>
      <c r="K483" t="s">
        <v>1442</v>
      </c>
      <c r="L483">
        <v>1346</v>
      </c>
      <c r="N483">
        <v>1009</v>
      </c>
      <c r="O483" t="s">
        <v>102</v>
      </c>
      <c r="P483" t="s">
        <v>102</v>
      </c>
      <c r="Q483">
        <v>1</v>
      </c>
      <c r="W483">
        <v>0</v>
      </c>
      <c r="X483">
        <v>586013393</v>
      </c>
      <c r="Y483">
        <v>7.0000000000000007E-2</v>
      </c>
      <c r="AA483">
        <v>75.36</v>
      </c>
      <c r="AB483">
        <v>0</v>
      </c>
      <c r="AC483">
        <v>0</v>
      </c>
      <c r="AD483">
        <v>0</v>
      </c>
      <c r="AE483">
        <v>10.57</v>
      </c>
      <c r="AF483">
        <v>0</v>
      </c>
      <c r="AG483">
        <v>0</v>
      </c>
      <c r="AH483">
        <v>0</v>
      </c>
      <c r="AI483">
        <v>7.13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6</v>
      </c>
      <c r="AT483">
        <v>7.0000000000000007E-2</v>
      </c>
      <c r="AU483" t="s">
        <v>6</v>
      </c>
      <c r="AV483">
        <v>0</v>
      </c>
      <c r="AW483">
        <v>2</v>
      </c>
      <c r="AX483">
        <v>16632224</v>
      </c>
      <c r="AY483">
        <v>1</v>
      </c>
      <c r="AZ483">
        <v>0</v>
      </c>
      <c r="BA483">
        <v>469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Y483*Source!I203</f>
        <v>0.28000000000000003</v>
      </c>
      <c r="CY483">
        <f t="shared" si="75"/>
        <v>75.36</v>
      </c>
      <c r="CZ483">
        <f t="shared" si="76"/>
        <v>10.57</v>
      </c>
      <c r="DA483">
        <f t="shared" si="77"/>
        <v>7.13</v>
      </c>
      <c r="DB483">
        <f t="shared" si="73"/>
        <v>0.74</v>
      </c>
      <c r="DC483">
        <f t="shared" si="74"/>
        <v>0</v>
      </c>
    </row>
    <row r="484" spans="1:107" x14ac:dyDescent="0.2">
      <c r="A484">
        <f>ROW(Source!A203)</f>
        <v>203</v>
      </c>
      <c r="B484">
        <v>16630606</v>
      </c>
      <c r="C484">
        <v>16632195</v>
      </c>
      <c r="D484">
        <v>15169942</v>
      </c>
      <c r="E484">
        <v>1</v>
      </c>
      <c r="F484">
        <v>1</v>
      </c>
      <c r="G484">
        <v>1</v>
      </c>
      <c r="H484">
        <v>3</v>
      </c>
      <c r="I484" t="s">
        <v>1425</v>
      </c>
      <c r="J484" t="s">
        <v>1426</v>
      </c>
      <c r="K484" t="s">
        <v>1427</v>
      </c>
      <c r="L484">
        <v>1346</v>
      </c>
      <c r="N484">
        <v>1009</v>
      </c>
      <c r="O484" t="s">
        <v>102</v>
      </c>
      <c r="P484" t="s">
        <v>102</v>
      </c>
      <c r="Q484">
        <v>1</v>
      </c>
      <c r="W484">
        <v>0</v>
      </c>
      <c r="X484">
        <v>103900845</v>
      </c>
      <c r="Y484">
        <v>0.38</v>
      </c>
      <c r="AA484">
        <v>64.459999999999994</v>
      </c>
      <c r="AB484">
        <v>0</v>
      </c>
      <c r="AC484">
        <v>0</v>
      </c>
      <c r="AD484">
        <v>0</v>
      </c>
      <c r="AE484">
        <v>9.0399999999999991</v>
      </c>
      <c r="AF484">
        <v>0</v>
      </c>
      <c r="AG484">
        <v>0</v>
      </c>
      <c r="AH484">
        <v>0</v>
      </c>
      <c r="AI484">
        <v>7.13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6</v>
      </c>
      <c r="AT484">
        <v>0.38</v>
      </c>
      <c r="AU484" t="s">
        <v>6</v>
      </c>
      <c r="AV484">
        <v>0</v>
      </c>
      <c r="AW484">
        <v>2</v>
      </c>
      <c r="AX484">
        <v>16632225</v>
      </c>
      <c r="AY484">
        <v>1</v>
      </c>
      <c r="AZ484">
        <v>0</v>
      </c>
      <c r="BA484">
        <v>470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Y484*Source!I203</f>
        <v>1.52</v>
      </c>
      <c r="CY484">
        <f t="shared" si="75"/>
        <v>64.459999999999994</v>
      </c>
      <c r="CZ484">
        <f t="shared" si="76"/>
        <v>9.0399999999999991</v>
      </c>
      <c r="DA484">
        <f t="shared" si="77"/>
        <v>7.13</v>
      </c>
      <c r="DB484">
        <f t="shared" si="73"/>
        <v>3.44</v>
      </c>
      <c r="DC484">
        <f t="shared" si="74"/>
        <v>0</v>
      </c>
    </row>
    <row r="485" spans="1:107" x14ac:dyDescent="0.2">
      <c r="A485">
        <f>ROW(Source!A203)</f>
        <v>203</v>
      </c>
      <c r="B485">
        <v>16630606</v>
      </c>
      <c r="C485">
        <v>16632195</v>
      </c>
      <c r="D485">
        <v>15170074</v>
      </c>
      <c r="E485">
        <v>1</v>
      </c>
      <c r="F485">
        <v>1</v>
      </c>
      <c r="G485">
        <v>1</v>
      </c>
      <c r="H485">
        <v>3</v>
      </c>
      <c r="I485" t="s">
        <v>1443</v>
      </c>
      <c r="J485" t="s">
        <v>1444</v>
      </c>
      <c r="K485" t="s">
        <v>1445</v>
      </c>
      <c r="L485">
        <v>1355</v>
      </c>
      <c r="N485">
        <v>1010</v>
      </c>
      <c r="O485" t="s">
        <v>243</v>
      </c>
      <c r="P485" t="s">
        <v>243</v>
      </c>
      <c r="Q485">
        <v>100</v>
      </c>
      <c r="W485">
        <v>0</v>
      </c>
      <c r="X485">
        <v>1794244060</v>
      </c>
      <c r="Y485">
        <v>1.4E-2</v>
      </c>
      <c r="AA485">
        <v>613.17999999999995</v>
      </c>
      <c r="AB485">
        <v>0</v>
      </c>
      <c r="AC485">
        <v>0</v>
      </c>
      <c r="AD485">
        <v>0</v>
      </c>
      <c r="AE485">
        <v>86</v>
      </c>
      <c r="AF485">
        <v>0</v>
      </c>
      <c r="AG485">
        <v>0</v>
      </c>
      <c r="AH485">
        <v>0</v>
      </c>
      <c r="AI485">
        <v>7.13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6</v>
      </c>
      <c r="AT485">
        <v>1.4E-2</v>
      </c>
      <c r="AU485" t="s">
        <v>6</v>
      </c>
      <c r="AV485">
        <v>0</v>
      </c>
      <c r="AW485">
        <v>2</v>
      </c>
      <c r="AX485">
        <v>16632226</v>
      </c>
      <c r="AY485">
        <v>1</v>
      </c>
      <c r="AZ485">
        <v>0</v>
      </c>
      <c r="BA485">
        <v>471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Y485*Source!I203</f>
        <v>5.6000000000000001E-2</v>
      </c>
      <c r="CY485">
        <f t="shared" si="75"/>
        <v>613.17999999999995</v>
      </c>
      <c r="CZ485">
        <f t="shared" si="76"/>
        <v>86</v>
      </c>
      <c r="DA485">
        <f t="shared" si="77"/>
        <v>7.13</v>
      </c>
      <c r="DB485">
        <f t="shared" si="73"/>
        <v>1.2</v>
      </c>
      <c r="DC485">
        <f t="shared" si="74"/>
        <v>0</v>
      </c>
    </row>
    <row r="486" spans="1:107" x14ac:dyDescent="0.2">
      <c r="A486">
        <f>ROW(Source!A203)</f>
        <v>203</v>
      </c>
      <c r="B486">
        <v>16630606</v>
      </c>
      <c r="C486">
        <v>16632195</v>
      </c>
      <c r="D486">
        <v>15170994</v>
      </c>
      <c r="E486">
        <v>1</v>
      </c>
      <c r="F486">
        <v>1</v>
      </c>
      <c r="G486">
        <v>1</v>
      </c>
      <c r="H486">
        <v>3</v>
      </c>
      <c r="I486" t="s">
        <v>1446</v>
      </c>
      <c r="J486" t="s">
        <v>1447</v>
      </c>
      <c r="K486" t="s">
        <v>1448</v>
      </c>
      <c r="L486">
        <v>1346</v>
      </c>
      <c r="N486">
        <v>1009</v>
      </c>
      <c r="O486" t="s">
        <v>102</v>
      </c>
      <c r="P486" t="s">
        <v>102</v>
      </c>
      <c r="Q486">
        <v>1</v>
      </c>
      <c r="W486">
        <v>0</v>
      </c>
      <c r="X486">
        <v>-856710481</v>
      </c>
      <c r="Y486">
        <v>2E-3</v>
      </c>
      <c r="AA486">
        <v>948.65</v>
      </c>
      <c r="AB486">
        <v>0</v>
      </c>
      <c r="AC486">
        <v>0</v>
      </c>
      <c r="AD486">
        <v>0</v>
      </c>
      <c r="AE486">
        <v>133.05000000000001</v>
      </c>
      <c r="AF486">
        <v>0</v>
      </c>
      <c r="AG486">
        <v>0</v>
      </c>
      <c r="AH486">
        <v>0</v>
      </c>
      <c r="AI486">
        <v>7.13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6</v>
      </c>
      <c r="AT486">
        <v>2E-3</v>
      </c>
      <c r="AU486" t="s">
        <v>6</v>
      </c>
      <c r="AV486">
        <v>0</v>
      </c>
      <c r="AW486">
        <v>2</v>
      </c>
      <c r="AX486">
        <v>16632227</v>
      </c>
      <c r="AY486">
        <v>1</v>
      </c>
      <c r="AZ486">
        <v>0</v>
      </c>
      <c r="BA486">
        <v>472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Y486*Source!I203</f>
        <v>8.0000000000000002E-3</v>
      </c>
      <c r="CY486">
        <f t="shared" si="75"/>
        <v>948.65</v>
      </c>
      <c r="CZ486">
        <f t="shared" si="76"/>
        <v>133.05000000000001</v>
      </c>
      <c r="DA486">
        <f t="shared" si="77"/>
        <v>7.13</v>
      </c>
      <c r="DB486">
        <f t="shared" si="73"/>
        <v>0.27</v>
      </c>
      <c r="DC486">
        <f t="shared" si="74"/>
        <v>0</v>
      </c>
    </row>
    <row r="487" spans="1:107" x14ac:dyDescent="0.2">
      <c r="A487">
        <f>ROW(Source!A203)</f>
        <v>203</v>
      </c>
      <c r="B487">
        <v>16630606</v>
      </c>
      <c r="C487">
        <v>16632195</v>
      </c>
      <c r="D487">
        <v>15188647</v>
      </c>
      <c r="E487">
        <v>1</v>
      </c>
      <c r="F487">
        <v>1</v>
      </c>
      <c r="G487">
        <v>1</v>
      </c>
      <c r="H487">
        <v>3</v>
      </c>
      <c r="I487" t="s">
        <v>1449</v>
      </c>
      <c r="J487" t="s">
        <v>1450</v>
      </c>
      <c r="K487" t="s">
        <v>1451</v>
      </c>
      <c r="L487">
        <v>1348</v>
      </c>
      <c r="N487">
        <v>1009</v>
      </c>
      <c r="O487" t="s">
        <v>98</v>
      </c>
      <c r="P487" t="s">
        <v>98</v>
      </c>
      <c r="Q487">
        <v>1000</v>
      </c>
      <c r="W487">
        <v>0</v>
      </c>
      <c r="X487">
        <v>426000481</v>
      </c>
      <c r="Y487">
        <v>2E-3</v>
      </c>
      <c r="AA487">
        <v>81995</v>
      </c>
      <c r="AB487">
        <v>0</v>
      </c>
      <c r="AC487">
        <v>0</v>
      </c>
      <c r="AD487">
        <v>0</v>
      </c>
      <c r="AE487">
        <v>11500</v>
      </c>
      <c r="AF487">
        <v>0</v>
      </c>
      <c r="AG487">
        <v>0</v>
      </c>
      <c r="AH487">
        <v>0</v>
      </c>
      <c r="AI487">
        <v>7.13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6</v>
      </c>
      <c r="AT487">
        <v>2E-3</v>
      </c>
      <c r="AU487" t="s">
        <v>6</v>
      </c>
      <c r="AV487">
        <v>0</v>
      </c>
      <c r="AW487">
        <v>2</v>
      </c>
      <c r="AX487">
        <v>16632228</v>
      </c>
      <c r="AY487">
        <v>1</v>
      </c>
      <c r="AZ487">
        <v>0</v>
      </c>
      <c r="BA487">
        <v>473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Y487*Source!I203</f>
        <v>8.0000000000000002E-3</v>
      </c>
      <c r="CY487">
        <f t="shared" si="75"/>
        <v>81995</v>
      </c>
      <c r="CZ487">
        <f t="shared" si="76"/>
        <v>11500</v>
      </c>
      <c r="DA487">
        <f t="shared" si="77"/>
        <v>7.13</v>
      </c>
      <c r="DB487">
        <f t="shared" si="73"/>
        <v>23</v>
      </c>
      <c r="DC487">
        <f t="shared" si="74"/>
        <v>0</v>
      </c>
    </row>
    <row r="488" spans="1:107" x14ac:dyDescent="0.2">
      <c r="A488">
        <f>ROW(Source!A203)</f>
        <v>203</v>
      </c>
      <c r="B488">
        <v>16630606</v>
      </c>
      <c r="C488">
        <v>16632195</v>
      </c>
      <c r="D488">
        <v>15203834</v>
      </c>
      <c r="E488">
        <v>1</v>
      </c>
      <c r="F488">
        <v>1</v>
      </c>
      <c r="G488">
        <v>1</v>
      </c>
      <c r="H488">
        <v>3</v>
      </c>
      <c r="I488" t="s">
        <v>1452</v>
      </c>
      <c r="J488" t="s">
        <v>1453</v>
      </c>
      <c r="K488" t="s">
        <v>1454</v>
      </c>
      <c r="L488">
        <v>1346</v>
      </c>
      <c r="N488">
        <v>1009</v>
      </c>
      <c r="O488" t="s">
        <v>102</v>
      </c>
      <c r="P488" t="s">
        <v>102</v>
      </c>
      <c r="Q488">
        <v>1</v>
      </c>
      <c r="W488">
        <v>0</v>
      </c>
      <c r="X488">
        <v>210558753</v>
      </c>
      <c r="Y488">
        <v>4.7E-2</v>
      </c>
      <c r="AA488">
        <v>203.92</v>
      </c>
      <c r="AB488">
        <v>0</v>
      </c>
      <c r="AC488">
        <v>0</v>
      </c>
      <c r="AD488">
        <v>0</v>
      </c>
      <c r="AE488">
        <v>28.6</v>
      </c>
      <c r="AF488">
        <v>0</v>
      </c>
      <c r="AG488">
        <v>0</v>
      </c>
      <c r="AH488">
        <v>0</v>
      </c>
      <c r="AI488">
        <v>7.13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6</v>
      </c>
      <c r="AT488">
        <v>4.7E-2</v>
      </c>
      <c r="AU488" t="s">
        <v>6</v>
      </c>
      <c r="AV488">
        <v>0</v>
      </c>
      <c r="AW488">
        <v>2</v>
      </c>
      <c r="AX488">
        <v>16632229</v>
      </c>
      <c r="AY488">
        <v>1</v>
      </c>
      <c r="AZ488">
        <v>0</v>
      </c>
      <c r="BA488">
        <v>474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Y488*Source!I203</f>
        <v>0.188</v>
      </c>
      <c r="CY488">
        <f t="shared" si="75"/>
        <v>203.92</v>
      </c>
      <c r="CZ488">
        <f t="shared" si="76"/>
        <v>28.6</v>
      </c>
      <c r="DA488">
        <f t="shared" si="77"/>
        <v>7.13</v>
      </c>
      <c r="DB488">
        <f t="shared" si="73"/>
        <v>1.34</v>
      </c>
      <c r="DC488">
        <f t="shared" si="74"/>
        <v>0</v>
      </c>
    </row>
    <row r="489" spans="1:107" x14ac:dyDescent="0.2">
      <c r="A489">
        <f>ROW(Source!A203)</f>
        <v>203</v>
      </c>
      <c r="B489">
        <v>16630606</v>
      </c>
      <c r="C489">
        <v>16632195</v>
      </c>
      <c r="D489">
        <v>15203987</v>
      </c>
      <c r="E489">
        <v>1</v>
      </c>
      <c r="F489">
        <v>1</v>
      </c>
      <c r="G489">
        <v>1</v>
      </c>
      <c r="H489">
        <v>3</v>
      </c>
      <c r="I489" t="s">
        <v>1455</v>
      </c>
      <c r="J489" t="s">
        <v>1456</v>
      </c>
      <c r="K489" t="s">
        <v>1457</v>
      </c>
      <c r="L489">
        <v>1346</v>
      </c>
      <c r="N489">
        <v>1009</v>
      </c>
      <c r="O489" t="s">
        <v>102</v>
      </c>
      <c r="P489" t="s">
        <v>102</v>
      </c>
      <c r="Q489">
        <v>1</v>
      </c>
      <c r="W489">
        <v>0</v>
      </c>
      <c r="X489">
        <v>-1274984028</v>
      </c>
      <c r="Y489">
        <v>1.4E-2</v>
      </c>
      <c r="AA489">
        <v>254.04</v>
      </c>
      <c r="AB489">
        <v>0</v>
      </c>
      <c r="AC489">
        <v>0</v>
      </c>
      <c r="AD489">
        <v>0</v>
      </c>
      <c r="AE489">
        <v>35.630000000000003</v>
      </c>
      <c r="AF489">
        <v>0</v>
      </c>
      <c r="AG489">
        <v>0</v>
      </c>
      <c r="AH489">
        <v>0</v>
      </c>
      <c r="AI489">
        <v>7.13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6</v>
      </c>
      <c r="AT489">
        <v>1.4E-2</v>
      </c>
      <c r="AU489" t="s">
        <v>6</v>
      </c>
      <c r="AV489">
        <v>0</v>
      </c>
      <c r="AW489">
        <v>2</v>
      </c>
      <c r="AX489">
        <v>16632230</v>
      </c>
      <c r="AY489">
        <v>1</v>
      </c>
      <c r="AZ489">
        <v>0</v>
      </c>
      <c r="BA489">
        <v>475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Y489*Source!I203</f>
        <v>5.6000000000000001E-2</v>
      </c>
      <c r="CY489">
        <f t="shared" si="75"/>
        <v>254.04</v>
      </c>
      <c r="CZ489">
        <f t="shared" si="76"/>
        <v>35.630000000000003</v>
      </c>
      <c r="DA489">
        <f t="shared" si="77"/>
        <v>7.13</v>
      </c>
      <c r="DB489">
        <f t="shared" si="73"/>
        <v>0.5</v>
      </c>
      <c r="DC489">
        <f t="shared" si="74"/>
        <v>0</v>
      </c>
    </row>
    <row r="490" spans="1:107" x14ac:dyDescent="0.2">
      <c r="A490">
        <f>ROW(Source!A203)</f>
        <v>203</v>
      </c>
      <c r="B490">
        <v>16630606</v>
      </c>
      <c r="C490">
        <v>16632195</v>
      </c>
      <c r="D490">
        <v>15217463</v>
      </c>
      <c r="E490">
        <v>1</v>
      </c>
      <c r="F490">
        <v>1</v>
      </c>
      <c r="G490">
        <v>1</v>
      </c>
      <c r="H490">
        <v>3</v>
      </c>
      <c r="I490" t="s">
        <v>1458</v>
      </c>
      <c r="J490" t="s">
        <v>1459</v>
      </c>
      <c r="K490" t="s">
        <v>1460</v>
      </c>
      <c r="L490">
        <v>1358</v>
      </c>
      <c r="N490">
        <v>1010</v>
      </c>
      <c r="O490" t="s">
        <v>616</v>
      </c>
      <c r="P490" t="s">
        <v>616</v>
      </c>
      <c r="Q490">
        <v>10</v>
      </c>
      <c r="W490">
        <v>0</v>
      </c>
      <c r="X490">
        <v>1386890308</v>
      </c>
      <c r="Y490">
        <v>0.1</v>
      </c>
      <c r="AA490">
        <v>278.07</v>
      </c>
      <c r="AB490">
        <v>0</v>
      </c>
      <c r="AC490">
        <v>0</v>
      </c>
      <c r="AD490">
        <v>0</v>
      </c>
      <c r="AE490">
        <v>39</v>
      </c>
      <c r="AF490">
        <v>0</v>
      </c>
      <c r="AG490">
        <v>0</v>
      </c>
      <c r="AH490">
        <v>0</v>
      </c>
      <c r="AI490">
        <v>7.13</v>
      </c>
      <c r="AJ490">
        <v>1</v>
      </c>
      <c r="AK490">
        <v>1</v>
      </c>
      <c r="AL490">
        <v>1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6</v>
      </c>
      <c r="AT490">
        <v>0.1</v>
      </c>
      <c r="AU490" t="s">
        <v>6</v>
      </c>
      <c r="AV490">
        <v>0</v>
      </c>
      <c r="AW490">
        <v>2</v>
      </c>
      <c r="AX490">
        <v>16632231</v>
      </c>
      <c r="AY490">
        <v>1</v>
      </c>
      <c r="AZ490">
        <v>0</v>
      </c>
      <c r="BA490">
        <v>476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Y490*Source!I203</f>
        <v>0.4</v>
      </c>
      <c r="CY490">
        <f t="shared" si="75"/>
        <v>278.07</v>
      </c>
      <c r="CZ490">
        <f t="shared" si="76"/>
        <v>39</v>
      </c>
      <c r="DA490">
        <f t="shared" si="77"/>
        <v>7.13</v>
      </c>
      <c r="DB490">
        <f t="shared" si="73"/>
        <v>3.9</v>
      </c>
      <c r="DC490">
        <f t="shared" si="74"/>
        <v>0</v>
      </c>
    </row>
    <row r="491" spans="1:107" x14ac:dyDescent="0.2">
      <c r="A491">
        <f>ROW(Source!A203)</f>
        <v>203</v>
      </c>
      <c r="B491">
        <v>16630606</v>
      </c>
      <c r="C491">
        <v>16632195</v>
      </c>
      <c r="D491">
        <v>15238949</v>
      </c>
      <c r="E491">
        <v>1</v>
      </c>
      <c r="F491">
        <v>1</v>
      </c>
      <c r="G491">
        <v>1</v>
      </c>
      <c r="H491">
        <v>3</v>
      </c>
      <c r="I491" t="s">
        <v>677</v>
      </c>
      <c r="J491" t="s">
        <v>679</v>
      </c>
      <c r="K491" t="s">
        <v>678</v>
      </c>
      <c r="L491">
        <v>1354</v>
      </c>
      <c r="N491">
        <v>1010</v>
      </c>
      <c r="O491" t="s">
        <v>132</v>
      </c>
      <c r="P491" t="s">
        <v>132</v>
      </c>
      <c r="Q491">
        <v>1</v>
      </c>
      <c r="W491">
        <v>0</v>
      </c>
      <c r="X491">
        <v>2013622572</v>
      </c>
      <c r="Y491">
        <v>1</v>
      </c>
      <c r="AA491">
        <v>548.23</v>
      </c>
      <c r="AB491">
        <v>0</v>
      </c>
      <c r="AC491">
        <v>0</v>
      </c>
      <c r="AD491">
        <v>0</v>
      </c>
      <c r="AE491">
        <v>76.89</v>
      </c>
      <c r="AF491">
        <v>0</v>
      </c>
      <c r="AG491">
        <v>0</v>
      </c>
      <c r="AH491">
        <v>0</v>
      </c>
      <c r="AI491">
        <v>7.13</v>
      </c>
      <c r="AJ491">
        <v>1</v>
      </c>
      <c r="AK491">
        <v>1</v>
      </c>
      <c r="AL491">
        <v>1</v>
      </c>
      <c r="AN491">
        <v>0</v>
      </c>
      <c r="AO491">
        <v>0</v>
      </c>
      <c r="AP491">
        <v>0</v>
      </c>
      <c r="AQ491">
        <v>0</v>
      </c>
      <c r="AR491">
        <v>0</v>
      </c>
      <c r="AS491" t="s">
        <v>6</v>
      </c>
      <c r="AT491">
        <v>1</v>
      </c>
      <c r="AU491" t="s">
        <v>6</v>
      </c>
      <c r="AV491">
        <v>0</v>
      </c>
      <c r="AW491">
        <v>1</v>
      </c>
      <c r="AX491">
        <v>-1</v>
      </c>
      <c r="AY491">
        <v>0</v>
      </c>
      <c r="AZ491">
        <v>0</v>
      </c>
      <c r="BA491" t="s">
        <v>6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Y491*Source!I203</f>
        <v>4</v>
      </c>
      <c r="CY491">
        <f t="shared" si="75"/>
        <v>548.23</v>
      </c>
      <c r="CZ491">
        <f t="shared" si="76"/>
        <v>76.89</v>
      </c>
      <c r="DA491">
        <f t="shared" si="77"/>
        <v>7.13</v>
      </c>
      <c r="DB491">
        <f t="shared" si="73"/>
        <v>76.89</v>
      </c>
      <c r="DC491">
        <f t="shared" si="74"/>
        <v>0</v>
      </c>
    </row>
    <row r="492" spans="1:107" x14ac:dyDescent="0.2">
      <c r="A492">
        <f>ROW(Source!A203)</f>
        <v>203</v>
      </c>
      <c r="B492">
        <v>16630606</v>
      </c>
      <c r="C492">
        <v>16632195</v>
      </c>
      <c r="D492">
        <v>15164559</v>
      </c>
      <c r="E492">
        <v>17</v>
      </c>
      <c r="F492">
        <v>1</v>
      </c>
      <c r="G492">
        <v>1</v>
      </c>
      <c r="H492">
        <v>3</v>
      </c>
      <c r="I492" t="s">
        <v>1431</v>
      </c>
      <c r="J492" t="s">
        <v>6</v>
      </c>
      <c r="K492" t="s">
        <v>1432</v>
      </c>
      <c r="L492">
        <v>1374</v>
      </c>
      <c r="N492">
        <v>1013</v>
      </c>
      <c r="O492" t="s">
        <v>1433</v>
      </c>
      <c r="P492" t="s">
        <v>1433</v>
      </c>
      <c r="Q492">
        <v>1</v>
      </c>
      <c r="W492">
        <v>0</v>
      </c>
      <c r="X492">
        <v>-1731369543</v>
      </c>
      <c r="Y492">
        <v>0.44</v>
      </c>
      <c r="AA492">
        <v>1</v>
      </c>
      <c r="AB492">
        <v>0</v>
      </c>
      <c r="AC492">
        <v>0</v>
      </c>
      <c r="AD492">
        <v>0</v>
      </c>
      <c r="AE492">
        <v>1</v>
      </c>
      <c r="AF492">
        <v>0</v>
      </c>
      <c r="AG492">
        <v>0</v>
      </c>
      <c r="AH492">
        <v>0</v>
      </c>
      <c r="AI492">
        <v>1</v>
      </c>
      <c r="AJ492">
        <v>1</v>
      </c>
      <c r="AK492">
        <v>1</v>
      </c>
      <c r="AL492">
        <v>1</v>
      </c>
      <c r="AN492">
        <v>0</v>
      </c>
      <c r="AO492">
        <v>1</v>
      </c>
      <c r="AP492">
        <v>0</v>
      </c>
      <c r="AQ492">
        <v>0</v>
      </c>
      <c r="AR492">
        <v>0</v>
      </c>
      <c r="AS492" t="s">
        <v>6</v>
      </c>
      <c r="AT492">
        <v>0.44</v>
      </c>
      <c r="AU492" t="s">
        <v>6</v>
      </c>
      <c r="AV492">
        <v>0</v>
      </c>
      <c r="AW492">
        <v>2</v>
      </c>
      <c r="AX492">
        <v>16632232</v>
      </c>
      <c r="AY492">
        <v>1</v>
      </c>
      <c r="AZ492">
        <v>0</v>
      </c>
      <c r="BA492">
        <v>477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Y492*Source!I203</f>
        <v>1.76</v>
      </c>
      <c r="CY492">
        <f t="shared" si="75"/>
        <v>1</v>
      </c>
      <c r="CZ492">
        <f t="shared" si="76"/>
        <v>1</v>
      </c>
      <c r="DA492">
        <f t="shared" si="77"/>
        <v>1</v>
      </c>
      <c r="DB492">
        <f t="shared" si="73"/>
        <v>0.44</v>
      </c>
      <c r="DC492">
        <f t="shared" si="74"/>
        <v>0</v>
      </c>
    </row>
    <row r="493" spans="1:107" x14ac:dyDescent="0.2">
      <c r="A493">
        <f>ROW(Source!A205)</f>
        <v>205</v>
      </c>
      <c r="B493">
        <v>16630606</v>
      </c>
      <c r="C493">
        <v>16633519</v>
      </c>
      <c r="D493">
        <v>15436556</v>
      </c>
      <c r="E493">
        <v>1</v>
      </c>
      <c r="F493">
        <v>1</v>
      </c>
      <c r="G493">
        <v>1</v>
      </c>
      <c r="H493">
        <v>1</v>
      </c>
      <c r="I493" t="s">
        <v>1354</v>
      </c>
      <c r="J493" t="s">
        <v>6</v>
      </c>
      <c r="K493" t="s">
        <v>1355</v>
      </c>
      <c r="L493">
        <v>1191</v>
      </c>
      <c r="N493">
        <v>1013</v>
      </c>
      <c r="O493" t="s">
        <v>1148</v>
      </c>
      <c r="P493" t="s">
        <v>1148</v>
      </c>
      <c r="Q493">
        <v>1</v>
      </c>
      <c r="W493">
        <v>0</v>
      </c>
      <c r="X493">
        <v>1069510174</v>
      </c>
      <c r="Y493">
        <v>2.25</v>
      </c>
      <c r="AA493">
        <v>0</v>
      </c>
      <c r="AB493">
        <v>0</v>
      </c>
      <c r="AC493">
        <v>0</v>
      </c>
      <c r="AD493">
        <v>68.59</v>
      </c>
      <c r="AE493">
        <v>0</v>
      </c>
      <c r="AF493">
        <v>0</v>
      </c>
      <c r="AG493">
        <v>0</v>
      </c>
      <c r="AH493">
        <v>9.6199999999999992</v>
      </c>
      <c r="AI493">
        <v>1</v>
      </c>
      <c r="AJ493">
        <v>1</v>
      </c>
      <c r="AK493">
        <v>1</v>
      </c>
      <c r="AL493">
        <v>7.13</v>
      </c>
      <c r="AN493">
        <v>0</v>
      </c>
      <c r="AO493">
        <v>1</v>
      </c>
      <c r="AP493">
        <v>0</v>
      </c>
      <c r="AQ493">
        <v>0</v>
      </c>
      <c r="AR493">
        <v>0</v>
      </c>
      <c r="AS493" t="s">
        <v>6</v>
      </c>
      <c r="AT493">
        <v>2.25</v>
      </c>
      <c r="AU493" t="s">
        <v>6</v>
      </c>
      <c r="AV493">
        <v>1</v>
      </c>
      <c r="AW493">
        <v>2</v>
      </c>
      <c r="AX493">
        <v>16633520</v>
      </c>
      <c r="AY493">
        <v>1</v>
      </c>
      <c r="AZ493">
        <v>0</v>
      </c>
      <c r="BA493">
        <v>478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Y493*Source!I205</f>
        <v>4.5</v>
      </c>
      <c r="CY493">
        <f>AD493</f>
        <v>68.59</v>
      </c>
      <c r="CZ493">
        <f>AH493</f>
        <v>9.6199999999999992</v>
      </c>
      <c r="DA493">
        <f>AL493</f>
        <v>7.13</v>
      </c>
      <c r="DB493">
        <f t="shared" si="73"/>
        <v>21.65</v>
      </c>
      <c r="DC493">
        <f t="shared" si="74"/>
        <v>0</v>
      </c>
    </row>
    <row r="494" spans="1:107" x14ac:dyDescent="0.2">
      <c r="A494">
        <f>ROW(Source!A205)</f>
        <v>205</v>
      </c>
      <c r="B494">
        <v>16630606</v>
      </c>
      <c r="C494">
        <v>16633519</v>
      </c>
      <c r="D494">
        <v>15430395</v>
      </c>
      <c r="E494">
        <v>1</v>
      </c>
      <c r="F494">
        <v>1</v>
      </c>
      <c r="G494">
        <v>1</v>
      </c>
      <c r="H494">
        <v>1</v>
      </c>
      <c r="I494" t="s">
        <v>1149</v>
      </c>
      <c r="J494" t="s">
        <v>6</v>
      </c>
      <c r="K494" t="s">
        <v>1150</v>
      </c>
      <c r="L494">
        <v>1191</v>
      </c>
      <c r="N494">
        <v>1013</v>
      </c>
      <c r="O494" t="s">
        <v>1148</v>
      </c>
      <c r="P494" t="s">
        <v>1148</v>
      </c>
      <c r="Q494">
        <v>1</v>
      </c>
      <c r="W494">
        <v>0</v>
      </c>
      <c r="X494">
        <v>-1417349443</v>
      </c>
      <c r="Y494">
        <v>0.16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1</v>
      </c>
      <c r="AJ494">
        <v>1</v>
      </c>
      <c r="AK494">
        <v>7.13</v>
      </c>
      <c r="AL494">
        <v>1</v>
      </c>
      <c r="AN494">
        <v>0</v>
      </c>
      <c r="AO494">
        <v>1</v>
      </c>
      <c r="AP494">
        <v>0</v>
      </c>
      <c r="AQ494">
        <v>0</v>
      </c>
      <c r="AR494">
        <v>0</v>
      </c>
      <c r="AS494" t="s">
        <v>6</v>
      </c>
      <c r="AT494">
        <v>0.16</v>
      </c>
      <c r="AU494" t="s">
        <v>6</v>
      </c>
      <c r="AV494">
        <v>2</v>
      </c>
      <c r="AW494">
        <v>2</v>
      </c>
      <c r="AX494">
        <v>16633521</v>
      </c>
      <c r="AY494">
        <v>1</v>
      </c>
      <c r="AZ494">
        <v>0</v>
      </c>
      <c r="BA494">
        <v>479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Y494*Source!I205</f>
        <v>0.32</v>
      </c>
      <c r="CY494">
        <f>AD494</f>
        <v>0</v>
      </c>
      <c r="CZ494">
        <f>AH494</f>
        <v>0</v>
      </c>
      <c r="DA494">
        <f>AL494</f>
        <v>1</v>
      </c>
      <c r="DB494">
        <f t="shared" ref="DB494:DB511" si="78">ROUND(ROUND(AT494*CZ494,2),2)</f>
        <v>0</v>
      </c>
      <c r="DC494">
        <f t="shared" ref="DC494:DC511" si="79">ROUND(ROUND(AT494*AG494,2),2)</f>
        <v>0</v>
      </c>
    </row>
    <row r="495" spans="1:107" x14ac:dyDescent="0.2">
      <c r="A495">
        <f>ROW(Source!A205)</f>
        <v>205</v>
      </c>
      <c r="B495">
        <v>16630606</v>
      </c>
      <c r="C495">
        <v>16633519</v>
      </c>
      <c r="D495">
        <v>15247680</v>
      </c>
      <c r="E495">
        <v>1</v>
      </c>
      <c r="F495">
        <v>1</v>
      </c>
      <c r="G495">
        <v>1</v>
      </c>
      <c r="H495">
        <v>2</v>
      </c>
      <c r="I495" t="s">
        <v>1419</v>
      </c>
      <c r="J495" t="s">
        <v>1420</v>
      </c>
      <c r="K495" t="s">
        <v>1421</v>
      </c>
      <c r="L495">
        <v>1368</v>
      </c>
      <c r="N495">
        <v>1011</v>
      </c>
      <c r="O495" t="s">
        <v>1154</v>
      </c>
      <c r="P495" t="s">
        <v>1154</v>
      </c>
      <c r="Q495">
        <v>1</v>
      </c>
      <c r="W495">
        <v>0</v>
      </c>
      <c r="X495">
        <v>-1718674368</v>
      </c>
      <c r="Y495">
        <v>0.08</v>
      </c>
      <c r="AA495">
        <v>0</v>
      </c>
      <c r="AB495">
        <v>798.49</v>
      </c>
      <c r="AC495">
        <v>13.5</v>
      </c>
      <c r="AD495">
        <v>0</v>
      </c>
      <c r="AE495">
        <v>0</v>
      </c>
      <c r="AF495">
        <v>111.99</v>
      </c>
      <c r="AG495">
        <v>13.5</v>
      </c>
      <c r="AH495">
        <v>0</v>
      </c>
      <c r="AI495">
        <v>1</v>
      </c>
      <c r="AJ495">
        <v>7.13</v>
      </c>
      <c r="AK495">
        <v>1</v>
      </c>
      <c r="AL495">
        <v>1</v>
      </c>
      <c r="AN495">
        <v>0</v>
      </c>
      <c r="AO495">
        <v>1</v>
      </c>
      <c r="AP495">
        <v>0</v>
      </c>
      <c r="AQ495">
        <v>0</v>
      </c>
      <c r="AR495">
        <v>0</v>
      </c>
      <c r="AS495" t="s">
        <v>6</v>
      </c>
      <c r="AT495">
        <v>0.08</v>
      </c>
      <c r="AU495" t="s">
        <v>6</v>
      </c>
      <c r="AV495">
        <v>0</v>
      </c>
      <c r="AW495">
        <v>2</v>
      </c>
      <c r="AX495">
        <v>16633522</v>
      </c>
      <c r="AY495">
        <v>1</v>
      </c>
      <c r="AZ495">
        <v>0</v>
      </c>
      <c r="BA495">
        <v>480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Y495*Source!I205</f>
        <v>0.16</v>
      </c>
      <c r="CY495">
        <f>AB495</f>
        <v>798.49</v>
      </c>
      <c r="CZ495">
        <f>AF495</f>
        <v>111.99</v>
      </c>
      <c r="DA495">
        <f>AJ495</f>
        <v>7.13</v>
      </c>
      <c r="DB495">
        <f t="shared" si="78"/>
        <v>8.9600000000000009</v>
      </c>
      <c r="DC495">
        <f t="shared" si="79"/>
        <v>1.08</v>
      </c>
    </row>
    <row r="496" spans="1:107" x14ac:dyDescent="0.2">
      <c r="A496">
        <f>ROW(Source!A205)</f>
        <v>205</v>
      </c>
      <c r="B496">
        <v>16630606</v>
      </c>
      <c r="C496">
        <v>16633519</v>
      </c>
      <c r="D496">
        <v>15249073</v>
      </c>
      <c r="E496">
        <v>1</v>
      </c>
      <c r="F496">
        <v>1</v>
      </c>
      <c r="G496">
        <v>1</v>
      </c>
      <c r="H496">
        <v>2</v>
      </c>
      <c r="I496" t="s">
        <v>1157</v>
      </c>
      <c r="J496" t="s">
        <v>1158</v>
      </c>
      <c r="K496" t="s">
        <v>1159</v>
      </c>
      <c r="L496">
        <v>1368</v>
      </c>
      <c r="N496">
        <v>1011</v>
      </c>
      <c r="O496" t="s">
        <v>1154</v>
      </c>
      <c r="P496" t="s">
        <v>1154</v>
      </c>
      <c r="Q496">
        <v>1</v>
      </c>
      <c r="W496">
        <v>0</v>
      </c>
      <c r="X496">
        <v>1372534845</v>
      </c>
      <c r="Y496">
        <v>0.08</v>
      </c>
      <c r="AA496">
        <v>0</v>
      </c>
      <c r="AB496">
        <v>468.51</v>
      </c>
      <c r="AC496">
        <v>11.6</v>
      </c>
      <c r="AD496">
        <v>0</v>
      </c>
      <c r="AE496">
        <v>0</v>
      </c>
      <c r="AF496">
        <v>65.709999999999994</v>
      </c>
      <c r="AG496">
        <v>11.6</v>
      </c>
      <c r="AH496">
        <v>0</v>
      </c>
      <c r="AI496">
        <v>1</v>
      </c>
      <c r="AJ496">
        <v>7.13</v>
      </c>
      <c r="AK496">
        <v>1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6</v>
      </c>
      <c r="AT496">
        <v>0.08</v>
      </c>
      <c r="AU496" t="s">
        <v>6</v>
      </c>
      <c r="AV496">
        <v>0</v>
      </c>
      <c r="AW496">
        <v>2</v>
      </c>
      <c r="AX496">
        <v>16633523</v>
      </c>
      <c r="AY496">
        <v>1</v>
      </c>
      <c r="AZ496">
        <v>0</v>
      </c>
      <c r="BA496">
        <v>481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Y496*Source!I205</f>
        <v>0.16</v>
      </c>
      <c r="CY496">
        <f>AB496</f>
        <v>468.51</v>
      </c>
      <c r="CZ496">
        <f>AF496</f>
        <v>65.709999999999994</v>
      </c>
      <c r="DA496">
        <f>AJ496</f>
        <v>7.13</v>
      </c>
      <c r="DB496">
        <f t="shared" si="78"/>
        <v>5.26</v>
      </c>
      <c r="DC496">
        <f t="shared" si="79"/>
        <v>0.93</v>
      </c>
    </row>
    <row r="497" spans="1:107" x14ac:dyDescent="0.2">
      <c r="A497">
        <f>ROW(Source!A205)</f>
        <v>205</v>
      </c>
      <c r="B497">
        <v>16630606</v>
      </c>
      <c r="C497">
        <v>16633519</v>
      </c>
      <c r="D497">
        <v>15169942</v>
      </c>
      <c r="E497">
        <v>1</v>
      </c>
      <c r="F497">
        <v>1</v>
      </c>
      <c r="G497">
        <v>1</v>
      </c>
      <c r="H497">
        <v>3</v>
      </c>
      <c r="I497" t="s">
        <v>1425</v>
      </c>
      <c r="J497" t="s">
        <v>1426</v>
      </c>
      <c r="K497" t="s">
        <v>1427</v>
      </c>
      <c r="L497">
        <v>1346</v>
      </c>
      <c r="N497">
        <v>1009</v>
      </c>
      <c r="O497" t="s">
        <v>102</v>
      </c>
      <c r="P497" t="s">
        <v>102</v>
      </c>
      <c r="Q497">
        <v>1</v>
      </c>
      <c r="W497">
        <v>0</v>
      </c>
      <c r="X497">
        <v>103900845</v>
      </c>
      <c r="Y497">
        <v>0.04</v>
      </c>
      <c r="AA497">
        <v>64.459999999999994</v>
      </c>
      <c r="AB497">
        <v>0</v>
      </c>
      <c r="AC497">
        <v>0</v>
      </c>
      <c r="AD497">
        <v>0</v>
      </c>
      <c r="AE497">
        <v>9.0399999999999991</v>
      </c>
      <c r="AF497">
        <v>0</v>
      </c>
      <c r="AG497">
        <v>0</v>
      </c>
      <c r="AH497">
        <v>0</v>
      </c>
      <c r="AI497">
        <v>7.13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0</v>
      </c>
      <c r="AQ497">
        <v>0</v>
      </c>
      <c r="AR497">
        <v>0</v>
      </c>
      <c r="AS497" t="s">
        <v>6</v>
      </c>
      <c r="AT497">
        <v>0.04</v>
      </c>
      <c r="AU497" t="s">
        <v>6</v>
      </c>
      <c r="AV497">
        <v>0</v>
      </c>
      <c r="AW497">
        <v>2</v>
      </c>
      <c r="AX497">
        <v>16633524</v>
      </c>
      <c r="AY497">
        <v>1</v>
      </c>
      <c r="AZ497">
        <v>0</v>
      </c>
      <c r="BA497">
        <v>482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Y497*Source!I205</f>
        <v>0.08</v>
      </c>
      <c r="CY497">
        <f>AA497</f>
        <v>64.459999999999994</v>
      </c>
      <c r="CZ497">
        <f>AE497</f>
        <v>9.0399999999999991</v>
      </c>
      <c r="DA497">
        <f>AI497</f>
        <v>7.13</v>
      </c>
      <c r="DB497">
        <f t="shared" si="78"/>
        <v>0.36</v>
      </c>
      <c r="DC497">
        <f t="shared" si="79"/>
        <v>0</v>
      </c>
    </row>
    <row r="498" spans="1:107" x14ac:dyDescent="0.2">
      <c r="A498">
        <f>ROW(Source!A205)</f>
        <v>205</v>
      </c>
      <c r="B498">
        <v>16630606</v>
      </c>
      <c r="C498">
        <v>16633519</v>
      </c>
      <c r="D498">
        <v>15241765</v>
      </c>
      <c r="E498">
        <v>1</v>
      </c>
      <c r="F498">
        <v>1</v>
      </c>
      <c r="G498">
        <v>1</v>
      </c>
      <c r="H498">
        <v>3</v>
      </c>
      <c r="I498" t="s">
        <v>685</v>
      </c>
      <c r="J498" t="s">
        <v>687</v>
      </c>
      <c r="K498" t="s">
        <v>686</v>
      </c>
      <c r="L498">
        <v>1354</v>
      </c>
      <c r="N498">
        <v>1010</v>
      </c>
      <c r="O498" t="s">
        <v>132</v>
      </c>
      <c r="P498" t="s">
        <v>132</v>
      </c>
      <c r="Q498">
        <v>1</v>
      </c>
      <c r="W498">
        <v>0</v>
      </c>
      <c r="X498">
        <v>-59692635</v>
      </c>
      <c r="Y498">
        <v>1</v>
      </c>
      <c r="AA498">
        <v>609.9</v>
      </c>
      <c r="AB498">
        <v>0</v>
      </c>
      <c r="AC498">
        <v>0</v>
      </c>
      <c r="AD498">
        <v>0</v>
      </c>
      <c r="AE498">
        <v>85.54</v>
      </c>
      <c r="AF498">
        <v>0</v>
      </c>
      <c r="AG498">
        <v>0</v>
      </c>
      <c r="AH498">
        <v>0</v>
      </c>
      <c r="AI498">
        <v>7.13</v>
      </c>
      <c r="AJ498">
        <v>1</v>
      </c>
      <c r="AK498">
        <v>1</v>
      </c>
      <c r="AL498">
        <v>1</v>
      </c>
      <c r="AN498">
        <v>0</v>
      </c>
      <c r="AO498">
        <v>0</v>
      </c>
      <c r="AP498">
        <v>0</v>
      </c>
      <c r="AQ498">
        <v>0</v>
      </c>
      <c r="AR498">
        <v>0</v>
      </c>
      <c r="AS498" t="s">
        <v>6</v>
      </c>
      <c r="AT498">
        <v>1</v>
      </c>
      <c r="AU498" t="s">
        <v>6</v>
      </c>
      <c r="AV498">
        <v>0</v>
      </c>
      <c r="AW498">
        <v>1</v>
      </c>
      <c r="AX498">
        <v>-1</v>
      </c>
      <c r="AY498">
        <v>0</v>
      </c>
      <c r="AZ498">
        <v>0</v>
      </c>
      <c r="BA498" t="s">
        <v>6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Y498*Source!I205</f>
        <v>2</v>
      </c>
      <c r="CY498">
        <f>AA498</f>
        <v>609.9</v>
      </c>
      <c r="CZ498">
        <f>AE498</f>
        <v>85.54</v>
      </c>
      <c r="DA498">
        <f>AI498</f>
        <v>7.13</v>
      </c>
      <c r="DB498">
        <f t="shared" si="78"/>
        <v>85.54</v>
      </c>
      <c r="DC498">
        <f t="shared" si="79"/>
        <v>0</v>
      </c>
    </row>
    <row r="499" spans="1:107" x14ac:dyDescent="0.2">
      <c r="A499">
        <f>ROW(Source!A205)</f>
        <v>205</v>
      </c>
      <c r="B499">
        <v>16630606</v>
      </c>
      <c r="C499">
        <v>16633519</v>
      </c>
      <c r="D499">
        <v>15164559</v>
      </c>
      <c r="E499">
        <v>17</v>
      </c>
      <c r="F499">
        <v>1</v>
      </c>
      <c r="G499">
        <v>1</v>
      </c>
      <c r="H499">
        <v>3</v>
      </c>
      <c r="I499" t="s">
        <v>1431</v>
      </c>
      <c r="J499" t="s">
        <v>6</v>
      </c>
      <c r="K499" t="s">
        <v>1432</v>
      </c>
      <c r="L499">
        <v>1374</v>
      </c>
      <c r="N499">
        <v>1013</v>
      </c>
      <c r="O499" t="s">
        <v>1433</v>
      </c>
      <c r="P499" t="s">
        <v>1433</v>
      </c>
      <c r="Q499">
        <v>1</v>
      </c>
      <c r="W499">
        <v>0</v>
      </c>
      <c r="X499">
        <v>-1731369543</v>
      </c>
      <c r="Y499">
        <v>0.43</v>
      </c>
      <c r="AA499">
        <v>1</v>
      </c>
      <c r="AB499">
        <v>0</v>
      </c>
      <c r="AC499">
        <v>0</v>
      </c>
      <c r="AD499">
        <v>0</v>
      </c>
      <c r="AE499">
        <v>1</v>
      </c>
      <c r="AF499">
        <v>0</v>
      </c>
      <c r="AG499">
        <v>0</v>
      </c>
      <c r="AH499">
        <v>0</v>
      </c>
      <c r="AI499">
        <v>1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0</v>
      </c>
      <c r="AQ499">
        <v>0</v>
      </c>
      <c r="AR499">
        <v>0</v>
      </c>
      <c r="AS499" t="s">
        <v>6</v>
      </c>
      <c r="AT499">
        <v>0.43</v>
      </c>
      <c r="AU499" t="s">
        <v>6</v>
      </c>
      <c r="AV499">
        <v>0</v>
      </c>
      <c r="AW499">
        <v>2</v>
      </c>
      <c r="AX499">
        <v>16633525</v>
      </c>
      <c r="AY499">
        <v>1</v>
      </c>
      <c r="AZ499">
        <v>0</v>
      </c>
      <c r="BA499">
        <v>483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Y499*Source!I205</f>
        <v>0.86</v>
      </c>
      <c r="CY499">
        <f>AA499</f>
        <v>1</v>
      </c>
      <c r="CZ499">
        <f>AE499</f>
        <v>1</v>
      </c>
      <c r="DA499">
        <f>AI499</f>
        <v>1</v>
      </c>
      <c r="DB499">
        <f t="shared" si="78"/>
        <v>0.43</v>
      </c>
      <c r="DC499">
        <f t="shared" si="79"/>
        <v>0</v>
      </c>
    </row>
    <row r="500" spans="1:107" x14ac:dyDescent="0.2">
      <c r="A500">
        <f>ROW(Source!A207)</f>
        <v>207</v>
      </c>
      <c r="B500">
        <v>16630606</v>
      </c>
      <c r="C500">
        <v>16632234</v>
      </c>
      <c r="D500">
        <v>15885198</v>
      </c>
      <c r="E500">
        <v>1</v>
      </c>
      <c r="F500">
        <v>1</v>
      </c>
      <c r="G500">
        <v>1</v>
      </c>
      <c r="H500">
        <v>1</v>
      </c>
      <c r="I500" t="s">
        <v>1513</v>
      </c>
      <c r="J500" t="s">
        <v>6</v>
      </c>
      <c r="K500" t="s">
        <v>1514</v>
      </c>
      <c r="L500">
        <v>1191</v>
      </c>
      <c r="N500">
        <v>1013</v>
      </c>
      <c r="O500" t="s">
        <v>1148</v>
      </c>
      <c r="P500" t="s">
        <v>1148</v>
      </c>
      <c r="Q500">
        <v>1</v>
      </c>
      <c r="W500">
        <v>0</v>
      </c>
      <c r="X500">
        <v>-1166887252</v>
      </c>
      <c r="Y500">
        <v>0.16</v>
      </c>
      <c r="AA500">
        <v>0</v>
      </c>
      <c r="AB500">
        <v>0</v>
      </c>
      <c r="AC500">
        <v>0</v>
      </c>
      <c r="AD500">
        <v>92.12</v>
      </c>
      <c r="AE500">
        <v>0</v>
      </c>
      <c r="AF500">
        <v>0</v>
      </c>
      <c r="AG500">
        <v>0</v>
      </c>
      <c r="AH500">
        <v>12.92</v>
      </c>
      <c r="AI500">
        <v>1</v>
      </c>
      <c r="AJ500">
        <v>1</v>
      </c>
      <c r="AK500">
        <v>1</v>
      </c>
      <c r="AL500">
        <v>7.13</v>
      </c>
      <c r="AN500">
        <v>0</v>
      </c>
      <c r="AO500">
        <v>1</v>
      </c>
      <c r="AP500">
        <v>0</v>
      </c>
      <c r="AQ500">
        <v>0</v>
      </c>
      <c r="AR500">
        <v>0</v>
      </c>
      <c r="AS500" t="s">
        <v>6</v>
      </c>
      <c r="AT500">
        <v>0.16</v>
      </c>
      <c r="AU500" t="s">
        <v>6</v>
      </c>
      <c r="AV500">
        <v>1</v>
      </c>
      <c r="AW500">
        <v>2</v>
      </c>
      <c r="AX500">
        <v>16632237</v>
      </c>
      <c r="AY500">
        <v>1</v>
      </c>
      <c r="AZ500">
        <v>0</v>
      </c>
      <c r="BA500">
        <v>484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Y500*Source!I207</f>
        <v>3.52</v>
      </c>
      <c r="CY500">
        <f t="shared" ref="CY500:CY509" si="80">AD500</f>
        <v>92.12</v>
      </c>
      <c r="CZ500">
        <f t="shared" ref="CZ500:CZ509" si="81">AH500</f>
        <v>12.92</v>
      </c>
      <c r="DA500">
        <f t="shared" ref="DA500:DA509" si="82">AL500</f>
        <v>7.13</v>
      </c>
      <c r="DB500">
        <f t="shared" si="78"/>
        <v>2.0699999999999998</v>
      </c>
      <c r="DC500">
        <f t="shared" si="79"/>
        <v>0</v>
      </c>
    </row>
    <row r="501" spans="1:107" x14ac:dyDescent="0.2">
      <c r="A501">
        <f>ROW(Source!A207)</f>
        <v>207</v>
      </c>
      <c r="B501">
        <v>16630606</v>
      </c>
      <c r="C501">
        <v>16632234</v>
      </c>
      <c r="D501">
        <v>15884235</v>
      </c>
      <c r="E501">
        <v>1</v>
      </c>
      <c r="F501">
        <v>1</v>
      </c>
      <c r="G501">
        <v>1</v>
      </c>
      <c r="H501">
        <v>1</v>
      </c>
      <c r="I501" t="s">
        <v>1515</v>
      </c>
      <c r="J501" t="s">
        <v>6</v>
      </c>
      <c r="K501" t="s">
        <v>1516</v>
      </c>
      <c r="L501">
        <v>1191</v>
      </c>
      <c r="N501">
        <v>1013</v>
      </c>
      <c r="O501" t="s">
        <v>1148</v>
      </c>
      <c r="P501" t="s">
        <v>1148</v>
      </c>
      <c r="Q501">
        <v>1</v>
      </c>
      <c r="W501">
        <v>0</v>
      </c>
      <c r="X501">
        <v>1776637054</v>
      </c>
      <c r="Y501">
        <v>0.16</v>
      </c>
      <c r="AA501">
        <v>0</v>
      </c>
      <c r="AB501">
        <v>0</v>
      </c>
      <c r="AC501">
        <v>0</v>
      </c>
      <c r="AD501">
        <v>90.48</v>
      </c>
      <c r="AE501">
        <v>0</v>
      </c>
      <c r="AF501">
        <v>0</v>
      </c>
      <c r="AG501">
        <v>0</v>
      </c>
      <c r="AH501">
        <v>12.69</v>
      </c>
      <c r="AI501">
        <v>1</v>
      </c>
      <c r="AJ501">
        <v>1</v>
      </c>
      <c r="AK501">
        <v>1</v>
      </c>
      <c r="AL501">
        <v>7.13</v>
      </c>
      <c r="AN501">
        <v>0</v>
      </c>
      <c r="AO501">
        <v>1</v>
      </c>
      <c r="AP501">
        <v>0</v>
      </c>
      <c r="AQ501">
        <v>0</v>
      </c>
      <c r="AR501">
        <v>0</v>
      </c>
      <c r="AS501" t="s">
        <v>6</v>
      </c>
      <c r="AT501">
        <v>0.16</v>
      </c>
      <c r="AU501" t="s">
        <v>6</v>
      </c>
      <c r="AV501">
        <v>1</v>
      </c>
      <c r="AW501">
        <v>2</v>
      </c>
      <c r="AX501">
        <v>16632238</v>
      </c>
      <c r="AY501">
        <v>1</v>
      </c>
      <c r="AZ501">
        <v>0</v>
      </c>
      <c r="BA501">
        <v>485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Y501*Source!I207</f>
        <v>3.52</v>
      </c>
      <c r="CY501">
        <f t="shared" si="80"/>
        <v>90.48</v>
      </c>
      <c r="CZ501">
        <f t="shared" si="81"/>
        <v>12.69</v>
      </c>
      <c r="DA501">
        <f t="shared" si="82"/>
        <v>7.13</v>
      </c>
      <c r="DB501">
        <f t="shared" si="78"/>
        <v>2.0299999999999998</v>
      </c>
      <c r="DC501">
        <f t="shared" si="79"/>
        <v>0</v>
      </c>
    </row>
    <row r="502" spans="1:107" x14ac:dyDescent="0.2">
      <c r="A502">
        <f>ROW(Source!A208)</f>
        <v>208</v>
      </c>
      <c r="B502">
        <v>16630606</v>
      </c>
      <c r="C502">
        <v>16632239</v>
      </c>
      <c r="D502">
        <v>15885198</v>
      </c>
      <c r="E502">
        <v>1</v>
      </c>
      <c r="F502">
        <v>1</v>
      </c>
      <c r="G502">
        <v>1</v>
      </c>
      <c r="H502">
        <v>1</v>
      </c>
      <c r="I502" t="s">
        <v>1513</v>
      </c>
      <c r="J502" t="s">
        <v>6</v>
      </c>
      <c r="K502" t="s">
        <v>1514</v>
      </c>
      <c r="L502">
        <v>1191</v>
      </c>
      <c r="N502">
        <v>1013</v>
      </c>
      <c r="O502" t="s">
        <v>1148</v>
      </c>
      <c r="P502" t="s">
        <v>1148</v>
      </c>
      <c r="Q502">
        <v>1</v>
      </c>
      <c r="W502">
        <v>0</v>
      </c>
      <c r="X502">
        <v>-1166887252</v>
      </c>
      <c r="Y502">
        <v>6.48</v>
      </c>
      <c r="AA502">
        <v>0</v>
      </c>
      <c r="AB502">
        <v>0</v>
      </c>
      <c r="AC502">
        <v>0</v>
      </c>
      <c r="AD502">
        <v>92.12</v>
      </c>
      <c r="AE502">
        <v>0</v>
      </c>
      <c r="AF502">
        <v>0</v>
      </c>
      <c r="AG502">
        <v>0</v>
      </c>
      <c r="AH502">
        <v>12.92</v>
      </c>
      <c r="AI502">
        <v>1</v>
      </c>
      <c r="AJ502">
        <v>1</v>
      </c>
      <c r="AK502">
        <v>1</v>
      </c>
      <c r="AL502">
        <v>7.13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6</v>
      </c>
      <c r="AT502">
        <v>6.48</v>
      </c>
      <c r="AU502" t="s">
        <v>6</v>
      </c>
      <c r="AV502">
        <v>1</v>
      </c>
      <c r="AW502">
        <v>2</v>
      </c>
      <c r="AX502">
        <v>16632242</v>
      </c>
      <c r="AY502">
        <v>1</v>
      </c>
      <c r="AZ502">
        <v>0</v>
      </c>
      <c r="BA502">
        <v>486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Y502*Source!I208</f>
        <v>2.0736000000000003</v>
      </c>
      <c r="CY502">
        <f t="shared" si="80"/>
        <v>92.12</v>
      </c>
      <c r="CZ502">
        <f t="shared" si="81"/>
        <v>12.92</v>
      </c>
      <c r="DA502">
        <f t="shared" si="82"/>
        <v>7.13</v>
      </c>
      <c r="DB502">
        <f t="shared" si="78"/>
        <v>83.72</v>
      </c>
      <c r="DC502">
        <f t="shared" si="79"/>
        <v>0</v>
      </c>
    </row>
    <row r="503" spans="1:107" x14ac:dyDescent="0.2">
      <c r="A503">
        <f>ROW(Source!A208)</f>
        <v>208</v>
      </c>
      <c r="B503">
        <v>16630606</v>
      </c>
      <c r="C503">
        <v>16632239</v>
      </c>
      <c r="D503">
        <v>15884235</v>
      </c>
      <c r="E503">
        <v>1</v>
      </c>
      <c r="F503">
        <v>1</v>
      </c>
      <c r="G503">
        <v>1</v>
      </c>
      <c r="H503">
        <v>1</v>
      </c>
      <c r="I503" t="s">
        <v>1515</v>
      </c>
      <c r="J503" t="s">
        <v>6</v>
      </c>
      <c r="K503" t="s">
        <v>1516</v>
      </c>
      <c r="L503">
        <v>1191</v>
      </c>
      <c r="N503">
        <v>1013</v>
      </c>
      <c r="O503" t="s">
        <v>1148</v>
      </c>
      <c r="P503" t="s">
        <v>1148</v>
      </c>
      <c r="Q503">
        <v>1</v>
      </c>
      <c r="W503">
        <v>0</v>
      </c>
      <c r="X503">
        <v>1776637054</v>
      </c>
      <c r="Y503">
        <v>6.48</v>
      </c>
      <c r="AA503">
        <v>0</v>
      </c>
      <c r="AB503">
        <v>0</v>
      </c>
      <c r="AC503">
        <v>0</v>
      </c>
      <c r="AD503">
        <v>90.48</v>
      </c>
      <c r="AE503">
        <v>0</v>
      </c>
      <c r="AF503">
        <v>0</v>
      </c>
      <c r="AG503">
        <v>0</v>
      </c>
      <c r="AH503">
        <v>12.69</v>
      </c>
      <c r="AI503">
        <v>1</v>
      </c>
      <c r="AJ503">
        <v>1</v>
      </c>
      <c r="AK503">
        <v>1</v>
      </c>
      <c r="AL503">
        <v>7.13</v>
      </c>
      <c r="AN503">
        <v>0</v>
      </c>
      <c r="AO503">
        <v>1</v>
      </c>
      <c r="AP503">
        <v>0</v>
      </c>
      <c r="AQ503">
        <v>0</v>
      </c>
      <c r="AR503">
        <v>0</v>
      </c>
      <c r="AS503" t="s">
        <v>6</v>
      </c>
      <c r="AT503">
        <v>6.48</v>
      </c>
      <c r="AU503" t="s">
        <v>6</v>
      </c>
      <c r="AV503">
        <v>1</v>
      </c>
      <c r="AW503">
        <v>2</v>
      </c>
      <c r="AX503">
        <v>16632243</v>
      </c>
      <c r="AY503">
        <v>1</v>
      </c>
      <c r="AZ503">
        <v>0</v>
      </c>
      <c r="BA503">
        <v>487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Y503*Source!I208</f>
        <v>2.0736000000000003</v>
      </c>
      <c r="CY503">
        <f t="shared" si="80"/>
        <v>90.48</v>
      </c>
      <c r="CZ503">
        <f t="shared" si="81"/>
        <v>12.69</v>
      </c>
      <c r="DA503">
        <f t="shared" si="82"/>
        <v>7.13</v>
      </c>
      <c r="DB503">
        <f t="shared" si="78"/>
        <v>82.23</v>
      </c>
      <c r="DC503">
        <f t="shared" si="79"/>
        <v>0</v>
      </c>
    </row>
    <row r="504" spans="1:107" x14ac:dyDescent="0.2">
      <c r="A504">
        <f>ROW(Source!A209)</f>
        <v>209</v>
      </c>
      <c r="B504">
        <v>16630606</v>
      </c>
      <c r="C504">
        <v>16632244</v>
      </c>
      <c r="D504">
        <v>15885198</v>
      </c>
      <c r="E504">
        <v>1</v>
      </c>
      <c r="F504">
        <v>1</v>
      </c>
      <c r="G504">
        <v>1</v>
      </c>
      <c r="H504">
        <v>1</v>
      </c>
      <c r="I504" t="s">
        <v>1513</v>
      </c>
      <c r="J504" t="s">
        <v>6</v>
      </c>
      <c r="K504" t="s">
        <v>1514</v>
      </c>
      <c r="L504">
        <v>1191</v>
      </c>
      <c r="N504">
        <v>1013</v>
      </c>
      <c r="O504" t="s">
        <v>1148</v>
      </c>
      <c r="P504" t="s">
        <v>1148</v>
      </c>
      <c r="Q504">
        <v>1</v>
      </c>
      <c r="W504">
        <v>0</v>
      </c>
      <c r="X504">
        <v>-1166887252</v>
      </c>
      <c r="Y504">
        <v>0.61</v>
      </c>
      <c r="AA504">
        <v>0</v>
      </c>
      <c r="AB504">
        <v>0</v>
      </c>
      <c r="AC504">
        <v>0</v>
      </c>
      <c r="AD504">
        <v>92.12</v>
      </c>
      <c r="AE504">
        <v>0</v>
      </c>
      <c r="AF504">
        <v>0</v>
      </c>
      <c r="AG504">
        <v>0</v>
      </c>
      <c r="AH504">
        <v>12.92</v>
      </c>
      <c r="AI504">
        <v>1</v>
      </c>
      <c r="AJ504">
        <v>1</v>
      </c>
      <c r="AK504">
        <v>1</v>
      </c>
      <c r="AL504">
        <v>7.13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6</v>
      </c>
      <c r="AT504">
        <v>0.61</v>
      </c>
      <c r="AU504" t="s">
        <v>6</v>
      </c>
      <c r="AV504">
        <v>1</v>
      </c>
      <c r="AW504">
        <v>2</v>
      </c>
      <c r="AX504">
        <v>16632247</v>
      </c>
      <c r="AY504">
        <v>1</v>
      </c>
      <c r="AZ504">
        <v>0</v>
      </c>
      <c r="BA504">
        <v>488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Y504*Source!I209</f>
        <v>1.22</v>
      </c>
      <c r="CY504">
        <f t="shared" si="80"/>
        <v>92.12</v>
      </c>
      <c r="CZ504">
        <f t="shared" si="81"/>
        <v>12.92</v>
      </c>
      <c r="DA504">
        <f t="shared" si="82"/>
        <v>7.13</v>
      </c>
      <c r="DB504">
        <f t="shared" si="78"/>
        <v>7.88</v>
      </c>
      <c r="DC504">
        <f t="shared" si="79"/>
        <v>0</v>
      </c>
    </row>
    <row r="505" spans="1:107" x14ac:dyDescent="0.2">
      <c r="A505">
        <f>ROW(Source!A209)</f>
        <v>209</v>
      </c>
      <c r="B505">
        <v>16630606</v>
      </c>
      <c r="C505">
        <v>16632244</v>
      </c>
      <c r="D505">
        <v>15884235</v>
      </c>
      <c r="E505">
        <v>1</v>
      </c>
      <c r="F505">
        <v>1</v>
      </c>
      <c r="G505">
        <v>1</v>
      </c>
      <c r="H505">
        <v>1</v>
      </c>
      <c r="I505" t="s">
        <v>1515</v>
      </c>
      <c r="J505" t="s">
        <v>6</v>
      </c>
      <c r="K505" t="s">
        <v>1516</v>
      </c>
      <c r="L505">
        <v>1191</v>
      </c>
      <c r="N505">
        <v>1013</v>
      </c>
      <c r="O505" t="s">
        <v>1148</v>
      </c>
      <c r="P505" t="s">
        <v>1148</v>
      </c>
      <c r="Q505">
        <v>1</v>
      </c>
      <c r="W505">
        <v>0</v>
      </c>
      <c r="X505">
        <v>1776637054</v>
      </c>
      <c r="Y505">
        <v>0.61</v>
      </c>
      <c r="AA505">
        <v>0</v>
      </c>
      <c r="AB505">
        <v>0</v>
      </c>
      <c r="AC505">
        <v>0</v>
      </c>
      <c r="AD505">
        <v>90.48</v>
      </c>
      <c r="AE505">
        <v>0</v>
      </c>
      <c r="AF505">
        <v>0</v>
      </c>
      <c r="AG505">
        <v>0</v>
      </c>
      <c r="AH505">
        <v>12.69</v>
      </c>
      <c r="AI505">
        <v>1</v>
      </c>
      <c r="AJ505">
        <v>1</v>
      </c>
      <c r="AK505">
        <v>1</v>
      </c>
      <c r="AL505">
        <v>7.13</v>
      </c>
      <c r="AN505">
        <v>0</v>
      </c>
      <c r="AO505">
        <v>1</v>
      </c>
      <c r="AP505">
        <v>0</v>
      </c>
      <c r="AQ505">
        <v>0</v>
      </c>
      <c r="AR505">
        <v>0</v>
      </c>
      <c r="AS505" t="s">
        <v>6</v>
      </c>
      <c r="AT505">
        <v>0.61</v>
      </c>
      <c r="AU505" t="s">
        <v>6</v>
      </c>
      <c r="AV505">
        <v>1</v>
      </c>
      <c r="AW505">
        <v>2</v>
      </c>
      <c r="AX505">
        <v>16632248</v>
      </c>
      <c r="AY505">
        <v>1</v>
      </c>
      <c r="AZ505">
        <v>0</v>
      </c>
      <c r="BA505">
        <v>489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Y505*Source!I209</f>
        <v>1.22</v>
      </c>
      <c r="CY505">
        <f t="shared" si="80"/>
        <v>90.48</v>
      </c>
      <c r="CZ505">
        <f t="shared" si="81"/>
        <v>12.69</v>
      </c>
      <c r="DA505">
        <f t="shared" si="82"/>
        <v>7.13</v>
      </c>
      <c r="DB505">
        <f t="shared" si="78"/>
        <v>7.74</v>
      </c>
      <c r="DC505">
        <f t="shared" si="79"/>
        <v>0</v>
      </c>
    </row>
    <row r="506" spans="1:107" x14ac:dyDescent="0.2">
      <c r="A506">
        <f>ROW(Source!A210)</f>
        <v>210</v>
      </c>
      <c r="B506">
        <v>16630606</v>
      </c>
      <c r="C506">
        <v>16632249</v>
      </c>
      <c r="D506">
        <v>15884482</v>
      </c>
      <c r="E506">
        <v>1</v>
      </c>
      <c r="F506">
        <v>1</v>
      </c>
      <c r="G506">
        <v>1</v>
      </c>
      <c r="H506">
        <v>1</v>
      </c>
      <c r="I506" t="s">
        <v>1517</v>
      </c>
      <c r="J506" t="s">
        <v>6</v>
      </c>
      <c r="K506" t="s">
        <v>1518</v>
      </c>
      <c r="L506">
        <v>1191</v>
      </c>
      <c r="N506">
        <v>1013</v>
      </c>
      <c r="O506" t="s">
        <v>1148</v>
      </c>
      <c r="P506" t="s">
        <v>1148</v>
      </c>
      <c r="Q506">
        <v>1</v>
      </c>
      <c r="W506">
        <v>0</v>
      </c>
      <c r="X506">
        <v>1197411217</v>
      </c>
      <c r="Y506">
        <v>0.68</v>
      </c>
      <c r="AA506">
        <v>0</v>
      </c>
      <c r="AB506">
        <v>0</v>
      </c>
      <c r="AC506">
        <v>0</v>
      </c>
      <c r="AD506">
        <v>68.59</v>
      </c>
      <c r="AE506">
        <v>0</v>
      </c>
      <c r="AF506">
        <v>0</v>
      </c>
      <c r="AG506">
        <v>0</v>
      </c>
      <c r="AH506">
        <v>9.6199999999999992</v>
      </c>
      <c r="AI506">
        <v>1</v>
      </c>
      <c r="AJ506">
        <v>1</v>
      </c>
      <c r="AK506">
        <v>1</v>
      </c>
      <c r="AL506">
        <v>7.13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6</v>
      </c>
      <c r="AT506">
        <v>0.68</v>
      </c>
      <c r="AU506" t="s">
        <v>6</v>
      </c>
      <c r="AV506">
        <v>1</v>
      </c>
      <c r="AW506">
        <v>2</v>
      </c>
      <c r="AX506">
        <v>16632252</v>
      </c>
      <c r="AY506">
        <v>1</v>
      </c>
      <c r="AZ506">
        <v>0</v>
      </c>
      <c r="BA506">
        <v>490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Y506*Source!I210</f>
        <v>14.96</v>
      </c>
      <c r="CY506">
        <f t="shared" si="80"/>
        <v>68.59</v>
      </c>
      <c r="CZ506">
        <f t="shared" si="81"/>
        <v>9.6199999999999992</v>
      </c>
      <c r="DA506">
        <f t="shared" si="82"/>
        <v>7.13</v>
      </c>
      <c r="DB506">
        <f t="shared" si="78"/>
        <v>6.54</v>
      </c>
      <c r="DC506">
        <f t="shared" si="79"/>
        <v>0</v>
      </c>
    </row>
    <row r="507" spans="1:107" x14ac:dyDescent="0.2">
      <c r="A507">
        <f>ROW(Source!A210)</f>
        <v>210</v>
      </c>
      <c r="B507">
        <v>16630606</v>
      </c>
      <c r="C507">
        <v>16632249</v>
      </c>
      <c r="D507">
        <v>15884231</v>
      </c>
      <c r="E507">
        <v>1</v>
      </c>
      <c r="F507">
        <v>1</v>
      </c>
      <c r="G507">
        <v>1</v>
      </c>
      <c r="H507">
        <v>1</v>
      </c>
      <c r="I507" t="s">
        <v>1519</v>
      </c>
      <c r="J507" t="s">
        <v>6</v>
      </c>
      <c r="K507" t="s">
        <v>1520</v>
      </c>
      <c r="L507">
        <v>1191</v>
      </c>
      <c r="N507">
        <v>1013</v>
      </c>
      <c r="O507" t="s">
        <v>1148</v>
      </c>
      <c r="P507" t="s">
        <v>1148</v>
      </c>
      <c r="Q507">
        <v>1</v>
      </c>
      <c r="W507">
        <v>0</v>
      </c>
      <c r="X507">
        <v>-1309109184</v>
      </c>
      <c r="Y507">
        <v>0.68</v>
      </c>
      <c r="AA507">
        <v>0</v>
      </c>
      <c r="AB507">
        <v>0</v>
      </c>
      <c r="AC507">
        <v>0</v>
      </c>
      <c r="AD507">
        <v>65.38</v>
      </c>
      <c r="AE507">
        <v>0</v>
      </c>
      <c r="AF507">
        <v>0</v>
      </c>
      <c r="AG507">
        <v>0</v>
      </c>
      <c r="AH507">
        <v>9.17</v>
      </c>
      <c r="AI507">
        <v>1</v>
      </c>
      <c r="AJ507">
        <v>1</v>
      </c>
      <c r="AK507">
        <v>1</v>
      </c>
      <c r="AL507">
        <v>7.13</v>
      </c>
      <c r="AN507">
        <v>0</v>
      </c>
      <c r="AO507">
        <v>1</v>
      </c>
      <c r="AP507">
        <v>0</v>
      </c>
      <c r="AQ507">
        <v>0</v>
      </c>
      <c r="AR507">
        <v>0</v>
      </c>
      <c r="AS507" t="s">
        <v>6</v>
      </c>
      <c r="AT507">
        <v>0.68</v>
      </c>
      <c r="AU507" t="s">
        <v>6</v>
      </c>
      <c r="AV507">
        <v>1</v>
      </c>
      <c r="AW507">
        <v>2</v>
      </c>
      <c r="AX507">
        <v>16632253</v>
      </c>
      <c r="AY507">
        <v>1</v>
      </c>
      <c r="AZ507">
        <v>0</v>
      </c>
      <c r="BA507">
        <v>491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Y507*Source!I210</f>
        <v>14.96</v>
      </c>
      <c r="CY507">
        <f t="shared" si="80"/>
        <v>65.38</v>
      </c>
      <c r="CZ507">
        <f t="shared" si="81"/>
        <v>9.17</v>
      </c>
      <c r="DA507">
        <f t="shared" si="82"/>
        <v>7.13</v>
      </c>
      <c r="DB507">
        <f t="shared" si="78"/>
        <v>6.24</v>
      </c>
      <c r="DC507">
        <f t="shared" si="79"/>
        <v>0</v>
      </c>
    </row>
    <row r="508" spans="1:107" x14ac:dyDescent="0.2">
      <c r="A508">
        <f>ROW(Source!A248)</f>
        <v>248</v>
      </c>
      <c r="B508">
        <v>16630606</v>
      </c>
      <c r="C508">
        <v>16632254</v>
      </c>
      <c r="D508">
        <v>15432356</v>
      </c>
      <c r="E508">
        <v>1</v>
      </c>
      <c r="F508">
        <v>1</v>
      </c>
      <c r="G508">
        <v>1</v>
      </c>
      <c r="H508">
        <v>1</v>
      </c>
      <c r="I508" t="s">
        <v>1319</v>
      </c>
      <c r="J508" t="s">
        <v>6</v>
      </c>
      <c r="K508" t="s">
        <v>1320</v>
      </c>
      <c r="L508">
        <v>1191</v>
      </c>
      <c r="N508">
        <v>1013</v>
      </c>
      <c r="O508" t="s">
        <v>1148</v>
      </c>
      <c r="P508" t="s">
        <v>1148</v>
      </c>
      <c r="Q508">
        <v>1</v>
      </c>
      <c r="W508">
        <v>0</v>
      </c>
      <c r="X508">
        <v>1850719656</v>
      </c>
      <c r="Y508">
        <v>34.659999999999997</v>
      </c>
      <c r="AA508">
        <v>0</v>
      </c>
      <c r="AB508">
        <v>0</v>
      </c>
      <c r="AC508">
        <v>0</v>
      </c>
      <c r="AD508">
        <v>59.25</v>
      </c>
      <c r="AE508">
        <v>0</v>
      </c>
      <c r="AF508">
        <v>0</v>
      </c>
      <c r="AG508">
        <v>0</v>
      </c>
      <c r="AH508">
        <v>8.31</v>
      </c>
      <c r="AI508">
        <v>1</v>
      </c>
      <c r="AJ508">
        <v>1</v>
      </c>
      <c r="AK508">
        <v>1</v>
      </c>
      <c r="AL508">
        <v>7.13</v>
      </c>
      <c r="AN508">
        <v>0</v>
      </c>
      <c r="AO508">
        <v>1</v>
      </c>
      <c r="AP508">
        <v>0</v>
      </c>
      <c r="AQ508">
        <v>0</v>
      </c>
      <c r="AR508">
        <v>0</v>
      </c>
      <c r="AS508" t="s">
        <v>6</v>
      </c>
      <c r="AT508">
        <v>34.659999999999997</v>
      </c>
      <c r="AU508" t="s">
        <v>6</v>
      </c>
      <c r="AV508">
        <v>1</v>
      </c>
      <c r="AW508">
        <v>2</v>
      </c>
      <c r="AX508">
        <v>16632261</v>
      </c>
      <c r="AY508">
        <v>1</v>
      </c>
      <c r="AZ508">
        <v>0</v>
      </c>
      <c r="BA508">
        <v>492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Y508*Source!I248</f>
        <v>31.020699999999998</v>
      </c>
      <c r="CY508">
        <f t="shared" si="80"/>
        <v>59.25</v>
      </c>
      <c r="CZ508">
        <f t="shared" si="81"/>
        <v>8.31</v>
      </c>
      <c r="DA508">
        <f t="shared" si="82"/>
        <v>7.13</v>
      </c>
      <c r="DB508">
        <f t="shared" si="78"/>
        <v>288.02</v>
      </c>
      <c r="DC508">
        <f t="shared" si="79"/>
        <v>0</v>
      </c>
    </row>
    <row r="509" spans="1:107" x14ac:dyDescent="0.2">
      <c r="A509">
        <f>ROW(Source!A248)</f>
        <v>248</v>
      </c>
      <c r="B509">
        <v>16630606</v>
      </c>
      <c r="C509">
        <v>16632254</v>
      </c>
      <c r="D509">
        <v>15430395</v>
      </c>
      <c r="E509">
        <v>1</v>
      </c>
      <c r="F509">
        <v>1</v>
      </c>
      <c r="G509">
        <v>1</v>
      </c>
      <c r="H509">
        <v>1</v>
      </c>
      <c r="I509" t="s">
        <v>1149</v>
      </c>
      <c r="J509" t="s">
        <v>6</v>
      </c>
      <c r="K509" t="s">
        <v>1150</v>
      </c>
      <c r="L509">
        <v>1191</v>
      </c>
      <c r="N509">
        <v>1013</v>
      </c>
      <c r="O509" t="s">
        <v>1148</v>
      </c>
      <c r="P509" t="s">
        <v>1148</v>
      </c>
      <c r="Q509">
        <v>1</v>
      </c>
      <c r="W509">
        <v>0</v>
      </c>
      <c r="X509">
        <v>-1417349443</v>
      </c>
      <c r="Y509">
        <v>0.1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1</v>
      </c>
      <c r="AJ509">
        <v>1</v>
      </c>
      <c r="AK509">
        <v>7.13</v>
      </c>
      <c r="AL509">
        <v>1</v>
      </c>
      <c r="AN509">
        <v>0</v>
      </c>
      <c r="AO509">
        <v>1</v>
      </c>
      <c r="AP509">
        <v>0</v>
      </c>
      <c r="AQ509">
        <v>0</v>
      </c>
      <c r="AR509">
        <v>0</v>
      </c>
      <c r="AS509" t="s">
        <v>6</v>
      </c>
      <c r="AT509">
        <v>0.1</v>
      </c>
      <c r="AU509" t="s">
        <v>6</v>
      </c>
      <c r="AV509">
        <v>2</v>
      </c>
      <c r="AW509">
        <v>2</v>
      </c>
      <c r="AX509">
        <v>16632262</v>
      </c>
      <c r="AY509">
        <v>1</v>
      </c>
      <c r="AZ509">
        <v>0</v>
      </c>
      <c r="BA509">
        <v>493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Y509*Source!I248</f>
        <v>8.950000000000001E-2</v>
      </c>
      <c r="CY509">
        <f t="shared" si="80"/>
        <v>0</v>
      </c>
      <c r="CZ509">
        <f t="shared" si="81"/>
        <v>0</v>
      </c>
      <c r="DA509">
        <f t="shared" si="82"/>
        <v>1</v>
      </c>
      <c r="DB509">
        <f t="shared" si="78"/>
        <v>0</v>
      </c>
      <c r="DC509">
        <f t="shared" si="79"/>
        <v>0</v>
      </c>
    </row>
    <row r="510" spans="1:107" x14ac:dyDescent="0.2">
      <c r="A510">
        <f>ROW(Source!A248)</f>
        <v>248</v>
      </c>
      <c r="B510">
        <v>16630606</v>
      </c>
      <c r="C510">
        <v>16632254</v>
      </c>
      <c r="D510">
        <v>15247974</v>
      </c>
      <c r="E510">
        <v>1</v>
      </c>
      <c r="F510">
        <v>1</v>
      </c>
      <c r="G510">
        <v>1</v>
      </c>
      <c r="H510">
        <v>2</v>
      </c>
      <c r="I510" t="s">
        <v>1151</v>
      </c>
      <c r="J510" t="s">
        <v>1152</v>
      </c>
      <c r="K510" t="s">
        <v>1153</v>
      </c>
      <c r="L510">
        <v>1368</v>
      </c>
      <c r="N510">
        <v>1011</v>
      </c>
      <c r="O510" t="s">
        <v>1154</v>
      </c>
      <c r="P510" t="s">
        <v>1154</v>
      </c>
      <c r="Q510">
        <v>1</v>
      </c>
      <c r="W510">
        <v>0</v>
      </c>
      <c r="X510">
        <v>1188625873</v>
      </c>
      <c r="Y510">
        <v>0.1</v>
      </c>
      <c r="AA510">
        <v>0</v>
      </c>
      <c r="AB510">
        <v>222.88</v>
      </c>
      <c r="AC510">
        <v>13.5</v>
      </c>
      <c r="AD510">
        <v>0</v>
      </c>
      <c r="AE510">
        <v>0</v>
      </c>
      <c r="AF510">
        <v>31.26</v>
      </c>
      <c r="AG510">
        <v>13.5</v>
      </c>
      <c r="AH510">
        <v>0</v>
      </c>
      <c r="AI510">
        <v>1</v>
      </c>
      <c r="AJ510">
        <v>7.13</v>
      </c>
      <c r="AK510">
        <v>1</v>
      </c>
      <c r="AL510">
        <v>1</v>
      </c>
      <c r="AN510">
        <v>0</v>
      </c>
      <c r="AO510">
        <v>1</v>
      </c>
      <c r="AP510">
        <v>0</v>
      </c>
      <c r="AQ510">
        <v>0</v>
      </c>
      <c r="AR510">
        <v>0</v>
      </c>
      <c r="AS510" t="s">
        <v>6</v>
      </c>
      <c r="AT510">
        <v>0.1</v>
      </c>
      <c r="AU510" t="s">
        <v>6</v>
      </c>
      <c r="AV510">
        <v>0</v>
      </c>
      <c r="AW510">
        <v>2</v>
      </c>
      <c r="AX510">
        <v>16632263</v>
      </c>
      <c r="AY510">
        <v>1</v>
      </c>
      <c r="AZ510">
        <v>0</v>
      </c>
      <c r="BA510">
        <v>494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Y510*Source!I248</f>
        <v>8.950000000000001E-2</v>
      </c>
      <c r="CY510">
        <f>AB510</f>
        <v>222.88</v>
      </c>
      <c r="CZ510">
        <f>AF510</f>
        <v>31.26</v>
      </c>
      <c r="DA510">
        <f>AJ510</f>
        <v>7.13</v>
      </c>
      <c r="DB510">
        <f t="shared" si="78"/>
        <v>3.13</v>
      </c>
      <c r="DC510">
        <f t="shared" si="79"/>
        <v>1.35</v>
      </c>
    </row>
    <row r="511" spans="1:107" x14ac:dyDescent="0.2">
      <c r="A511">
        <f>ROW(Source!A248)</f>
        <v>248</v>
      </c>
      <c r="B511">
        <v>16630606</v>
      </c>
      <c r="C511">
        <v>16632254</v>
      </c>
      <c r="D511">
        <v>15249308</v>
      </c>
      <c r="E511">
        <v>1</v>
      </c>
      <c r="F511">
        <v>1</v>
      </c>
      <c r="G511">
        <v>1</v>
      </c>
      <c r="H511">
        <v>2</v>
      </c>
      <c r="I511" t="s">
        <v>1521</v>
      </c>
      <c r="J511" t="s">
        <v>1522</v>
      </c>
      <c r="K511" t="s">
        <v>1523</v>
      </c>
      <c r="L511">
        <v>1368</v>
      </c>
      <c r="N511">
        <v>1011</v>
      </c>
      <c r="O511" t="s">
        <v>1154</v>
      </c>
      <c r="P511" t="s">
        <v>1154</v>
      </c>
      <c r="Q511">
        <v>1</v>
      </c>
      <c r="W511">
        <v>0</v>
      </c>
      <c r="X511">
        <v>792402865</v>
      </c>
      <c r="Y511">
        <v>3.3</v>
      </c>
      <c r="AA511">
        <v>0</v>
      </c>
      <c r="AB511">
        <v>8.56</v>
      </c>
      <c r="AC511">
        <v>0</v>
      </c>
      <c r="AD511">
        <v>0</v>
      </c>
      <c r="AE511">
        <v>0</v>
      </c>
      <c r="AF511">
        <v>1.2</v>
      </c>
      <c r="AG511">
        <v>0</v>
      </c>
      <c r="AH511">
        <v>0</v>
      </c>
      <c r="AI511">
        <v>1</v>
      </c>
      <c r="AJ511">
        <v>7.13</v>
      </c>
      <c r="AK511">
        <v>1</v>
      </c>
      <c r="AL511">
        <v>1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6</v>
      </c>
      <c r="AT511">
        <v>3.3</v>
      </c>
      <c r="AU511" t="s">
        <v>6</v>
      </c>
      <c r="AV511">
        <v>0</v>
      </c>
      <c r="AW511">
        <v>2</v>
      </c>
      <c r="AX511">
        <v>16632264</v>
      </c>
      <c r="AY511">
        <v>1</v>
      </c>
      <c r="AZ511">
        <v>0</v>
      </c>
      <c r="BA511">
        <v>495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Y511*Source!I248</f>
        <v>2.9535</v>
      </c>
      <c r="CY511">
        <f>AB511</f>
        <v>8.56</v>
      </c>
      <c r="CZ511">
        <f>AF511</f>
        <v>1.2</v>
      </c>
      <c r="DA511">
        <f>AJ511</f>
        <v>7.13</v>
      </c>
      <c r="DB511">
        <f t="shared" si="78"/>
        <v>3.96</v>
      </c>
      <c r="DC511">
        <f t="shared" si="79"/>
        <v>0</v>
      </c>
    </row>
    <row r="512" spans="1:107" x14ac:dyDescent="0.2">
      <c r="A512">
        <f>ROW(Source!A248)</f>
        <v>248</v>
      </c>
      <c r="B512">
        <v>16630606</v>
      </c>
      <c r="C512">
        <v>16632254</v>
      </c>
      <c r="D512">
        <v>15165634</v>
      </c>
      <c r="E512">
        <v>1</v>
      </c>
      <c r="F512">
        <v>1</v>
      </c>
      <c r="G512">
        <v>1</v>
      </c>
      <c r="H512">
        <v>3</v>
      </c>
      <c r="I512" t="s">
        <v>1524</v>
      </c>
      <c r="J512" t="s">
        <v>1525</v>
      </c>
      <c r="K512" t="s">
        <v>1526</v>
      </c>
      <c r="L512">
        <v>1339</v>
      </c>
      <c r="N512">
        <v>1007</v>
      </c>
      <c r="O512" t="s">
        <v>203</v>
      </c>
      <c r="P512" t="s">
        <v>203</v>
      </c>
      <c r="Q512">
        <v>1</v>
      </c>
      <c r="W512">
        <v>0</v>
      </c>
      <c r="X512">
        <v>1706747518</v>
      </c>
      <c r="Y512">
        <v>0</v>
      </c>
      <c r="AA512">
        <v>274.58</v>
      </c>
      <c r="AB512">
        <v>0</v>
      </c>
      <c r="AC512">
        <v>0</v>
      </c>
      <c r="AD512">
        <v>0</v>
      </c>
      <c r="AE512">
        <v>38.51</v>
      </c>
      <c r="AF512">
        <v>0</v>
      </c>
      <c r="AG512">
        <v>0</v>
      </c>
      <c r="AH512">
        <v>0</v>
      </c>
      <c r="AI512">
        <v>7.13</v>
      </c>
      <c r="AJ512">
        <v>1</v>
      </c>
      <c r="AK512">
        <v>1</v>
      </c>
      <c r="AL512">
        <v>1</v>
      </c>
      <c r="AN512">
        <v>0</v>
      </c>
      <c r="AO512">
        <v>1</v>
      </c>
      <c r="AP512">
        <v>1</v>
      </c>
      <c r="AQ512">
        <v>0</v>
      </c>
      <c r="AR512">
        <v>0</v>
      </c>
      <c r="AS512" t="s">
        <v>6</v>
      </c>
      <c r="AT512">
        <v>0.43</v>
      </c>
      <c r="AU512" t="s">
        <v>30</v>
      </c>
      <c r="AV512">
        <v>0</v>
      </c>
      <c r="AW512">
        <v>2</v>
      </c>
      <c r="AX512">
        <v>16632265</v>
      </c>
      <c r="AY512">
        <v>1</v>
      </c>
      <c r="AZ512">
        <v>0</v>
      </c>
      <c r="BA512">
        <v>496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Y512*Source!I248</f>
        <v>0</v>
      </c>
      <c r="CY512">
        <f>AA512</f>
        <v>274.58</v>
      </c>
      <c r="CZ512">
        <f>AE512</f>
        <v>38.51</v>
      </c>
      <c r="DA512">
        <f>AI512</f>
        <v>7.13</v>
      </c>
      <c r="DB512">
        <f>ROUND((ROUND(AT512*CZ512,2)*0),2)</f>
        <v>0</v>
      </c>
      <c r="DC512">
        <f>ROUND((ROUND(AT512*AG512,2)*0),2)</f>
        <v>0</v>
      </c>
    </row>
    <row r="513" spans="1:107" x14ac:dyDescent="0.2">
      <c r="A513">
        <f>ROW(Source!A248)</f>
        <v>248</v>
      </c>
      <c r="B513">
        <v>16630606</v>
      </c>
      <c r="C513">
        <v>16632254</v>
      </c>
      <c r="D513">
        <v>15165653</v>
      </c>
      <c r="E513">
        <v>1</v>
      </c>
      <c r="F513">
        <v>1</v>
      </c>
      <c r="G513">
        <v>1</v>
      </c>
      <c r="H513">
        <v>3</v>
      </c>
      <c r="I513" t="s">
        <v>1527</v>
      </c>
      <c r="J513" t="s">
        <v>1528</v>
      </c>
      <c r="K513" t="s">
        <v>1529</v>
      </c>
      <c r="L513">
        <v>1339</v>
      </c>
      <c r="N513">
        <v>1007</v>
      </c>
      <c r="O513" t="s">
        <v>203</v>
      </c>
      <c r="P513" t="s">
        <v>203</v>
      </c>
      <c r="Q513">
        <v>1</v>
      </c>
      <c r="W513">
        <v>0</v>
      </c>
      <c r="X513">
        <v>1262771840</v>
      </c>
      <c r="Y513">
        <v>0</v>
      </c>
      <c r="AA513">
        <v>44.35</v>
      </c>
      <c r="AB513">
        <v>0</v>
      </c>
      <c r="AC513">
        <v>0</v>
      </c>
      <c r="AD513">
        <v>0</v>
      </c>
      <c r="AE513">
        <v>6.22</v>
      </c>
      <c r="AF513">
        <v>0</v>
      </c>
      <c r="AG513">
        <v>0</v>
      </c>
      <c r="AH513">
        <v>0</v>
      </c>
      <c r="AI513">
        <v>7.13</v>
      </c>
      <c r="AJ513">
        <v>1</v>
      </c>
      <c r="AK513">
        <v>1</v>
      </c>
      <c r="AL513">
        <v>1</v>
      </c>
      <c r="AN513">
        <v>0</v>
      </c>
      <c r="AO513">
        <v>1</v>
      </c>
      <c r="AP513">
        <v>1</v>
      </c>
      <c r="AQ513">
        <v>0</v>
      </c>
      <c r="AR513">
        <v>0</v>
      </c>
      <c r="AS513" t="s">
        <v>6</v>
      </c>
      <c r="AT513">
        <v>2.74</v>
      </c>
      <c r="AU513" t="s">
        <v>30</v>
      </c>
      <c r="AV513">
        <v>0</v>
      </c>
      <c r="AW513">
        <v>2</v>
      </c>
      <c r="AX513">
        <v>16632266</v>
      </c>
      <c r="AY513">
        <v>1</v>
      </c>
      <c r="AZ513">
        <v>0</v>
      </c>
      <c r="BA513">
        <v>497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Y513*Source!I248</f>
        <v>0</v>
      </c>
      <c r="CY513">
        <f>AA513</f>
        <v>44.35</v>
      </c>
      <c r="CZ513">
        <f>AE513</f>
        <v>6.22</v>
      </c>
      <c r="DA513">
        <f>AI513</f>
        <v>7.13</v>
      </c>
      <c r="DB513">
        <f>ROUND((ROUND(AT513*CZ513,2)*0),2)</f>
        <v>0</v>
      </c>
      <c r="DC513">
        <f>ROUND((ROUND(AT513*AG513,2)*0),2)</f>
        <v>0</v>
      </c>
    </row>
    <row r="514" spans="1:107" x14ac:dyDescent="0.2">
      <c r="A514">
        <f>ROW(Source!A249)</f>
        <v>249</v>
      </c>
      <c r="B514">
        <v>16630606</v>
      </c>
      <c r="C514">
        <v>16632268</v>
      </c>
      <c r="D514">
        <v>15430397</v>
      </c>
      <c r="E514">
        <v>1</v>
      </c>
      <c r="F514">
        <v>1</v>
      </c>
      <c r="G514">
        <v>1</v>
      </c>
      <c r="H514">
        <v>1</v>
      </c>
      <c r="I514" t="s">
        <v>1356</v>
      </c>
      <c r="J514" t="s">
        <v>6</v>
      </c>
      <c r="K514" t="s">
        <v>1357</v>
      </c>
      <c r="L514">
        <v>1191</v>
      </c>
      <c r="N514">
        <v>1013</v>
      </c>
      <c r="O514" t="s">
        <v>1148</v>
      </c>
      <c r="P514" t="s">
        <v>1148</v>
      </c>
      <c r="Q514">
        <v>1</v>
      </c>
      <c r="W514">
        <v>0</v>
      </c>
      <c r="X514">
        <v>-1081351934</v>
      </c>
      <c r="Y514">
        <v>15.28</v>
      </c>
      <c r="AA514">
        <v>0</v>
      </c>
      <c r="AB514">
        <v>0</v>
      </c>
      <c r="AC514">
        <v>0</v>
      </c>
      <c r="AD514">
        <v>67.02</v>
      </c>
      <c r="AE514">
        <v>0</v>
      </c>
      <c r="AF514">
        <v>0</v>
      </c>
      <c r="AG514">
        <v>0</v>
      </c>
      <c r="AH514">
        <v>9.4</v>
      </c>
      <c r="AI514">
        <v>1</v>
      </c>
      <c r="AJ514">
        <v>1</v>
      </c>
      <c r="AK514">
        <v>1</v>
      </c>
      <c r="AL514">
        <v>7.13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6</v>
      </c>
      <c r="AT514">
        <v>15.28</v>
      </c>
      <c r="AU514" t="s">
        <v>6</v>
      </c>
      <c r="AV514">
        <v>1</v>
      </c>
      <c r="AW514">
        <v>2</v>
      </c>
      <c r="AX514">
        <v>16632280</v>
      </c>
      <c r="AY514">
        <v>1</v>
      </c>
      <c r="AZ514">
        <v>0</v>
      </c>
      <c r="BA514">
        <v>499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Y514*Source!I249</f>
        <v>3.2393599999999996</v>
      </c>
      <c r="CY514">
        <f>AD514</f>
        <v>67.02</v>
      </c>
      <c r="CZ514">
        <f>AH514</f>
        <v>9.4</v>
      </c>
      <c r="DA514">
        <f>AL514</f>
        <v>7.13</v>
      </c>
      <c r="DB514">
        <f t="shared" ref="DB514:DB527" si="83">ROUND(ROUND(AT514*CZ514,2),2)</f>
        <v>143.63</v>
      </c>
      <c r="DC514">
        <f t="shared" ref="DC514:DC527" si="84">ROUND(ROUND(AT514*AG514,2),2)</f>
        <v>0</v>
      </c>
    </row>
    <row r="515" spans="1:107" x14ac:dyDescent="0.2">
      <c r="A515">
        <f>ROW(Source!A249)</f>
        <v>249</v>
      </c>
      <c r="B515">
        <v>16630606</v>
      </c>
      <c r="C515">
        <v>16632268</v>
      </c>
      <c r="D515">
        <v>15430395</v>
      </c>
      <c r="E515">
        <v>1</v>
      </c>
      <c r="F515">
        <v>1</v>
      </c>
      <c r="G515">
        <v>1</v>
      </c>
      <c r="H515">
        <v>1</v>
      </c>
      <c r="I515" t="s">
        <v>1149</v>
      </c>
      <c r="J515" t="s">
        <v>6</v>
      </c>
      <c r="K515" t="s">
        <v>1150</v>
      </c>
      <c r="L515">
        <v>1191</v>
      </c>
      <c r="N515">
        <v>1013</v>
      </c>
      <c r="O515" t="s">
        <v>1148</v>
      </c>
      <c r="P515" t="s">
        <v>1148</v>
      </c>
      <c r="Q515">
        <v>1</v>
      </c>
      <c r="W515">
        <v>0</v>
      </c>
      <c r="X515">
        <v>-1417349443</v>
      </c>
      <c r="Y515">
        <v>0.22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1</v>
      </c>
      <c r="AJ515">
        <v>1</v>
      </c>
      <c r="AK515">
        <v>7.13</v>
      </c>
      <c r="AL515">
        <v>1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6</v>
      </c>
      <c r="AT515">
        <v>0.22</v>
      </c>
      <c r="AU515" t="s">
        <v>6</v>
      </c>
      <c r="AV515">
        <v>2</v>
      </c>
      <c r="AW515">
        <v>2</v>
      </c>
      <c r="AX515">
        <v>16632281</v>
      </c>
      <c r="AY515">
        <v>1</v>
      </c>
      <c r="AZ515">
        <v>0</v>
      </c>
      <c r="BA515">
        <v>500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Y515*Source!I249</f>
        <v>4.6640000000000001E-2</v>
      </c>
      <c r="CY515">
        <f>AD515</f>
        <v>0</v>
      </c>
      <c r="CZ515">
        <f>AH515</f>
        <v>0</v>
      </c>
      <c r="DA515">
        <f>AL515</f>
        <v>1</v>
      </c>
      <c r="DB515">
        <f t="shared" si="83"/>
        <v>0</v>
      </c>
      <c r="DC515">
        <f t="shared" si="84"/>
        <v>0</v>
      </c>
    </row>
    <row r="516" spans="1:107" x14ac:dyDescent="0.2">
      <c r="A516">
        <f>ROW(Source!A249)</f>
        <v>249</v>
      </c>
      <c r="B516">
        <v>16630606</v>
      </c>
      <c r="C516">
        <v>16632268</v>
      </c>
      <c r="D516">
        <v>15247680</v>
      </c>
      <c r="E516">
        <v>1</v>
      </c>
      <c r="F516">
        <v>1</v>
      </c>
      <c r="G516">
        <v>1</v>
      </c>
      <c r="H516">
        <v>2</v>
      </c>
      <c r="I516" t="s">
        <v>1419</v>
      </c>
      <c r="J516" t="s">
        <v>1420</v>
      </c>
      <c r="K516" t="s">
        <v>1421</v>
      </c>
      <c r="L516">
        <v>1368</v>
      </c>
      <c r="N516">
        <v>1011</v>
      </c>
      <c r="O516" t="s">
        <v>1154</v>
      </c>
      <c r="P516" t="s">
        <v>1154</v>
      </c>
      <c r="Q516">
        <v>1</v>
      </c>
      <c r="W516">
        <v>0</v>
      </c>
      <c r="X516">
        <v>-1718674368</v>
      </c>
      <c r="Y516">
        <v>0.11</v>
      </c>
      <c r="AA516">
        <v>0</v>
      </c>
      <c r="AB516">
        <v>798.49</v>
      </c>
      <c r="AC516">
        <v>13.5</v>
      </c>
      <c r="AD516">
        <v>0</v>
      </c>
      <c r="AE516">
        <v>0</v>
      </c>
      <c r="AF516">
        <v>111.99</v>
      </c>
      <c r="AG516">
        <v>13.5</v>
      </c>
      <c r="AH516">
        <v>0</v>
      </c>
      <c r="AI516">
        <v>1</v>
      </c>
      <c r="AJ516">
        <v>7.13</v>
      </c>
      <c r="AK516">
        <v>1</v>
      </c>
      <c r="AL516">
        <v>1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6</v>
      </c>
      <c r="AT516">
        <v>0.11</v>
      </c>
      <c r="AU516" t="s">
        <v>6</v>
      </c>
      <c r="AV516">
        <v>0</v>
      </c>
      <c r="AW516">
        <v>2</v>
      </c>
      <c r="AX516">
        <v>16632282</v>
      </c>
      <c r="AY516">
        <v>1</v>
      </c>
      <c r="AZ516">
        <v>0</v>
      </c>
      <c r="BA516">
        <v>501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Y516*Source!I249</f>
        <v>2.332E-2</v>
      </c>
      <c r="CY516">
        <f>AB516</f>
        <v>798.49</v>
      </c>
      <c r="CZ516">
        <f>AF516</f>
        <v>111.99</v>
      </c>
      <c r="DA516">
        <f>AJ516</f>
        <v>7.13</v>
      </c>
      <c r="DB516">
        <f t="shared" si="83"/>
        <v>12.32</v>
      </c>
      <c r="DC516">
        <f t="shared" si="84"/>
        <v>1.49</v>
      </c>
    </row>
    <row r="517" spans="1:107" x14ac:dyDescent="0.2">
      <c r="A517">
        <f>ROW(Source!A249)</f>
        <v>249</v>
      </c>
      <c r="B517">
        <v>16630606</v>
      </c>
      <c r="C517">
        <v>16632268</v>
      </c>
      <c r="D517">
        <v>15249073</v>
      </c>
      <c r="E517">
        <v>1</v>
      </c>
      <c r="F517">
        <v>1</v>
      </c>
      <c r="G517">
        <v>1</v>
      </c>
      <c r="H517">
        <v>2</v>
      </c>
      <c r="I517" t="s">
        <v>1157</v>
      </c>
      <c r="J517" t="s">
        <v>1158</v>
      </c>
      <c r="K517" t="s">
        <v>1159</v>
      </c>
      <c r="L517">
        <v>1368</v>
      </c>
      <c r="N517">
        <v>1011</v>
      </c>
      <c r="O517" t="s">
        <v>1154</v>
      </c>
      <c r="P517" t="s">
        <v>1154</v>
      </c>
      <c r="Q517">
        <v>1</v>
      </c>
      <c r="W517">
        <v>0</v>
      </c>
      <c r="X517">
        <v>1372534845</v>
      </c>
      <c r="Y517">
        <v>0.11</v>
      </c>
      <c r="AA517">
        <v>0</v>
      </c>
      <c r="AB517">
        <v>468.51</v>
      </c>
      <c r="AC517">
        <v>11.6</v>
      </c>
      <c r="AD517">
        <v>0</v>
      </c>
      <c r="AE517">
        <v>0</v>
      </c>
      <c r="AF517">
        <v>65.709999999999994</v>
      </c>
      <c r="AG517">
        <v>11.6</v>
      </c>
      <c r="AH517">
        <v>0</v>
      </c>
      <c r="AI517">
        <v>1</v>
      </c>
      <c r="AJ517">
        <v>7.13</v>
      </c>
      <c r="AK517">
        <v>1</v>
      </c>
      <c r="AL517">
        <v>1</v>
      </c>
      <c r="AN517">
        <v>0</v>
      </c>
      <c r="AO517">
        <v>1</v>
      </c>
      <c r="AP517">
        <v>0</v>
      </c>
      <c r="AQ517">
        <v>0</v>
      </c>
      <c r="AR517">
        <v>0</v>
      </c>
      <c r="AS517" t="s">
        <v>6</v>
      </c>
      <c r="AT517">
        <v>0.11</v>
      </c>
      <c r="AU517" t="s">
        <v>6</v>
      </c>
      <c r="AV517">
        <v>0</v>
      </c>
      <c r="AW517">
        <v>2</v>
      </c>
      <c r="AX517">
        <v>16632283</v>
      </c>
      <c r="AY517">
        <v>1</v>
      </c>
      <c r="AZ517">
        <v>0</v>
      </c>
      <c r="BA517">
        <v>502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Y517*Source!I249</f>
        <v>2.332E-2</v>
      </c>
      <c r="CY517">
        <f>AB517</f>
        <v>468.51</v>
      </c>
      <c r="CZ517">
        <f>AF517</f>
        <v>65.709999999999994</v>
      </c>
      <c r="DA517">
        <f>AJ517</f>
        <v>7.13</v>
      </c>
      <c r="DB517">
        <f t="shared" si="83"/>
        <v>7.23</v>
      </c>
      <c r="DC517">
        <f t="shared" si="84"/>
        <v>1.28</v>
      </c>
    </row>
    <row r="518" spans="1:107" x14ac:dyDescent="0.2">
      <c r="A518">
        <f>ROW(Source!A249)</f>
        <v>249</v>
      </c>
      <c r="B518">
        <v>16630606</v>
      </c>
      <c r="C518">
        <v>16632268</v>
      </c>
      <c r="D518">
        <v>15172838</v>
      </c>
      <c r="E518">
        <v>1</v>
      </c>
      <c r="F518">
        <v>1</v>
      </c>
      <c r="G518">
        <v>1</v>
      </c>
      <c r="H518">
        <v>3</v>
      </c>
      <c r="I518" t="s">
        <v>1487</v>
      </c>
      <c r="J518" t="s">
        <v>1488</v>
      </c>
      <c r="K518" t="s">
        <v>1489</v>
      </c>
      <c r="L518">
        <v>1339</v>
      </c>
      <c r="N518">
        <v>1007</v>
      </c>
      <c r="O518" t="s">
        <v>203</v>
      </c>
      <c r="P518" t="s">
        <v>203</v>
      </c>
      <c r="Q518">
        <v>1</v>
      </c>
      <c r="W518">
        <v>0</v>
      </c>
      <c r="X518">
        <v>536744769</v>
      </c>
      <c r="Y518">
        <v>2.1000000000000001E-2</v>
      </c>
      <c r="AA518">
        <v>4278</v>
      </c>
      <c r="AB518">
        <v>0</v>
      </c>
      <c r="AC518">
        <v>0</v>
      </c>
      <c r="AD518">
        <v>0</v>
      </c>
      <c r="AE518">
        <v>600</v>
      </c>
      <c r="AF518">
        <v>0</v>
      </c>
      <c r="AG518">
        <v>0</v>
      </c>
      <c r="AH518">
        <v>0</v>
      </c>
      <c r="AI518">
        <v>7.13</v>
      </c>
      <c r="AJ518">
        <v>1</v>
      </c>
      <c r="AK518">
        <v>1</v>
      </c>
      <c r="AL518">
        <v>1</v>
      </c>
      <c r="AN518">
        <v>0</v>
      </c>
      <c r="AO518">
        <v>1</v>
      </c>
      <c r="AP518">
        <v>0</v>
      </c>
      <c r="AQ518">
        <v>0</v>
      </c>
      <c r="AR518">
        <v>0</v>
      </c>
      <c r="AS518" t="s">
        <v>6</v>
      </c>
      <c r="AT518">
        <v>2.1000000000000001E-2</v>
      </c>
      <c r="AU518" t="s">
        <v>6</v>
      </c>
      <c r="AV518">
        <v>0</v>
      </c>
      <c r="AW518">
        <v>2</v>
      </c>
      <c r="AX518">
        <v>16632284</v>
      </c>
      <c r="AY518">
        <v>1</v>
      </c>
      <c r="AZ518">
        <v>0</v>
      </c>
      <c r="BA518">
        <v>503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Y518*Source!I249</f>
        <v>4.4520000000000002E-3</v>
      </c>
      <c r="CY518">
        <f t="shared" ref="CY518:CY524" si="85">AA518</f>
        <v>4278</v>
      </c>
      <c r="CZ518">
        <f t="shared" ref="CZ518:CZ524" si="86">AE518</f>
        <v>600</v>
      </c>
      <c r="DA518">
        <f t="shared" ref="DA518:DA524" si="87">AI518</f>
        <v>7.13</v>
      </c>
      <c r="DB518">
        <f t="shared" si="83"/>
        <v>12.6</v>
      </c>
      <c r="DC518">
        <f t="shared" si="84"/>
        <v>0</v>
      </c>
    </row>
    <row r="519" spans="1:107" x14ac:dyDescent="0.2">
      <c r="A519">
        <f>ROW(Source!A249)</f>
        <v>249</v>
      </c>
      <c r="B519">
        <v>16630606</v>
      </c>
      <c r="C519">
        <v>16632268</v>
      </c>
      <c r="D519">
        <v>15202442</v>
      </c>
      <c r="E519">
        <v>1</v>
      </c>
      <c r="F519">
        <v>1</v>
      </c>
      <c r="G519">
        <v>1</v>
      </c>
      <c r="H519">
        <v>3</v>
      </c>
      <c r="I519" t="s">
        <v>1490</v>
      </c>
      <c r="J519" t="s">
        <v>1491</v>
      </c>
      <c r="K519" t="s">
        <v>1492</v>
      </c>
      <c r="L519">
        <v>1346</v>
      </c>
      <c r="N519">
        <v>1009</v>
      </c>
      <c r="O519" t="s">
        <v>102</v>
      </c>
      <c r="P519" t="s">
        <v>102</v>
      </c>
      <c r="Q519">
        <v>1</v>
      </c>
      <c r="W519">
        <v>0</v>
      </c>
      <c r="X519">
        <v>505519491</v>
      </c>
      <c r="Y519">
        <v>0.4</v>
      </c>
      <c r="AA519">
        <v>183.95</v>
      </c>
      <c r="AB519">
        <v>0</v>
      </c>
      <c r="AC519">
        <v>0</v>
      </c>
      <c r="AD519">
        <v>0</v>
      </c>
      <c r="AE519">
        <v>25.8</v>
      </c>
      <c r="AF519">
        <v>0</v>
      </c>
      <c r="AG519">
        <v>0</v>
      </c>
      <c r="AH519">
        <v>0</v>
      </c>
      <c r="AI519">
        <v>7.13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0</v>
      </c>
      <c r="AQ519">
        <v>0</v>
      </c>
      <c r="AR519">
        <v>0</v>
      </c>
      <c r="AS519" t="s">
        <v>6</v>
      </c>
      <c r="AT519">
        <v>0.4</v>
      </c>
      <c r="AU519" t="s">
        <v>6</v>
      </c>
      <c r="AV519">
        <v>0</v>
      </c>
      <c r="AW519">
        <v>2</v>
      </c>
      <c r="AX519">
        <v>16632285</v>
      </c>
      <c r="AY519">
        <v>1</v>
      </c>
      <c r="AZ519">
        <v>0</v>
      </c>
      <c r="BA519">
        <v>504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Y519*Source!I249</f>
        <v>8.48E-2</v>
      </c>
      <c r="CY519">
        <f t="shared" si="85"/>
        <v>183.95</v>
      </c>
      <c r="CZ519">
        <f t="shared" si="86"/>
        <v>25.8</v>
      </c>
      <c r="DA519">
        <f t="shared" si="87"/>
        <v>7.13</v>
      </c>
      <c r="DB519">
        <f t="shared" si="83"/>
        <v>10.32</v>
      </c>
      <c r="DC519">
        <f t="shared" si="84"/>
        <v>0</v>
      </c>
    </row>
    <row r="520" spans="1:107" x14ac:dyDescent="0.2">
      <c r="A520">
        <f>ROW(Source!A249)</f>
        <v>249</v>
      </c>
      <c r="B520">
        <v>16630606</v>
      </c>
      <c r="C520">
        <v>16632268</v>
      </c>
      <c r="D520">
        <v>15217585</v>
      </c>
      <c r="E520">
        <v>1</v>
      </c>
      <c r="F520">
        <v>1</v>
      </c>
      <c r="G520">
        <v>1</v>
      </c>
      <c r="H520">
        <v>3</v>
      </c>
      <c r="I520" t="s">
        <v>1493</v>
      </c>
      <c r="J520" t="s">
        <v>1494</v>
      </c>
      <c r="K520" t="s">
        <v>1495</v>
      </c>
      <c r="L520">
        <v>1356</v>
      </c>
      <c r="N520">
        <v>1010</v>
      </c>
      <c r="O520" t="s">
        <v>278</v>
      </c>
      <c r="P520" t="s">
        <v>278</v>
      </c>
      <c r="Q520">
        <v>1000</v>
      </c>
      <c r="W520">
        <v>0</v>
      </c>
      <c r="X520">
        <v>40709342</v>
      </c>
      <c r="Y520">
        <v>3.2000000000000001E-2</v>
      </c>
      <c r="AA520">
        <v>1925.1</v>
      </c>
      <c r="AB520">
        <v>0</v>
      </c>
      <c r="AC520">
        <v>0</v>
      </c>
      <c r="AD520">
        <v>0</v>
      </c>
      <c r="AE520">
        <v>270</v>
      </c>
      <c r="AF520">
        <v>0</v>
      </c>
      <c r="AG520">
        <v>0</v>
      </c>
      <c r="AH520">
        <v>0</v>
      </c>
      <c r="AI520">
        <v>7.13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6</v>
      </c>
      <c r="AT520">
        <v>3.2000000000000001E-2</v>
      </c>
      <c r="AU520" t="s">
        <v>6</v>
      </c>
      <c r="AV520">
        <v>0</v>
      </c>
      <c r="AW520">
        <v>2</v>
      </c>
      <c r="AX520">
        <v>16632286</v>
      </c>
      <c r="AY520">
        <v>1</v>
      </c>
      <c r="AZ520">
        <v>0</v>
      </c>
      <c r="BA520">
        <v>505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Y520*Source!I249</f>
        <v>6.7840000000000001E-3</v>
      </c>
      <c r="CY520">
        <f t="shared" si="85"/>
        <v>1925.1</v>
      </c>
      <c r="CZ520">
        <f t="shared" si="86"/>
        <v>270</v>
      </c>
      <c r="DA520">
        <f t="shared" si="87"/>
        <v>7.13</v>
      </c>
      <c r="DB520">
        <f t="shared" si="83"/>
        <v>8.64</v>
      </c>
      <c r="DC520">
        <f t="shared" si="84"/>
        <v>0</v>
      </c>
    </row>
    <row r="521" spans="1:107" x14ac:dyDescent="0.2">
      <c r="A521">
        <f>ROW(Source!A249)</f>
        <v>249</v>
      </c>
      <c r="B521">
        <v>16630606</v>
      </c>
      <c r="C521">
        <v>16632268</v>
      </c>
      <c r="D521">
        <v>15217593</v>
      </c>
      <c r="E521">
        <v>1</v>
      </c>
      <c r="F521">
        <v>1</v>
      </c>
      <c r="G521">
        <v>1</v>
      </c>
      <c r="H521">
        <v>3</v>
      </c>
      <c r="I521" t="s">
        <v>1496</v>
      </c>
      <c r="J521" t="s">
        <v>1497</v>
      </c>
      <c r="K521" t="s">
        <v>1498</v>
      </c>
      <c r="L521">
        <v>1358</v>
      </c>
      <c r="N521">
        <v>1010</v>
      </c>
      <c r="O521" t="s">
        <v>616</v>
      </c>
      <c r="P521" t="s">
        <v>616</v>
      </c>
      <c r="Q521">
        <v>10</v>
      </c>
      <c r="W521">
        <v>0</v>
      </c>
      <c r="X521">
        <v>-1110089157</v>
      </c>
      <c r="Y521">
        <v>1</v>
      </c>
      <c r="AA521">
        <v>141.88999999999999</v>
      </c>
      <c r="AB521">
        <v>0</v>
      </c>
      <c r="AC521">
        <v>0</v>
      </c>
      <c r="AD521">
        <v>0</v>
      </c>
      <c r="AE521">
        <v>19.899999999999999</v>
      </c>
      <c r="AF521">
        <v>0</v>
      </c>
      <c r="AG521">
        <v>0</v>
      </c>
      <c r="AH521">
        <v>0</v>
      </c>
      <c r="AI521">
        <v>7.13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6</v>
      </c>
      <c r="AT521">
        <v>1</v>
      </c>
      <c r="AU521" t="s">
        <v>6</v>
      </c>
      <c r="AV521">
        <v>0</v>
      </c>
      <c r="AW521">
        <v>2</v>
      </c>
      <c r="AX521">
        <v>16632287</v>
      </c>
      <c r="AY521">
        <v>1</v>
      </c>
      <c r="AZ521">
        <v>0</v>
      </c>
      <c r="BA521">
        <v>506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Y521*Source!I249</f>
        <v>0.21199999999999999</v>
      </c>
      <c r="CY521">
        <f t="shared" si="85"/>
        <v>141.88999999999999</v>
      </c>
      <c r="CZ521">
        <f t="shared" si="86"/>
        <v>19.899999999999999</v>
      </c>
      <c r="DA521">
        <f t="shared" si="87"/>
        <v>7.13</v>
      </c>
      <c r="DB521">
        <f t="shared" si="83"/>
        <v>19.899999999999999</v>
      </c>
      <c r="DC521">
        <f t="shared" si="84"/>
        <v>0</v>
      </c>
    </row>
    <row r="522" spans="1:107" x14ac:dyDescent="0.2">
      <c r="A522">
        <f>ROW(Source!A249)</f>
        <v>249</v>
      </c>
      <c r="B522">
        <v>16630606</v>
      </c>
      <c r="C522">
        <v>16632268</v>
      </c>
      <c r="D522">
        <v>15218939</v>
      </c>
      <c r="E522">
        <v>1</v>
      </c>
      <c r="F522">
        <v>1</v>
      </c>
      <c r="G522">
        <v>1</v>
      </c>
      <c r="H522">
        <v>3</v>
      </c>
      <c r="I522" t="s">
        <v>1499</v>
      </c>
      <c r="J522" t="s">
        <v>1500</v>
      </c>
      <c r="K522" t="s">
        <v>1501</v>
      </c>
      <c r="L522">
        <v>1354</v>
      </c>
      <c r="N522">
        <v>1010</v>
      </c>
      <c r="O522" t="s">
        <v>132</v>
      </c>
      <c r="P522" t="s">
        <v>132</v>
      </c>
      <c r="Q522">
        <v>1</v>
      </c>
      <c r="W522">
        <v>0</v>
      </c>
      <c r="X522">
        <v>-1308137011</v>
      </c>
      <c r="Y522">
        <v>0.5</v>
      </c>
      <c r="AA522">
        <v>476.43</v>
      </c>
      <c r="AB522">
        <v>0</v>
      </c>
      <c r="AC522">
        <v>0</v>
      </c>
      <c r="AD522">
        <v>0</v>
      </c>
      <c r="AE522">
        <v>66.819999999999993</v>
      </c>
      <c r="AF522">
        <v>0</v>
      </c>
      <c r="AG522">
        <v>0</v>
      </c>
      <c r="AH522">
        <v>0</v>
      </c>
      <c r="AI522">
        <v>7.13</v>
      </c>
      <c r="AJ522">
        <v>1</v>
      </c>
      <c r="AK522">
        <v>1</v>
      </c>
      <c r="AL522">
        <v>1</v>
      </c>
      <c r="AN522">
        <v>0</v>
      </c>
      <c r="AO522">
        <v>1</v>
      </c>
      <c r="AP522">
        <v>0</v>
      </c>
      <c r="AQ522">
        <v>0</v>
      </c>
      <c r="AR522">
        <v>0</v>
      </c>
      <c r="AS522" t="s">
        <v>6</v>
      </c>
      <c r="AT522">
        <v>0.5</v>
      </c>
      <c r="AU522" t="s">
        <v>6</v>
      </c>
      <c r="AV522">
        <v>0</v>
      </c>
      <c r="AW522">
        <v>2</v>
      </c>
      <c r="AX522">
        <v>16632288</v>
      </c>
      <c r="AY522">
        <v>1</v>
      </c>
      <c r="AZ522">
        <v>0</v>
      </c>
      <c r="BA522">
        <v>507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Y522*Source!I249</f>
        <v>0.106</v>
      </c>
      <c r="CY522">
        <f t="shared" si="85"/>
        <v>476.43</v>
      </c>
      <c r="CZ522">
        <f t="shared" si="86"/>
        <v>66.819999999999993</v>
      </c>
      <c r="DA522">
        <f t="shared" si="87"/>
        <v>7.13</v>
      </c>
      <c r="DB522">
        <f t="shared" si="83"/>
        <v>33.409999999999997</v>
      </c>
      <c r="DC522">
        <f t="shared" si="84"/>
        <v>0</v>
      </c>
    </row>
    <row r="523" spans="1:107" x14ac:dyDescent="0.2">
      <c r="A523">
        <f>ROW(Source!A249)</f>
        <v>249</v>
      </c>
      <c r="B523">
        <v>16630606</v>
      </c>
      <c r="C523">
        <v>16632268</v>
      </c>
      <c r="D523">
        <v>15234268</v>
      </c>
      <c r="E523">
        <v>1</v>
      </c>
      <c r="F523">
        <v>1</v>
      </c>
      <c r="G523">
        <v>1</v>
      </c>
      <c r="H523">
        <v>3</v>
      </c>
      <c r="I523" t="s">
        <v>718</v>
      </c>
      <c r="J523" t="s">
        <v>720</v>
      </c>
      <c r="K523" t="s">
        <v>719</v>
      </c>
      <c r="L523">
        <v>1302</v>
      </c>
      <c r="N523">
        <v>1003</v>
      </c>
      <c r="O523" t="s">
        <v>392</v>
      </c>
      <c r="P523" t="s">
        <v>392</v>
      </c>
      <c r="Q523">
        <v>10</v>
      </c>
      <c r="W523">
        <v>0</v>
      </c>
      <c r="X523">
        <v>-1778239840</v>
      </c>
      <c r="Y523">
        <v>10</v>
      </c>
      <c r="AA523">
        <v>1068.3599999999999</v>
      </c>
      <c r="AB523">
        <v>0</v>
      </c>
      <c r="AC523">
        <v>0</v>
      </c>
      <c r="AD523">
        <v>0</v>
      </c>
      <c r="AE523">
        <v>149.84</v>
      </c>
      <c r="AF523">
        <v>0</v>
      </c>
      <c r="AG523">
        <v>0</v>
      </c>
      <c r="AH523">
        <v>0</v>
      </c>
      <c r="AI523">
        <v>7.13</v>
      </c>
      <c r="AJ523">
        <v>1</v>
      </c>
      <c r="AK523">
        <v>1</v>
      </c>
      <c r="AL523">
        <v>1</v>
      </c>
      <c r="AN523">
        <v>0</v>
      </c>
      <c r="AO523">
        <v>0</v>
      </c>
      <c r="AP523">
        <v>0</v>
      </c>
      <c r="AQ523">
        <v>0</v>
      </c>
      <c r="AR523">
        <v>0</v>
      </c>
      <c r="AS523" t="s">
        <v>6</v>
      </c>
      <c r="AT523">
        <v>10</v>
      </c>
      <c r="AU523" t="s">
        <v>6</v>
      </c>
      <c r="AV523">
        <v>0</v>
      </c>
      <c r="AW523">
        <v>1</v>
      </c>
      <c r="AX523">
        <v>-1</v>
      </c>
      <c r="AY523">
        <v>0</v>
      </c>
      <c r="AZ523">
        <v>0</v>
      </c>
      <c r="BA523" t="s">
        <v>6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Y523*Source!I249</f>
        <v>2.12</v>
      </c>
      <c r="CY523">
        <f t="shared" si="85"/>
        <v>1068.3599999999999</v>
      </c>
      <c r="CZ523">
        <f t="shared" si="86"/>
        <v>149.84</v>
      </c>
      <c r="DA523">
        <f t="shared" si="87"/>
        <v>7.13</v>
      </c>
      <c r="DB523">
        <f t="shared" si="83"/>
        <v>1498.4</v>
      </c>
      <c r="DC523">
        <f t="shared" si="84"/>
        <v>0</v>
      </c>
    </row>
    <row r="524" spans="1:107" x14ac:dyDescent="0.2">
      <c r="A524">
        <f>ROW(Source!A249)</f>
        <v>249</v>
      </c>
      <c r="B524">
        <v>16630606</v>
      </c>
      <c r="C524">
        <v>16632268</v>
      </c>
      <c r="D524">
        <v>15164559</v>
      </c>
      <c r="E524">
        <v>17</v>
      </c>
      <c r="F524">
        <v>1</v>
      </c>
      <c r="G524">
        <v>1</v>
      </c>
      <c r="H524">
        <v>3</v>
      </c>
      <c r="I524" t="s">
        <v>1431</v>
      </c>
      <c r="J524" t="s">
        <v>6</v>
      </c>
      <c r="K524" t="s">
        <v>1432</v>
      </c>
      <c r="L524">
        <v>1374</v>
      </c>
      <c r="N524">
        <v>1013</v>
      </c>
      <c r="O524" t="s">
        <v>1433</v>
      </c>
      <c r="P524" t="s">
        <v>1433</v>
      </c>
      <c r="Q524">
        <v>1</v>
      </c>
      <c r="W524">
        <v>0</v>
      </c>
      <c r="X524">
        <v>-1731369543</v>
      </c>
      <c r="Y524">
        <v>2.87</v>
      </c>
      <c r="AA524">
        <v>1</v>
      </c>
      <c r="AB524">
        <v>0</v>
      </c>
      <c r="AC524">
        <v>0</v>
      </c>
      <c r="AD524">
        <v>0</v>
      </c>
      <c r="AE524">
        <v>1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6</v>
      </c>
      <c r="AT524">
        <v>2.87</v>
      </c>
      <c r="AU524" t="s">
        <v>6</v>
      </c>
      <c r="AV524">
        <v>0</v>
      </c>
      <c r="AW524">
        <v>2</v>
      </c>
      <c r="AX524">
        <v>16632289</v>
      </c>
      <c r="AY524">
        <v>1</v>
      </c>
      <c r="AZ524">
        <v>0</v>
      </c>
      <c r="BA524">
        <v>508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Y524*Source!I249</f>
        <v>0.60843999999999998</v>
      </c>
      <c r="CY524">
        <f t="shared" si="85"/>
        <v>1</v>
      </c>
      <c r="CZ524">
        <f t="shared" si="86"/>
        <v>1</v>
      </c>
      <c r="DA524">
        <f t="shared" si="87"/>
        <v>1</v>
      </c>
      <c r="DB524">
        <f t="shared" si="83"/>
        <v>2.87</v>
      </c>
      <c r="DC524">
        <f t="shared" si="84"/>
        <v>0</v>
      </c>
    </row>
    <row r="525" spans="1:107" x14ac:dyDescent="0.2">
      <c r="A525">
        <f>ROW(Source!A251)</f>
        <v>251</v>
      </c>
      <c r="B525">
        <v>16630606</v>
      </c>
      <c r="C525">
        <v>16632291</v>
      </c>
      <c r="D525">
        <v>15431465</v>
      </c>
      <c r="E525">
        <v>1</v>
      </c>
      <c r="F525">
        <v>1</v>
      </c>
      <c r="G525">
        <v>1</v>
      </c>
      <c r="H525">
        <v>1</v>
      </c>
      <c r="I525" t="s">
        <v>1179</v>
      </c>
      <c r="J525" t="s">
        <v>6</v>
      </c>
      <c r="K525" t="s">
        <v>1180</v>
      </c>
      <c r="L525">
        <v>1191</v>
      </c>
      <c r="N525">
        <v>1013</v>
      </c>
      <c r="O525" t="s">
        <v>1148</v>
      </c>
      <c r="P525" t="s">
        <v>1148</v>
      </c>
      <c r="Q525">
        <v>1</v>
      </c>
      <c r="W525">
        <v>0</v>
      </c>
      <c r="X525">
        <v>152375061</v>
      </c>
      <c r="Y525">
        <v>18.3</v>
      </c>
      <c r="AA525">
        <v>0</v>
      </c>
      <c r="AB525">
        <v>0</v>
      </c>
      <c r="AC525">
        <v>0</v>
      </c>
      <c r="AD525">
        <v>56.11</v>
      </c>
      <c r="AE525">
        <v>0</v>
      </c>
      <c r="AF525">
        <v>0</v>
      </c>
      <c r="AG525">
        <v>0</v>
      </c>
      <c r="AH525">
        <v>7.87</v>
      </c>
      <c r="AI525">
        <v>1</v>
      </c>
      <c r="AJ525">
        <v>1</v>
      </c>
      <c r="AK525">
        <v>1</v>
      </c>
      <c r="AL525">
        <v>7.13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6</v>
      </c>
      <c r="AT525">
        <v>18.3</v>
      </c>
      <c r="AU525" t="s">
        <v>6</v>
      </c>
      <c r="AV525">
        <v>1</v>
      </c>
      <c r="AW525">
        <v>2</v>
      </c>
      <c r="AX525">
        <v>16632295</v>
      </c>
      <c r="AY525">
        <v>1</v>
      </c>
      <c r="AZ525">
        <v>0</v>
      </c>
      <c r="BA525">
        <v>509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Y525*Source!I251</f>
        <v>6.7907640000000002</v>
      </c>
      <c r="CY525">
        <f>AD525</f>
        <v>56.11</v>
      </c>
      <c r="CZ525">
        <f>AH525</f>
        <v>7.87</v>
      </c>
      <c r="DA525">
        <f>AL525</f>
        <v>7.13</v>
      </c>
      <c r="DB525">
        <f t="shared" si="83"/>
        <v>144.02000000000001</v>
      </c>
      <c r="DC525">
        <f t="shared" si="84"/>
        <v>0</v>
      </c>
    </row>
    <row r="526" spans="1:107" x14ac:dyDescent="0.2">
      <c r="A526">
        <f>ROW(Source!A251)</f>
        <v>251</v>
      </c>
      <c r="B526">
        <v>16630606</v>
      </c>
      <c r="C526">
        <v>16632291</v>
      </c>
      <c r="D526">
        <v>15430395</v>
      </c>
      <c r="E526">
        <v>1</v>
      </c>
      <c r="F526">
        <v>1</v>
      </c>
      <c r="G526">
        <v>1</v>
      </c>
      <c r="H526">
        <v>1</v>
      </c>
      <c r="I526" t="s">
        <v>1149</v>
      </c>
      <c r="J526" t="s">
        <v>6</v>
      </c>
      <c r="K526" t="s">
        <v>1150</v>
      </c>
      <c r="L526">
        <v>1191</v>
      </c>
      <c r="N526">
        <v>1013</v>
      </c>
      <c r="O526" t="s">
        <v>1148</v>
      </c>
      <c r="P526" t="s">
        <v>1148</v>
      </c>
      <c r="Q526">
        <v>1</v>
      </c>
      <c r="W526">
        <v>0</v>
      </c>
      <c r="X526">
        <v>-1417349443</v>
      </c>
      <c r="Y526">
        <v>0.2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1</v>
      </c>
      <c r="AJ526">
        <v>1</v>
      </c>
      <c r="AK526">
        <v>7.13</v>
      </c>
      <c r="AL526">
        <v>1</v>
      </c>
      <c r="AN526">
        <v>0</v>
      </c>
      <c r="AO526">
        <v>1</v>
      </c>
      <c r="AP526">
        <v>0</v>
      </c>
      <c r="AQ526">
        <v>0</v>
      </c>
      <c r="AR526">
        <v>0</v>
      </c>
      <c r="AS526" t="s">
        <v>6</v>
      </c>
      <c r="AT526">
        <v>0.2</v>
      </c>
      <c r="AU526" t="s">
        <v>6</v>
      </c>
      <c r="AV526">
        <v>2</v>
      </c>
      <c r="AW526">
        <v>2</v>
      </c>
      <c r="AX526">
        <v>16632296</v>
      </c>
      <c r="AY526">
        <v>1</v>
      </c>
      <c r="AZ526">
        <v>0</v>
      </c>
      <c r="BA526">
        <v>510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Y526*Source!I251</f>
        <v>7.4216000000000004E-2</v>
      </c>
      <c r="CY526">
        <f>AD526</f>
        <v>0</v>
      </c>
      <c r="CZ526">
        <f>AH526</f>
        <v>0</v>
      </c>
      <c r="DA526">
        <f>AL526</f>
        <v>1</v>
      </c>
      <c r="DB526">
        <f t="shared" si="83"/>
        <v>0</v>
      </c>
      <c r="DC526">
        <f t="shared" si="84"/>
        <v>0</v>
      </c>
    </row>
    <row r="527" spans="1:107" x14ac:dyDescent="0.2">
      <c r="A527">
        <f>ROW(Source!A251)</f>
        <v>251</v>
      </c>
      <c r="B527">
        <v>16630606</v>
      </c>
      <c r="C527">
        <v>16632291</v>
      </c>
      <c r="D527">
        <v>15247974</v>
      </c>
      <c r="E527">
        <v>1</v>
      </c>
      <c r="F527">
        <v>1</v>
      </c>
      <c r="G527">
        <v>1</v>
      </c>
      <c r="H527">
        <v>2</v>
      </c>
      <c r="I527" t="s">
        <v>1151</v>
      </c>
      <c r="J527" t="s">
        <v>1152</v>
      </c>
      <c r="K527" t="s">
        <v>1153</v>
      </c>
      <c r="L527">
        <v>1368</v>
      </c>
      <c r="N527">
        <v>1011</v>
      </c>
      <c r="O527" t="s">
        <v>1154</v>
      </c>
      <c r="P527" t="s">
        <v>1154</v>
      </c>
      <c r="Q527">
        <v>1</v>
      </c>
      <c r="W527">
        <v>0</v>
      </c>
      <c r="X527">
        <v>1188625873</v>
      </c>
      <c r="Y527">
        <v>0.2</v>
      </c>
      <c r="AA527">
        <v>0</v>
      </c>
      <c r="AB527">
        <v>222.88</v>
      </c>
      <c r="AC527">
        <v>13.5</v>
      </c>
      <c r="AD527">
        <v>0</v>
      </c>
      <c r="AE527">
        <v>0</v>
      </c>
      <c r="AF527">
        <v>31.26</v>
      </c>
      <c r="AG527">
        <v>13.5</v>
      </c>
      <c r="AH527">
        <v>0</v>
      </c>
      <c r="AI527">
        <v>1</v>
      </c>
      <c r="AJ527">
        <v>7.13</v>
      </c>
      <c r="AK527">
        <v>1</v>
      </c>
      <c r="AL527">
        <v>1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6</v>
      </c>
      <c r="AT527">
        <v>0.2</v>
      </c>
      <c r="AU527" t="s">
        <v>6</v>
      </c>
      <c r="AV527">
        <v>0</v>
      </c>
      <c r="AW527">
        <v>2</v>
      </c>
      <c r="AX527">
        <v>16632297</v>
      </c>
      <c r="AY527">
        <v>1</v>
      </c>
      <c r="AZ527">
        <v>0</v>
      </c>
      <c r="BA527">
        <v>511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Y527*Source!I251</f>
        <v>7.4216000000000004E-2</v>
      </c>
      <c r="CY527">
        <f>AB527</f>
        <v>222.88</v>
      </c>
      <c r="CZ527">
        <f>AF527</f>
        <v>31.26</v>
      </c>
      <c r="DA527">
        <f>AJ527</f>
        <v>7.13</v>
      </c>
      <c r="DB527">
        <f t="shared" si="83"/>
        <v>6.25</v>
      </c>
      <c r="DC527">
        <f t="shared" si="84"/>
        <v>2.7</v>
      </c>
    </row>
    <row r="528" spans="1:107" x14ac:dyDescent="0.2">
      <c r="A528">
        <f>ROW(Source!A252)</f>
        <v>252</v>
      </c>
      <c r="B528">
        <v>16630606</v>
      </c>
      <c r="C528">
        <v>16632298</v>
      </c>
      <c r="D528">
        <v>15436556</v>
      </c>
      <c r="E528">
        <v>1</v>
      </c>
      <c r="F528">
        <v>1</v>
      </c>
      <c r="G528">
        <v>1</v>
      </c>
      <c r="H528">
        <v>1</v>
      </c>
      <c r="I528" t="s">
        <v>1354</v>
      </c>
      <c r="J528" t="s">
        <v>6</v>
      </c>
      <c r="K528" t="s">
        <v>1355</v>
      </c>
      <c r="L528">
        <v>1191</v>
      </c>
      <c r="N528">
        <v>1013</v>
      </c>
      <c r="O528" t="s">
        <v>1148</v>
      </c>
      <c r="P528" t="s">
        <v>1148</v>
      </c>
      <c r="Q528">
        <v>1</v>
      </c>
      <c r="W528">
        <v>0</v>
      </c>
      <c r="X528">
        <v>1069510174</v>
      </c>
      <c r="Y528">
        <v>37.915499999999994</v>
      </c>
      <c r="AA528">
        <v>0</v>
      </c>
      <c r="AB528">
        <v>0</v>
      </c>
      <c r="AC528">
        <v>0</v>
      </c>
      <c r="AD528">
        <v>68.59</v>
      </c>
      <c r="AE528">
        <v>0</v>
      </c>
      <c r="AF528">
        <v>0</v>
      </c>
      <c r="AG528">
        <v>0</v>
      </c>
      <c r="AH528">
        <v>9.6199999999999992</v>
      </c>
      <c r="AI528">
        <v>1</v>
      </c>
      <c r="AJ528">
        <v>1</v>
      </c>
      <c r="AK528">
        <v>1</v>
      </c>
      <c r="AL528">
        <v>7.13</v>
      </c>
      <c r="AN528">
        <v>0</v>
      </c>
      <c r="AO528">
        <v>1</v>
      </c>
      <c r="AP528">
        <v>1</v>
      </c>
      <c r="AQ528">
        <v>0</v>
      </c>
      <c r="AR528">
        <v>0</v>
      </c>
      <c r="AS528" t="s">
        <v>6</v>
      </c>
      <c r="AT528">
        <v>32.97</v>
      </c>
      <c r="AU528" t="s">
        <v>82</v>
      </c>
      <c r="AV528">
        <v>1</v>
      </c>
      <c r="AW528">
        <v>2</v>
      </c>
      <c r="AX528">
        <v>16632316</v>
      </c>
      <c r="AY528">
        <v>1</v>
      </c>
      <c r="AZ528">
        <v>0</v>
      </c>
      <c r="BA528">
        <v>512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Y528*Source!I252</f>
        <v>25.365469499999996</v>
      </c>
      <c r="CY528">
        <f>AD528</f>
        <v>68.59</v>
      </c>
      <c r="CZ528">
        <f>AH528</f>
        <v>9.6199999999999992</v>
      </c>
      <c r="DA528">
        <f>AL528</f>
        <v>7.13</v>
      </c>
      <c r="DB528">
        <f>ROUND((ROUND(AT528*CZ528,2)*1.15),2)</f>
        <v>364.75</v>
      </c>
      <c r="DC528">
        <f>ROUND((ROUND(AT528*AG528,2)*1.15),2)</f>
        <v>0</v>
      </c>
    </row>
    <row r="529" spans="1:107" x14ac:dyDescent="0.2">
      <c r="A529">
        <f>ROW(Source!A252)</f>
        <v>252</v>
      </c>
      <c r="B529">
        <v>16630606</v>
      </c>
      <c r="C529">
        <v>16632298</v>
      </c>
      <c r="D529">
        <v>15430395</v>
      </c>
      <c r="E529">
        <v>1</v>
      </c>
      <c r="F529">
        <v>1</v>
      </c>
      <c r="G529">
        <v>1</v>
      </c>
      <c r="H529">
        <v>1</v>
      </c>
      <c r="I529" t="s">
        <v>1149</v>
      </c>
      <c r="J529" t="s">
        <v>6</v>
      </c>
      <c r="K529" t="s">
        <v>1150</v>
      </c>
      <c r="L529">
        <v>1191</v>
      </c>
      <c r="N529">
        <v>1013</v>
      </c>
      <c r="O529" t="s">
        <v>1148</v>
      </c>
      <c r="P529" t="s">
        <v>1148</v>
      </c>
      <c r="Q529">
        <v>1</v>
      </c>
      <c r="W529">
        <v>0</v>
      </c>
      <c r="X529">
        <v>-1417349443</v>
      </c>
      <c r="Y529">
        <v>0.5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1</v>
      </c>
      <c r="AJ529">
        <v>1</v>
      </c>
      <c r="AK529">
        <v>7.13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6</v>
      </c>
      <c r="AT529">
        <v>0.5</v>
      </c>
      <c r="AU529" t="s">
        <v>6</v>
      </c>
      <c r="AV529">
        <v>2</v>
      </c>
      <c r="AW529">
        <v>2</v>
      </c>
      <c r="AX529">
        <v>16632317</v>
      </c>
      <c r="AY529">
        <v>1</v>
      </c>
      <c r="AZ529">
        <v>2048</v>
      </c>
      <c r="BA529">
        <v>513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Y529*Source!I252</f>
        <v>0.33450000000000002</v>
      </c>
      <c r="CY529">
        <f>AD529</f>
        <v>0</v>
      </c>
      <c r="CZ529">
        <f>AH529</f>
        <v>0</v>
      </c>
      <c r="DA529">
        <f>AL529</f>
        <v>1</v>
      </c>
      <c r="DB529">
        <f>ROUND(ROUND(AT529*CZ529,2),2)</f>
        <v>0</v>
      </c>
      <c r="DC529">
        <f>ROUND(ROUND(AT529*AG529,2),2)</f>
        <v>0</v>
      </c>
    </row>
    <row r="530" spans="1:107" x14ac:dyDescent="0.2">
      <c r="A530">
        <f>ROW(Source!A252)</f>
        <v>252</v>
      </c>
      <c r="B530">
        <v>16630606</v>
      </c>
      <c r="C530">
        <v>16632298</v>
      </c>
      <c r="D530">
        <v>15247578</v>
      </c>
      <c r="E530">
        <v>1</v>
      </c>
      <c r="F530">
        <v>1</v>
      </c>
      <c r="G530">
        <v>1</v>
      </c>
      <c r="H530">
        <v>2</v>
      </c>
      <c r="I530" t="s">
        <v>1246</v>
      </c>
      <c r="J530" t="s">
        <v>1247</v>
      </c>
      <c r="K530" t="s">
        <v>1248</v>
      </c>
      <c r="L530">
        <v>1368</v>
      </c>
      <c r="N530">
        <v>1011</v>
      </c>
      <c r="O530" t="s">
        <v>1154</v>
      </c>
      <c r="P530" t="s">
        <v>1154</v>
      </c>
      <c r="Q530">
        <v>1</v>
      </c>
      <c r="W530">
        <v>0</v>
      </c>
      <c r="X530">
        <v>-1460065968</v>
      </c>
      <c r="Y530">
        <v>0.1</v>
      </c>
      <c r="AA530">
        <v>0</v>
      </c>
      <c r="AB530">
        <v>616.03</v>
      </c>
      <c r="AC530">
        <v>13.5</v>
      </c>
      <c r="AD530">
        <v>0</v>
      </c>
      <c r="AE530">
        <v>0</v>
      </c>
      <c r="AF530">
        <v>86.4</v>
      </c>
      <c r="AG530">
        <v>13.5</v>
      </c>
      <c r="AH530">
        <v>0</v>
      </c>
      <c r="AI530">
        <v>1</v>
      </c>
      <c r="AJ530">
        <v>7.13</v>
      </c>
      <c r="AK530">
        <v>1</v>
      </c>
      <c r="AL530">
        <v>1</v>
      </c>
      <c r="AN530">
        <v>0</v>
      </c>
      <c r="AO530">
        <v>1</v>
      </c>
      <c r="AP530">
        <v>1</v>
      </c>
      <c r="AQ530">
        <v>0</v>
      </c>
      <c r="AR530">
        <v>0</v>
      </c>
      <c r="AS530" t="s">
        <v>6</v>
      </c>
      <c r="AT530">
        <v>0.08</v>
      </c>
      <c r="AU530" t="s">
        <v>81</v>
      </c>
      <c r="AV530">
        <v>0</v>
      </c>
      <c r="AW530">
        <v>2</v>
      </c>
      <c r="AX530">
        <v>16632318</v>
      </c>
      <c r="AY530">
        <v>1</v>
      </c>
      <c r="AZ530">
        <v>0</v>
      </c>
      <c r="BA530">
        <v>514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Y530*Source!I252</f>
        <v>6.6900000000000001E-2</v>
      </c>
      <c r="CY530">
        <f>AB530</f>
        <v>616.03</v>
      </c>
      <c r="CZ530">
        <f>AF530</f>
        <v>86.4</v>
      </c>
      <c r="DA530">
        <f>AJ530</f>
        <v>7.13</v>
      </c>
      <c r="DB530">
        <f>ROUND((ROUND(AT530*CZ530,2)*1.25),2)</f>
        <v>8.64</v>
      </c>
      <c r="DC530">
        <f>ROUND((ROUND(AT530*AG530,2)*1.25),2)</f>
        <v>1.35</v>
      </c>
    </row>
    <row r="531" spans="1:107" x14ac:dyDescent="0.2">
      <c r="A531">
        <f>ROW(Source!A252)</f>
        <v>252</v>
      </c>
      <c r="B531">
        <v>16630606</v>
      </c>
      <c r="C531">
        <v>16632298</v>
      </c>
      <c r="D531">
        <v>15247680</v>
      </c>
      <c r="E531">
        <v>1</v>
      </c>
      <c r="F531">
        <v>1</v>
      </c>
      <c r="G531">
        <v>1</v>
      </c>
      <c r="H531">
        <v>2</v>
      </c>
      <c r="I531" t="s">
        <v>1419</v>
      </c>
      <c r="J531" t="s">
        <v>1420</v>
      </c>
      <c r="K531" t="s">
        <v>1421</v>
      </c>
      <c r="L531">
        <v>1368</v>
      </c>
      <c r="N531">
        <v>1011</v>
      </c>
      <c r="O531" t="s">
        <v>1154</v>
      </c>
      <c r="P531" t="s">
        <v>1154</v>
      </c>
      <c r="Q531">
        <v>1</v>
      </c>
      <c r="W531">
        <v>0</v>
      </c>
      <c r="X531">
        <v>-1718674368</v>
      </c>
      <c r="Y531">
        <v>8.7500000000000008E-2</v>
      </c>
      <c r="AA531">
        <v>0</v>
      </c>
      <c r="AB531">
        <v>798.49</v>
      </c>
      <c r="AC531">
        <v>13.5</v>
      </c>
      <c r="AD531">
        <v>0</v>
      </c>
      <c r="AE531">
        <v>0</v>
      </c>
      <c r="AF531">
        <v>111.99</v>
      </c>
      <c r="AG531">
        <v>13.5</v>
      </c>
      <c r="AH531">
        <v>0</v>
      </c>
      <c r="AI531">
        <v>1</v>
      </c>
      <c r="AJ531">
        <v>7.13</v>
      </c>
      <c r="AK531">
        <v>1</v>
      </c>
      <c r="AL531">
        <v>1</v>
      </c>
      <c r="AN531">
        <v>0</v>
      </c>
      <c r="AO531">
        <v>1</v>
      </c>
      <c r="AP531">
        <v>1</v>
      </c>
      <c r="AQ531">
        <v>0</v>
      </c>
      <c r="AR531">
        <v>0</v>
      </c>
      <c r="AS531" t="s">
        <v>6</v>
      </c>
      <c r="AT531">
        <v>7.0000000000000007E-2</v>
      </c>
      <c r="AU531" t="s">
        <v>81</v>
      </c>
      <c r="AV531">
        <v>0</v>
      </c>
      <c r="AW531">
        <v>2</v>
      </c>
      <c r="AX531">
        <v>16632319</v>
      </c>
      <c r="AY531">
        <v>1</v>
      </c>
      <c r="AZ531">
        <v>0</v>
      </c>
      <c r="BA531">
        <v>515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Y531*Source!I252</f>
        <v>5.8537500000000006E-2</v>
      </c>
      <c r="CY531">
        <f>AB531</f>
        <v>798.49</v>
      </c>
      <c r="CZ531">
        <f>AF531</f>
        <v>111.99</v>
      </c>
      <c r="DA531">
        <f>AJ531</f>
        <v>7.13</v>
      </c>
      <c r="DB531">
        <f>ROUND((ROUND(AT531*CZ531,2)*1.25),2)</f>
        <v>9.8000000000000007</v>
      </c>
      <c r="DC531">
        <f>ROUND((ROUND(AT531*AG531,2)*1.25),2)</f>
        <v>1.19</v>
      </c>
    </row>
    <row r="532" spans="1:107" x14ac:dyDescent="0.2">
      <c r="A532">
        <f>ROW(Source!A252)</f>
        <v>252</v>
      </c>
      <c r="B532">
        <v>16630606</v>
      </c>
      <c r="C532">
        <v>16632298</v>
      </c>
      <c r="D532">
        <v>15249073</v>
      </c>
      <c r="E532">
        <v>1</v>
      </c>
      <c r="F532">
        <v>1</v>
      </c>
      <c r="G532">
        <v>1</v>
      </c>
      <c r="H532">
        <v>2</v>
      </c>
      <c r="I532" t="s">
        <v>1157</v>
      </c>
      <c r="J532" t="s">
        <v>1158</v>
      </c>
      <c r="K532" t="s">
        <v>1159</v>
      </c>
      <c r="L532">
        <v>1368</v>
      </c>
      <c r="N532">
        <v>1011</v>
      </c>
      <c r="O532" t="s">
        <v>1154</v>
      </c>
      <c r="P532" t="s">
        <v>1154</v>
      </c>
      <c r="Q532">
        <v>1</v>
      </c>
      <c r="W532">
        <v>0</v>
      </c>
      <c r="X532">
        <v>1372534845</v>
      </c>
      <c r="Y532">
        <v>0.4375</v>
      </c>
      <c r="AA532">
        <v>0</v>
      </c>
      <c r="AB532">
        <v>468.51</v>
      </c>
      <c r="AC532">
        <v>11.6</v>
      </c>
      <c r="AD532">
        <v>0</v>
      </c>
      <c r="AE532">
        <v>0</v>
      </c>
      <c r="AF532">
        <v>65.709999999999994</v>
      </c>
      <c r="AG532">
        <v>11.6</v>
      </c>
      <c r="AH532">
        <v>0</v>
      </c>
      <c r="AI532">
        <v>1</v>
      </c>
      <c r="AJ532">
        <v>7.13</v>
      </c>
      <c r="AK532">
        <v>1</v>
      </c>
      <c r="AL532">
        <v>1</v>
      </c>
      <c r="AN532">
        <v>0</v>
      </c>
      <c r="AO532">
        <v>1</v>
      </c>
      <c r="AP532">
        <v>1</v>
      </c>
      <c r="AQ532">
        <v>0</v>
      </c>
      <c r="AR532">
        <v>0</v>
      </c>
      <c r="AS532" t="s">
        <v>6</v>
      </c>
      <c r="AT532">
        <v>0.35</v>
      </c>
      <c r="AU532" t="s">
        <v>81</v>
      </c>
      <c r="AV532">
        <v>0</v>
      </c>
      <c r="AW532">
        <v>2</v>
      </c>
      <c r="AX532">
        <v>16632320</v>
      </c>
      <c r="AY532">
        <v>1</v>
      </c>
      <c r="AZ532">
        <v>0</v>
      </c>
      <c r="BA532">
        <v>516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Y532*Source!I252</f>
        <v>0.29268749999999999</v>
      </c>
      <c r="CY532">
        <f>AB532</f>
        <v>468.51</v>
      </c>
      <c r="CZ532">
        <f>AF532</f>
        <v>65.709999999999994</v>
      </c>
      <c r="DA532">
        <f>AJ532</f>
        <v>7.13</v>
      </c>
      <c r="DB532">
        <f>ROUND((ROUND(AT532*CZ532,2)*1.25),2)</f>
        <v>28.75</v>
      </c>
      <c r="DC532">
        <f>ROUND((ROUND(AT532*AG532,2)*1.25),2)</f>
        <v>5.08</v>
      </c>
    </row>
    <row r="533" spans="1:107" x14ac:dyDescent="0.2">
      <c r="A533">
        <f>ROW(Source!A252)</f>
        <v>252</v>
      </c>
      <c r="B533">
        <v>16630606</v>
      </c>
      <c r="C533">
        <v>16632298</v>
      </c>
      <c r="D533">
        <v>15249308</v>
      </c>
      <c r="E533">
        <v>1</v>
      </c>
      <c r="F533">
        <v>1</v>
      </c>
      <c r="G533">
        <v>1</v>
      </c>
      <c r="H533">
        <v>2</v>
      </c>
      <c r="I533" t="s">
        <v>1521</v>
      </c>
      <c r="J533" t="s">
        <v>1522</v>
      </c>
      <c r="K533" t="s">
        <v>1523</v>
      </c>
      <c r="L533">
        <v>1368</v>
      </c>
      <c r="N533">
        <v>1011</v>
      </c>
      <c r="O533" t="s">
        <v>1154</v>
      </c>
      <c r="P533" t="s">
        <v>1154</v>
      </c>
      <c r="Q533">
        <v>1</v>
      </c>
      <c r="W533">
        <v>0</v>
      </c>
      <c r="X533">
        <v>792402865</v>
      </c>
      <c r="Y533">
        <v>1.4375</v>
      </c>
      <c r="AA533">
        <v>0</v>
      </c>
      <c r="AB533">
        <v>8.56</v>
      </c>
      <c r="AC533">
        <v>0</v>
      </c>
      <c r="AD533">
        <v>0</v>
      </c>
      <c r="AE533">
        <v>0</v>
      </c>
      <c r="AF533">
        <v>1.2</v>
      </c>
      <c r="AG533">
        <v>0</v>
      </c>
      <c r="AH533">
        <v>0</v>
      </c>
      <c r="AI533">
        <v>1</v>
      </c>
      <c r="AJ533">
        <v>7.13</v>
      </c>
      <c r="AK533">
        <v>1</v>
      </c>
      <c r="AL533">
        <v>1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6</v>
      </c>
      <c r="AT533">
        <v>1.1499999999999999</v>
      </c>
      <c r="AU533" t="s">
        <v>81</v>
      </c>
      <c r="AV533">
        <v>0</v>
      </c>
      <c r="AW533">
        <v>2</v>
      </c>
      <c r="AX533">
        <v>16632321</v>
      </c>
      <c r="AY533">
        <v>1</v>
      </c>
      <c r="AZ533">
        <v>0</v>
      </c>
      <c r="BA533">
        <v>517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Y533*Source!I252</f>
        <v>0.96168750000000003</v>
      </c>
      <c r="CY533">
        <f>AB533</f>
        <v>8.56</v>
      </c>
      <c r="CZ533">
        <f>AF533</f>
        <v>1.2</v>
      </c>
      <c r="DA533">
        <f>AJ533</f>
        <v>7.13</v>
      </c>
      <c r="DB533">
        <f>ROUND((ROUND(AT533*CZ533,2)*1.25),2)</f>
        <v>1.73</v>
      </c>
      <c r="DC533">
        <f>ROUND((ROUND(AT533*AG533,2)*1.25),2)</f>
        <v>0</v>
      </c>
    </row>
    <row r="534" spans="1:107" x14ac:dyDescent="0.2">
      <c r="A534">
        <f>ROW(Source!A252)</f>
        <v>252</v>
      </c>
      <c r="B534">
        <v>16630606</v>
      </c>
      <c r="C534">
        <v>16632298</v>
      </c>
      <c r="D534">
        <v>15165635</v>
      </c>
      <c r="E534">
        <v>1</v>
      </c>
      <c r="F534">
        <v>1</v>
      </c>
      <c r="G534">
        <v>1</v>
      </c>
      <c r="H534">
        <v>3</v>
      </c>
      <c r="I534" t="s">
        <v>1530</v>
      </c>
      <c r="J534" t="s">
        <v>1531</v>
      </c>
      <c r="K534" t="s">
        <v>1532</v>
      </c>
      <c r="L534">
        <v>1348</v>
      </c>
      <c r="N534">
        <v>1009</v>
      </c>
      <c r="O534" t="s">
        <v>98</v>
      </c>
      <c r="P534" t="s">
        <v>98</v>
      </c>
      <c r="Q534">
        <v>1000</v>
      </c>
      <c r="W534">
        <v>0</v>
      </c>
      <c r="X534">
        <v>993149205</v>
      </c>
      <c r="Y534">
        <v>1.2999999999999999E-4</v>
      </c>
      <c r="AA534">
        <v>234077.9</v>
      </c>
      <c r="AB534">
        <v>0</v>
      </c>
      <c r="AC534">
        <v>0</v>
      </c>
      <c r="AD534">
        <v>0</v>
      </c>
      <c r="AE534">
        <v>32830</v>
      </c>
      <c r="AF534">
        <v>0</v>
      </c>
      <c r="AG534">
        <v>0</v>
      </c>
      <c r="AH534">
        <v>0</v>
      </c>
      <c r="AI534">
        <v>7.13</v>
      </c>
      <c r="AJ534">
        <v>1</v>
      </c>
      <c r="AK534">
        <v>1</v>
      </c>
      <c r="AL534">
        <v>1</v>
      </c>
      <c r="AN534">
        <v>0</v>
      </c>
      <c r="AO534">
        <v>1</v>
      </c>
      <c r="AP534">
        <v>0</v>
      </c>
      <c r="AQ534">
        <v>0</v>
      </c>
      <c r="AR534">
        <v>0</v>
      </c>
      <c r="AS534" t="s">
        <v>6</v>
      </c>
      <c r="AT534">
        <v>1.2999999999999999E-4</v>
      </c>
      <c r="AU534" t="s">
        <v>6</v>
      </c>
      <c r="AV534">
        <v>0</v>
      </c>
      <c r="AW534">
        <v>2</v>
      </c>
      <c r="AX534">
        <v>16632322</v>
      </c>
      <c r="AY534">
        <v>1</v>
      </c>
      <c r="AZ534">
        <v>0</v>
      </c>
      <c r="BA534">
        <v>518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Y534*Source!I252</f>
        <v>8.6970000000000002E-5</v>
      </c>
      <c r="CY534">
        <f t="shared" ref="CY534:CY544" si="88">AA534</f>
        <v>234077.9</v>
      </c>
      <c r="CZ534">
        <f t="shared" ref="CZ534:CZ544" si="89">AE534</f>
        <v>32830</v>
      </c>
      <c r="DA534">
        <f t="shared" ref="DA534:DA544" si="90">AI534</f>
        <v>7.13</v>
      </c>
      <c r="DB534">
        <f t="shared" ref="DB534:DB544" si="91">ROUND(ROUND(AT534*CZ534,2),2)</f>
        <v>4.2699999999999996</v>
      </c>
      <c r="DC534">
        <f t="shared" ref="DC534:DC544" si="92">ROUND(ROUND(AT534*AG534,2),2)</f>
        <v>0</v>
      </c>
    </row>
    <row r="535" spans="1:107" x14ac:dyDescent="0.2">
      <c r="A535">
        <f>ROW(Source!A252)</f>
        <v>252</v>
      </c>
      <c r="B535">
        <v>16630606</v>
      </c>
      <c r="C535">
        <v>16632298</v>
      </c>
      <c r="D535">
        <v>15165653</v>
      </c>
      <c r="E535">
        <v>1</v>
      </c>
      <c r="F535">
        <v>1</v>
      </c>
      <c r="G535">
        <v>1</v>
      </c>
      <c r="H535">
        <v>3</v>
      </c>
      <c r="I535" t="s">
        <v>1527</v>
      </c>
      <c r="J535" t="s">
        <v>1528</v>
      </c>
      <c r="K535" t="s">
        <v>1529</v>
      </c>
      <c r="L535">
        <v>1339</v>
      </c>
      <c r="N535">
        <v>1007</v>
      </c>
      <c r="O535" t="s">
        <v>203</v>
      </c>
      <c r="P535" t="s">
        <v>203</v>
      </c>
      <c r="Q535">
        <v>1</v>
      </c>
      <c r="W535">
        <v>0</v>
      </c>
      <c r="X535">
        <v>1262771840</v>
      </c>
      <c r="Y535">
        <v>0.28100000000000003</v>
      </c>
      <c r="AA535">
        <v>44.35</v>
      </c>
      <c r="AB535">
        <v>0</v>
      </c>
      <c r="AC535">
        <v>0</v>
      </c>
      <c r="AD535">
        <v>0</v>
      </c>
      <c r="AE535">
        <v>6.22</v>
      </c>
      <c r="AF535">
        <v>0</v>
      </c>
      <c r="AG535">
        <v>0</v>
      </c>
      <c r="AH535">
        <v>0</v>
      </c>
      <c r="AI535">
        <v>7.13</v>
      </c>
      <c r="AJ535">
        <v>1</v>
      </c>
      <c r="AK535">
        <v>1</v>
      </c>
      <c r="AL535">
        <v>1</v>
      </c>
      <c r="AN535">
        <v>0</v>
      </c>
      <c r="AO535">
        <v>1</v>
      </c>
      <c r="AP535">
        <v>0</v>
      </c>
      <c r="AQ535">
        <v>0</v>
      </c>
      <c r="AR535">
        <v>0</v>
      </c>
      <c r="AS535" t="s">
        <v>6</v>
      </c>
      <c r="AT535">
        <v>0.28100000000000003</v>
      </c>
      <c r="AU535" t="s">
        <v>6</v>
      </c>
      <c r="AV535">
        <v>0</v>
      </c>
      <c r="AW535">
        <v>2</v>
      </c>
      <c r="AX535">
        <v>16632323</v>
      </c>
      <c r="AY535">
        <v>1</v>
      </c>
      <c r="AZ535">
        <v>0</v>
      </c>
      <c r="BA535">
        <v>519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Y535*Source!I252</f>
        <v>0.18798900000000002</v>
      </c>
      <c r="CY535">
        <f t="shared" si="88"/>
        <v>44.35</v>
      </c>
      <c r="CZ535">
        <f t="shared" si="89"/>
        <v>6.22</v>
      </c>
      <c r="DA535">
        <f t="shared" si="90"/>
        <v>7.13</v>
      </c>
      <c r="DB535">
        <f t="shared" si="91"/>
        <v>1.75</v>
      </c>
      <c r="DC535">
        <f t="shared" si="92"/>
        <v>0</v>
      </c>
    </row>
    <row r="536" spans="1:107" x14ac:dyDescent="0.2">
      <c r="A536">
        <f>ROW(Source!A252)</f>
        <v>252</v>
      </c>
      <c r="B536">
        <v>16630606</v>
      </c>
      <c r="C536">
        <v>16632298</v>
      </c>
      <c r="D536">
        <v>15167286</v>
      </c>
      <c r="E536">
        <v>1</v>
      </c>
      <c r="F536">
        <v>1</v>
      </c>
      <c r="G536">
        <v>1</v>
      </c>
      <c r="H536">
        <v>3</v>
      </c>
      <c r="I536" t="s">
        <v>1265</v>
      </c>
      <c r="J536" t="s">
        <v>1266</v>
      </c>
      <c r="K536" t="s">
        <v>1267</v>
      </c>
      <c r="L536">
        <v>1339</v>
      </c>
      <c r="N536">
        <v>1007</v>
      </c>
      <c r="O536" t="s">
        <v>203</v>
      </c>
      <c r="P536" t="s">
        <v>203</v>
      </c>
      <c r="Q536">
        <v>1</v>
      </c>
      <c r="W536">
        <v>0</v>
      </c>
      <c r="X536">
        <v>-1660354250</v>
      </c>
      <c r="Y536">
        <v>0.69</v>
      </c>
      <c r="AA536">
        <v>17.399999999999999</v>
      </c>
      <c r="AB536">
        <v>0</v>
      </c>
      <c r="AC536">
        <v>0</v>
      </c>
      <c r="AD536">
        <v>0</v>
      </c>
      <c r="AE536">
        <v>2.44</v>
      </c>
      <c r="AF536">
        <v>0</v>
      </c>
      <c r="AG536">
        <v>0</v>
      </c>
      <c r="AH536">
        <v>0</v>
      </c>
      <c r="AI536">
        <v>7.13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0</v>
      </c>
      <c r="AQ536">
        <v>0</v>
      </c>
      <c r="AR536">
        <v>0</v>
      </c>
      <c r="AS536" t="s">
        <v>6</v>
      </c>
      <c r="AT536">
        <v>0.69</v>
      </c>
      <c r="AU536" t="s">
        <v>6</v>
      </c>
      <c r="AV536">
        <v>0</v>
      </c>
      <c r="AW536">
        <v>2</v>
      </c>
      <c r="AX536">
        <v>16632324</v>
      </c>
      <c r="AY536">
        <v>1</v>
      </c>
      <c r="AZ536">
        <v>0</v>
      </c>
      <c r="BA536">
        <v>520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Y536*Source!I252</f>
        <v>0.46160999999999996</v>
      </c>
      <c r="CY536">
        <f t="shared" si="88"/>
        <v>17.399999999999999</v>
      </c>
      <c r="CZ536">
        <f t="shared" si="89"/>
        <v>2.44</v>
      </c>
      <c r="DA536">
        <f t="shared" si="90"/>
        <v>7.13</v>
      </c>
      <c r="DB536">
        <f t="shared" si="91"/>
        <v>1.68</v>
      </c>
      <c r="DC536">
        <f t="shared" si="92"/>
        <v>0</v>
      </c>
    </row>
    <row r="537" spans="1:107" x14ac:dyDescent="0.2">
      <c r="A537">
        <f>ROW(Source!A252)</f>
        <v>252</v>
      </c>
      <c r="B537">
        <v>16630606</v>
      </c>
      <c r="C537">
        <v>16632298</v>
      </c>
      <c r="D537">
        <v>15167963</v>
      </c>
      <c r="E537">
        <v>1</v>
      </c>
      <c r="F537">
        <v>1</v>
      </c>
      <c r="G537">
        <v>1</v>
      </c>
      <c r="H537">
        <v>3</v>
      </c>
      <c r="I537" t="s">
        <v>1533</v>
      </c>
      <c r="J537" t="s">
        <v>1534</v>
      </c>
      <c r="K537" t="s">
        <v>1535</v>
      </c>
      <c r="L537">
        <v>1346</v>
      </c>
      <c r="N537">
        <v>1009</v>
      </c>
      <c r="O537" t="s">
        <v>102</v>
      </c>
      <c r="P537" t="s">
        <v>102</v>
      </c>
      <c r="Q537">
        <v>1</v>
      </c>
      <c r="W537">
        <v>0</v>
      </c>
      <c r="X537">
        <v>-490687590</v>
      </c>
      <c r="Y537">
        <v>0.06</v>
      </c>
      <c r="AA537">
        <v>265.88</v>
      </c>
      <c r="AB537">
        <v>0</v>
      </c>
      <c r="AC537">
        <v>0</v>
      </c>
      <c r="AD537">
        <v>0</v>
      </c>
      <c r="AE537">
        <v>37.29</v>
      </c>
      <c r="AF537">
        <v>0</v>
      </c>
      <c r="AG537">
        <v>0</v>
      </c>
      <c r="AH537">
        <v>0</v>
      </c>
      <c r="AI537">
        <v>7.13</v>
      </c>
      <c r="AJ537">
        <v>1</v>
      </c>
      <c r="AK537">
        <v>1</v>
      </c>
      <c r="AL537">
        <v>1</v>
      </c>
      <c r="AN537">
        <v>0</v>
      </c>
      <c r="AO537">
        <v>1</v>
      </c>
      <c r="AP537">
        <v>0</v>
      </c>
      <c r="AQ537">
        <v>0</v>
      </c>
      <c r="AR537">
        <v>0</v>
      </c>
      <c r="AS537" t="s">
        <v>6</v>
      </c>
      <c r="AT537">
        <v>0.06</v>
      </c>
      <c r="AU537" t="s">
        <v>6</v>
      </c>
      <c r="AV537">
        <v>0</v>
      </c>
      <c r="AW537">
        <v>2</v>
      </c>
      <c r="AX537">
        <v>16632325</v>
      </c>
      <c r="AY537">
        <v>1</v>
      </c>
      <c r="AZ537">
        <v>0</v>
      </c>
      <c r="BA537">
        <v>521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Y537*Source!I252</f>
        <v>4.0140000000000002E-2</v>
      </c>
      <c r="CY537">
        <f t="shared" si="88"/>
        <v>265.88</v>
      </c>
      <c r="CZ537">
        <f t="shared" si="89"/>
        <v>37.29</v>
      </c>
      <c r="DA537">
        <f t="shared" si="90"/>
        <v>7.13</v>
      </c>
      <c r="DB537">
        <f t="shared" si="91"/>
        <v>2.2400000000000002</v>
      </c>
      <c r="DC537">
        <f t="shared" si="92"/>
        <v>0</v>
      </c>
    </row>
    <row r="538" spans="1:107" x14ac:dyDescent="0.2">
      <c r="A538">
        <f>ROW(Source!A252)</f>
        <v>252</v>
      </c>
      <c r="B538">
        <v>16630606</v>
      </c>
      <c r="C538">
        <v>16632298</v>
      </c>
      <c r="D538">
        <v>15168695</v>
      </c>
      <c r="E538">
        <v>1</v>
      </c>
      <c r="F538">
        <v>1</v>
      </c>
      <c r="G538">
        <v>1</v>
      </c>
      <c r="H538">
        <v>3</v>
      </c>
      <c r="I538" t="s">
        <v>1536</v>
      </c>
      <c r="J538" t="s">
        <v>1537</v>
      </c>
      <c r="K538" t="s">
        <v>1538</v>
      </c>
      <c r="L538">
        <v>1348</v>
      </c>
      <c r="N538">
        <v>1009</v>
      </c>
      <c r="O538" t="s">
        <v>98</v>
      </c>
      <c r="P538" t="s">
        <v>98</v>
      </c>
      <c r="Q538">
        <v>1000</v>
      </c>
      <c r="W538">
        <v>0</v>
      </c>
      <c r="X538">
        <v>-531507062</v>
      </c>
      <c r="Y538">
        <v>1.7000000000000001E-4</v>
      </c>
      <c r="AA538">
        <v>96682.8</v>
      </c>
      <c r="AB538">
        <v>0</v>
      </c>
      <c r="AC538">
        <v>0</v>
      </c>
      <c r="AD538">
        <v>0</v>
      </c>
      <c r="AE538">
        <v>13560</v>
      </c>
      <c r="AF538">
        <v>0</v>
      </c>
      <c r="AG538">
        <v>0</v>
      </c>
      <c r="AH538">
        <v>0</v>
      </c>
      <c r="AI538">
        <v>7.13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0</v>
      </c>
      <c r="AQ538">
        <v>0</v>
      </c>
      <c r="AR538">
        <v>0</v>
      </c>
      <c r="AS538" t="s">
        <v>6</v>
      </c>
      <c r="AT538">
        <v>1.7000000000000001E-4</v>
      </c>
      <c r="AU538" t="s">
        <v>6</v>
      </c>
      <c r="AV538">
        <v>0</v>
      </c>
      <c r="AW538">
        <v>2</v>
      </c>
      <c r="AX538">
        <v>16632326</v>
      </c>
      <c r="AY538">
        <v>1</v>
      </c>
      <c r="AZ538">
        <v>0</v>
      </c>
      <c r="BA538">
        <v>522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Y538*Source!I252</f>
        <v>1.1373000000000001E-4</v>
      </c>
      <c r="CY538">
        <f t="shared" si="88"/>
        <v>96682.8</v>
      </c>
      <c r="CZ538">
        <f t="shared" si="89"/>
        <v>13560</v>
      </c>
      <c r="DA538">
        <f t="shared" si="90"/>
        <v>7.13</v>
      </c>
      <c r="DB538">
        <f t="shared" si="91"/>
        <v>2.31</v>
      </c>
      <c r="DC538">
        <f t="shared" si="92"/>
        <v>0</v>
      </c>
    </row>
    <row r="539" spans="1:107" x14ac:dyDescent="0.2">
      <c r="A539">
        <f>ROW(Source!A252)</f>
        <v>252</v>
      </c>
      <c r="B539">
        <v>16630606</v>
      </c>
      <c r="C539">
        <v>16632298</v>
      </c>
      <c r="D539">
        <v>15172018</v>
      </c>
      <c r="E539">
        <v>1</v>
      </c>
      <c r="F539">
        <v>1</v>
      </c>
      <c r="G539">
        <v>1</v>
      </c>
      <c r="H539">
        <v>3</v>
      </c>
      <c r="I539" t="s">
        <v>1539</v>
      </c>
      <c r="J539" t="s">
        <v>1540</v>
      </c>
      <c r="K539" t="s">
        <v>1541</v>
      </c>
      <c r="L539">
        <v>1346</v>
      </c>
      <c r="N539">
        <v>1009</v>
      </c>
      <c r="O539" t="s">
        <v>102</v>
      </c>
      <c r="P539" t="s">
        <v>102</v>
      </c>
      <c r="Q539">
        <v>1</v>
      </c>
      <c r="W539">
        <v>0</v>
      </c>
      <c r="X539">
        <v>450790165</v>
      </c>
      <c r="Y539">
        <v>2.5000000000000001E-3</v>
      </c>
      <c r="AA539">
        <v>15.33</v>
      </c>
      <c r="AB539">
        <v>0</v>
      </c>
      <c r="AC539">
        <v>0</v>
      </c>
      <c r="AD539">
        <v>0</v>
      </c>
      <c r="AE539">
        <v>2.15</v>
      </c>
      <c r="AF539">
        <v>0</v>
      </c>
      <c r="AG539">
        <v>0</v>
      </c>
      <c r="AH539">
        <v>0</v>
      </c>
      <c r="AI539">
        <v>7.13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6</v>
      </c>
      <c r="AT539">
        <v>2.5000000000000001E-3</v>
      </c>
      <c r="AU539" t="s">
        <v>6</v>
      </c>
      <c r="AV539">
        <v>0</v>
      </c>
      <c r="AW539">
        <v>2</v>
      </c>
      <c r="AX539">
        <v>16632327</v>
      </c>
      <c r="AY539">
        <v>1</v>
      </c>
      <c r="AZ539">
        <v>0</v>
      </c>
      <c r="BA539">
        <v>523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Y539*Source!I252</f>
        <v>1.6725000000000002E-3</v>
      </c>
      <c r="CY539">
        <f t="shared" si="88"/>
        <v>15.33</v>
      </c>
      <c r="CZ539">
        <f t="shared" si="89"/>
        <v>2.15</v>
      </c>
      <c r="DA539">
        <f t="shared" si="90"/>
        <v>7.13</v>
      </c>
      <c r="DB539">
        <f t="shared" si="91"/>
        <v>0.01</v>
      </c>
      <c r="DC539">
        <f t="shared" si="92"/>
        <v>0</v>
      </c>
    </row>
    <row r="540" spans="1:107" x14ac:dyDescent="0.2">
      <c r="A540">
        <f>ROW(Source!A252)</f>
        <v>252</v>
      </c>
      <c r="B540">
        <v>16630606</v>
      </c>
      <c r="C540">
        <v>16632298</v>
      </c>
      <c r="D540">
        <v>15203740</v>
      </c>
      <c r="E540">
        <v>1</v>
      </c>
      <c r="F540">
        <v>1</v>
      </c>
      <c r="G540">
        <v>1</v>
      </c>
      <c r="H540">
        <v>3</v>
      </c>
      <c r="I540" t="s">
        <v>1542</v>
      </c>
      <c r="J540" t="s">
        <v>1543</v>
      </c>
      <c r="K540" t="s">
        <v>1544</v>
      </c>
      <c r="L540">
        <v>1348</v>
      </c>
      <c r="N540">
        <v>1009</v>
      </c>
      <c r="O540" t="s">
        <v>98</v>
      </c>
      <c r="P540" t="s">
        <v>98</v>
      </c>
      <c r="Q540">
        <v>1000</v>
      </c>
      <c r="W540">
        <v>0</v>
      </c>
      <c r="X540">
        <v>570223526</v>
      </c>
      <c r="Y540">
        <v>4.4000000000000002E-4</v>
      </c>
      <c r="AA540">
        <v>107798.47</v>
      </c>
      <c r="AB540">
        <v>0</v>
      </c>
      <c r="AC540">
        <v>0</v>
      </c>
      <c r="AD540">
        <v>0</v>
      </c>
      <c r="AE540">
        <v>15119</v>
      </c>
      <c r="AF540">
        <v>0</v>
      </c>
      <c r="AG540">
        <v>0</v>
      </c>
      <c r="AH540">
        <v>0</v>
      </c>
      <c r="AI540">
        <v>7.13</v>
      </c>
      <c r="AJ540">
        <v>1</v>
      </c>
      <c r="AK540">
        <v>1</v>
      </c>
      <c r="AL540">
        <v>1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6</v>
      </c>
      <c r="AT540">
        <v>4.4000000000000002E-4</v>
      </c>
      <c r="AU540" t="s">
        <v>6</v>
      </c>
      <c r="AV540">
        <v>0</v>
      </c>
      <c r="AW540">
        <v>2</v>
      </c>
      <c r="AX540">
        <v>16632328</v>
      </c>
      <c r="AY540">
        <v>1</v>
      </c>
      <c r="AZ540">
        <v>0</v>
      </c>
      <c r="BA540">
        <v>524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Y540*Source!I252</f>
        <v>2.9436000000000002E-4</v>
      </c>
      <c r="CY540">
        <f t="shared" si="88"/>
        <v>107798.47</v>
      </c>
      <c r="CZ540">
        <f t="shared" si="89"/>
        <v>15119</v>
      </c>
      <c r="DA540">
        <f t="shared" si="90"/>
        <v>7.13</v>
      </c>
      <c r="DB540">
        <f t="shared" si="91"/>
        <v>6.65</v>
      </c>
      <c r="DC540">
        <f t="shared" si="92"/>
        <v>0</v>
      </c>
    </row>
    <row r="541" spans="1:107" x14ac:dyDescent="0.2">
      <c r="A541">
        <f>ROW(Source!A252)</f>
        <v>252</v>
      </c>
      <c r="B541">
        <v>16630606</v>
      </c>
      <c r="C541">
        <v>16632298</v>
      </c>
      <c r="D541">
        <v>15204468</v>
      </c>
      <c r="E541">
        <v>1</v>
      </c>
      <c r="F541">
        <v>1</v>
      </c>
      <c r="G541">
        <v>1</v>
      </c>
      <c r="H541">
        <v>3</v>
      </c>
      <c r="I541" t="s">
        <v>1545</v>
      </c>
      <c r="J541" t="s">
        <v>1546</v>
      </c>
      <c r="K541" t="s">
        <v>1547</v>
      </c>
      <c r="L541">
        <v>1348</v>
      </c>
      <c r="N541">
        <v>1009</v>
      </c>
      <c r="O541" t="s">
        <v>98</v>
      </c>
      <c r="P541" t="s">
        <v>98</v>
      </c>
      <c r="Q541">
        <v>1000</v>
      </c>
      <c r="W541">
        <v>0</v>
      </c>
      <c r="X541">
        <v>-909021926</v>
      </c>
      <c r="Y541">
        <v>5.2999999999999998E-4</v>
      </c>
      <c r="AA541">
        <v>120853.5</v>
      </c>
      <c r="AB541">
        <v>0</v>
      </c>
      <c r="AC541">
        <v>0</v>
      </c>
      <c r="AD541">
        <v>0</v>
      </c>
      <c r="AE541">
        <v>16950</v>
      </c>
      <c r="AF541">
        <v>0</v>
      </c>
      <c r="AG541">
        <v>0</v>
      </c>
      <c r="AH541">
        <v>0</v>
      </c>
      <c r="AI541">
        <v>7.13</v>
      </c>
      <c r="AJ541">
        <v>1</v>
      </c>
      <c r="AK541">
        <v>1</v>
      </c>
      <c r="AL541">
        <v>1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6</v>
      </c>
      <c r="AT541">
        <v>5.2999999999999998E-4</v>
      </c>
      <c r="AU541" t="s">
        <v>6</v>
      </c>
      <c r="AV541">
        <v>0</v>
      </c>
      <c r="AW541">
        <v>2</v>
      </c>
      <c r="AX541">
        <v>16632329</v>
      </c>
      <c r="AY541">
        <v>1</v>
      </c>
      <c r="AZ541">
        <v>0</v>
      </c>
      <c r="BA541">
        <v>525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Y541*Source!I252</f>
        <v>3.5457000000000002E-4</v>
      </c>
      <c r="CY541">
        <f t="shared" si="88"/>
        <v>120853.5</v>
      </c>
      <c r="CZ541">
        <f t="shared" si="89"/>
        <v>16950</v>
      </c>
      <c r="DA541">
        <f t="shared" si="90"/>
        <v>7.13</v>
      </c>
      <c r="DB541">
        <f t="shared" si="91"/>
        <v>8.98</v>
      </c>
      <c r="DC541">
        <f t="shared" si="92"/>
        <v>0</v>
      </c>
    </row>
    <row r="542" spans="1:107" x14ac:dyDescent="0.2">
      <c r="A542">
        <f>ROW(Source!A252)</f>
        <v>252</v>
      </c>
      <c r="B542">
        <v>16630606</v>
      </c>
      <c r="C542">
        <v>16632298</v>
      </c>
      <c r="D542">
        <v>15226717</v>
      </c>
      <c r="E542">
        <v>1</v>
      </c>
      <c r="F542">
        <v>1</v>
      </c>
      <c r="G542">
        <v>1</v>
      </c>
      <c r="H542">
        <v>3</v>
      </c>
      <c r="I542" t="s">
        <v>733</v>
      </c>
      <c r="J542" t="s">
        <v>735</v>
      </c>
      <c r="K542" t="s">
        <v>734</v>
      </c>
      <c r="L542">
        <v>1358</v>
      </c>
      <c r="N542">
        <v>1010</v>
      </c>
      <c r="O542" t="s">
        <v>616</v>
      </c>
      <c r="P542" t="s">
        <v>616</v>
      </c>
      <c r="Q542">
        <v>10</v>
      </c>
      <c r="W542">
        <v>0</v>
      </c>
      <c r="X542">
        <v>-1611190815</v>
      </c>
      <c r="Y542">
        <v>5.0822120000000002</v>
      </c>
      <c r="AA542">
        <v>235.29</v>
      </c>
      <c r="AB542">
        <v>0</v>
      </c>
      <c r="AC542">
        <v>0</v>
      </c>
      <c r="AD542">
        <v>0</v>
      </c>
      <c r="AE542">
        <v>33</v>
      </c>
      <c r="AF542">
        <v>0</v>
      </c>
      <c r="AG542">
        <v>0</v>
      </c>
      <c r="AH542">
        <v>0</v>
      </c>
      <c r="AI542">
        <v>7.13</v>
      </c>
      <c r="AJ542">
        <v>1</v>
      </c>
      <c r="AK542">
        <v>1</v>
      </c>
      <c r="AL542">
        <v>1</v>
      </c>
      <c r="AN542">
        <v>0</v>
      </c>
      <c r="AO542">
        <v>0</v>
      </c>
      <c r="AP542">
        <v>0</v>
      </c>
      <c r="AQ542">
        <v>0</v>
      </c>
      <c r="AR542">
        <v>0</v>
      </c>
      <c r="AS542" t="s">
        <v>6</v>
      </c>
      <c r="AT542">
        <v>5.0822120000000002</v>
      </c>
      <c r="AU542" t="s">
        <v>6</v>
      </c>
      <c r="AV542">
        <v>0</v>
      </c>
      <c r="AW542">
        <v>1</v>
      </c>
      <c r="AX542">
        <v>-1</v>
      </c>
      <c r="AY542">
        <v>0</v>
      </c>
      <c r="AZ542">
        <v>0</v>
      </c>
      <c r="BA542" t="s">
        <v>6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Y542*Source!I252</f>
        <v>3.3999998280000003</v>
      </c>
      <c r="CY542">
        <f t="shared" si="88"/>
        <v>235.29</v>
      </c>
      <c r="CZ542">
        <f t="shared" si="89"/>
        <v>33</v>
      </c>
      <c r="DA542">
        <f t="shared" si="90"/>
        <v>7.13</v>
      </c>
      <c r="DB542">
        <f t="shared" si="91"/>
        <v>167.71</v>
      </c>
      <c r="DC542">
        <f t="shared" si="92"/>
        <v>0</v>
      </c>
    </row>
    <row r="543" spans="1:107" x14ac:dyDescent="0.2">
      <c r="A543">
        <f>ROW(Source!A252)</f>
        <v>252</v>
      </c>
      <c r="B543">
        <v>16630606</v>
      </c>
      <c r="C543">
        <v>16632298</v>
      </c>
      <c r="D543">
        <v>15229105</v>
      </c>
      <c r="E543">
        <v>1</v>
      </c>
      <c r="F543">
        <v>1</v>
      </c>
      <c r="G543">
        <v>1</v>
      </c>
      <c r="H543">
        <v>3</v>
      </c>
      <c r="I543" t="s">
        <v>737</v>
      </c>
      <c r="J543" t="s">
        <v>739</v>
      </c>
      <c r="K543" t="s">
        <v>738</v>
      </c>
      <c r="L543">
        <v>1301</v>
      </c>
      <c r="N543">
        <v>1003</v>
      </c>
      <c r="O543" t="s">
        <v>150</v>
      </c>
      <c r="P543" t="s">
        <v>150</v>
      </c>
      <c r="Q543">
        <v>1</v>
      </c>
      <c r="W543">
        <v>0</v>
      </c>
      <c r="X543">
        <v>-668817604</v>
      </c>
      <c r="Y543">
        <v>100</v>
      </c>
      <c r="AA543">
        <v>193.94</v>
      </c>
      <c r="AB543">
        <v>0</v>
      </c>
      <c r="AC543">
        <v>0</v>
      </c>
      <c r="AD543">
        <v>0</v>
      </c>
      <c r="AE543">
        <v>27.2</v>
      </c>
      <c r="AF543">
        <v>0</v>
      </c>
      <c r="AG543">
        <v>0</v>
      </c>
      <c r="AH543">
        <v>0</v>
      </c>
      <c r="AI543">
        <v>7.13</v>
      </c>
      <c r="AJ543">
        <v>1</v>
      </c>
      <c r="AK543">
        <v>1</v>
      </c>
      <c r="AL543">
        <v>1</v>
      </c>
      <c r="AN543">
        <v>0</v>
      </c>
      <c r="AO543">
        <v>0</v>
      </c>
      <c r="AP543">
        <v>0</v>
      </c>
      <c r="AQ543">
        <v>0</v>
      </c>
      <c r="AR543">
        <v>0</v>
      </c>
      <c r="AS543" t="s">
        <v>6</v>
      </c>
      <c r="AT543">
        <v>100</v>
      </c>
      <c r="AU543" t="s">
        <v>6</v>
      </c>
      <c r="AV543">
        <v>0</v>
      </c>
      <c r="AW543">
        <v>1</v>
      </c>
      <c r="AX543">
        <v>-1</v>
      </c>
      <c r="AY543">
        <v>0</v>
      </c>
      <c r="AZ543">
        <v>0</v>
      </c>
      <c r="BA543" t="s">
        <v>6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Y543*Source!I252</f>
        <v>66.900000000000006</v>
      </c>
      <c r="CY543">
        <f t="shared" si="88"/>
        <v>193.94</v>
      </c>
      <c r="CZ543">
        <f t="shared" si="89"/>
        <v>27.2</v>
      </c>
      <c r="DA543">
        <f t="shared" si="90"/>
        <v>7.13</v>
      </c>
      <c r="DB543">
        <f t="shared" si="91"/>
        <v>2720</v>
      </c>
      <c r="DC543">
        <f t="shared" si="92"/>
        <v>0</v>
      </c>
    </row>
    <row r="544" spans="1:107" x14ac:dyDescent="0.2">
      <c r="A544">
        <f>ROW(Source!A252)</f>
        <v>252</v>
      </c>
      <c r="B544">
        <v>16630606</v>
      </c>
      <c r="C544">
        <v>16632298</v>
      </c>
      <c r="D544">
        <v>15163126</v>
      </c>
      <c r="E544">
        <v>17</v>
      </c>
      <c r="F544">
        <v>1</v>
      </c>
      <c r="G544">
        <v>1</v>
      </c>
      <c r="H544">
        <v>3</v>
      </c>
      <c r="I544" t="s">
        <v>741</v>
      </c>
      <c r="J544" t="s">
        <v>6</v>
      </c>
      <c r="K544" t="s">
        <v>742</v>
      </c>
      <c r="L544">
        <v>1301</v>
      </c>
      <c r="N544">
        <v>1003</v>
      </c>
      <c r="O544" t="s">
        <v>150</v>
      </c>
      <c r="P544" t="s">
        <v>150</v>
      </c>
      <c r="Q544">
        <v>1</v>
      </c>
      <c r="W544">
        <v>0</v>
      </c>
      <c r="X544">
        <v>594190089</v>
      </c>
      <c r="Y544">
        <v>100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7.13</v>
      </c>
      <c r="AJ544">
        <v>1</v>
      </c>
      <c r="AK544">
        <v>1</v>
      </c>
      <c r="AL544">
        <v>1</v>
      </c>
      <c r="AN544">
        <v>0</v>
      </c>
      <c r="AO544">
        <v>0</v>
      </c>
      <c r="AP544">
        <v>0</v>
      </c>
      <c r="AQ544">
        <v>0</v>
      </c>
      <c r="AR544">
        <v>0</v>
      </c>
      <c r="AS544" t="s">
        <v>6</v>
      </c>
      <c r="AT544">
        <v>100</v>
      </c>
      <c r="AU544" t="s">
        <v>6</v>
      </c>
      <c r="AV544">
        <v>0</v>
      </c>
      <c r="AW544">
        <v>2</v>
      </c>
      <c r="AX544">
        <v>16632332</v>
      </c>
      <c r="AY544">
        <v>1</v>
      </c>
      <c r="AZ544">
        <v>0</v>
      </c>
      <c r="BA544">
        <v>528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Y544*Source!I252</f>
        <v>66.900000000000006</v>
      </c>
      <c r="CY544">
        <f t="shared" si="88"/>
        <v>0</v>
      </c>
      <c r="CZ544">
        <f t="shared" si="89"/>
        <v>0</v>
      </c>
      <c r="DA544">
        <f t="shared" si="90"/>
        <v>7.13</v>
      </c>
      <c r="DB544">
        <f t="shared" si="91"/>
        <v>0</v>
      </c>
      <c r="DC544">
        <f t="shared" si="92"/>
        <v>0</v>
      </c>
    </row>
    <row r="545" spans="1:107" x14ac:dyDescent="0.2">
      <c r="A545">
        <f>ROW(Source!A256)</f>
        <v>256</v>
      </c>
      <c r="B545">
        <v>16630606</v>
      </c>
      <c r="C545">
        <v>16632336</v>
      </c>
      <c r="D545">
        <v>15436556</v>
      </c>
      <c r="E545">
        <v>1</v>
      </c>
      <c r="F545">
        <v>1</v>
      </c>
      <c r="G545">
        <v>1</v>
      </c>
      <c r="H545">
        <v>1</v>
      </c>
      <c r="I545" t="s">
        <v>1354</v>
      </c>
      <c r="J545" t="s">
        <v>6</v>
      </c>
      <c r="K545" t="s">
        <v>1355</v>
      </c>
      <c r="L545">
        <v>1191</v>
      </c>
      <c r="N545">
        <v>1013</v>
      </c>
      <c r="O545" t="s">
        <v>1148</v>
      </c>
      <c r="P545" t="s">
        <v>1148</v>
      </c>
      <c r="Q545">
        <v>1</v>
      </c>
      <c r="W545">
        <v>0</v>
      </c>
      <c r="X545">
        <v>1069510174</v>
      </c>
      <c r="Y545">
        <v>37.915499999999994</v>
      </c>
      <c r="AA545">
        <v>0</v>
      </c>
      <c r="AB545">
        <v>0</v>
      </c>
      <c r="AC545">
        <v>0</v>
      </c>
      <c r="AD545">
        <v>68.59</v>
      </c>
      <c r="AE545">
        <v>0</v>
      </c>
      <c r="AF545">
        <v>0</v>
      </c>
      <c r="AG545">
        <v>0</v>
      </c>
      <c r="AH545">
        <v>9.6199999999999992</v>
      </c>
      <c r="AI545">
        <v>1</v>
      </c>
      <c r="AJ545">
        <v>1</v>
      </c>
      <c r="AK545">
        <v>1</v>
      </c>
      <c r="AL545">
        <v>7.13</v>
      </c>
      <c r="AN545">
        <v>0</v>
      </c>
      <c r="AO545">
        <v>1</v>
      </c>
      <c r="AP545">
        <v>1</v>
      </c>
      <c r="AQ545">
        <v>0</v>
      </c>
      <c r="AR545">
        <v>0</v>
      </c>
      <c r="AS545" t="s">
        <v>6</v>
      </c>
      <c r="AT545">
        <v>32.97</v>
      </c>
      <c r="AU545" t="s">
        <v>82</v>
      </c>
      <c r="AV545">
        <v>1</v>
      </c>
      <c r="AW545">
        <v>2</v>
      </c>
      <c r="AX545">
        <v>16632354</v>
      </c>
      <c r="AY545">
        <v>1</v>
      </c>
      <c r="AZ545">
        <v>0</v>
      </c>
      <c r="BA545">
        <v>529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Y545*Source!I256</f>
        <v>12.701692499999998</v>
      </c>
      <c r="CY545">
        <f>AD545</f>
        <v>68.59</v>
      </c>
      <c r="CZ545">
        <f>AH545</f>
        <v>9.6199999999999992</v>
      </c>
      <c r="DA545">
        <f>AL545</f>
        <v>7.13</v>
      </c>
      <c r="DB545">
        <f>ROUND((ROUND(AT545*CZ545,2)*1.15),2)</f>
        <v>364.75</v>
      </c>
      <c r="DC545">
        <f>ROUND((ROUND(AT545*AG545,2)*1.15),2)</f>
        <v>0</v>
      </c>
    </row>
    <row r="546" spans="1:107" x14ac:dyDescent="0.2">
      <c r="A546">
        <f>ROW(Source!A256)</f>
        <v>256</v>
      </c>
      <c r="B546">
        <v>16630606</v>
      </c>
      <c r="C546">
        <v>16632336</v>
      </c>
      <c r="D546">
        <v>15430395</v>
      </c>
      <c r="E546">
        <v>1</v>
      </c>
      <c r="F546">
        <v>1</v>
      </c>
      <c r="G546">
        <v>1</v>
      </c>
      <c r="H546">
        <v>1</v>
      </c>
      <c r="I546" t="s">
        <v>1149</v>
      </c>
      <c r="J546" t="s">
        <v>6</v>
      </c>
      <c r="K546" t="s">
        <v>1150</v>
      </c>
      <c r="L546">
        <v>1191</v>
      </c>
      <c r="N546">
        <v>1013</v>
      </c>
      <c r="O546" t="s">
        <v>1148</v>
      </c>
      <c r="P546" t="s">
        <v>1148</v>
      </c>
      <c r="Q546">
        <v>1</v>
      </c>
      <c r="W546">
        <v>0</v>
      </c>
      <c r="X546">
        <v>-1417349443</v>
      </c>
      <c r="Y546">
        <v>0.5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1</v>
      </c>
      <c r="AJ546">
        <v>1</v>
      </c>
      <c r="AK546">
        <v>7.13</v>
      </c>
      <c r="AL546">
        <v>1</v>
      </c>
      <c r="AN546">
        <v>0</v>
      </c>
      <c r="AO546">
        <v>1</v>
      </c>
      <c r="AP546">
        <v>0</v>
      </c>
      <c r="AQ546">
        <v>0</v>
      </c>
      <c r="AR546">
        <v>0</v>
      </c>
      <c r="AS546" t="s">
        <v>6</v>
      </c>
      <c r="AT546">
        <v>0.5</v>
      </c>
      <c r="AU546" t="s">
        <v>6</v>
      </c>
      <c r="AV546">
        <v>2</v>
      </c>
      <c r="AW546">
        <v>2</v>
      </c>
      <c r="AX546">
        <v>16632355</v>
      </c>
      <c r="AY546">
        <v>1</v>
      </c>
      <c r="AZ546">
        <v>2048</v>
      </c>
      <c r="BA546">
        <v>530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Y546*Source!I256</f>
        <v>0.16750000000000001</v>
      </c>
      <c r="CY546">
        <f>AD546</f>
        <v>0</v>
      </c>
      <c r="CZ546">
        <f>AH546</f>
        <v>0</v>
      </c>
      <c r="DA546">
        <f>AL546</f>
        <v>1</v>
      </c>
      <c r="DB546">
        <f>ROUND(ROUND(AT546*CZ546,2),2)</f>
        <v>0</v>
      </c>
      <c r="DC546">
        <f>ROUND(ROUND(AT546*AG546,2),2)</f>
        <v>0</v>
      </c>
    </row>
    <row r="547" spans="1:107" x14ac:dyDescent="0.2">
      <c r="A547">
        <f>ROW(Source!A256)</f>
        <v>256</v>
      </c>
      <c r="B547">
        <v>16630606</v>
      </c>
      <c r="C547">
        <v>16632336</v>
      </c>
      <c r="D547">
        <v>15247578</v>
      </c>
      <c r="E547">
        <v>1</v>
      </c>
      <c r="F547">
        <v>1</v>
      </c>
      <c r="G547">
        <v>1</v>
      </c>
      <c r="H547">
        <v>2</v>
      </c>
      <c r="I547" t="s">
        <v>1246</v>
      </c>
      <c r="J547" t="s">
        <v>1247</v>
      </c>
      <c r="K547" t="s">
        <v>1248</v>
      </c>
      <c r="L547">
        <v>1368</v>
      </c>
      <c r="N547">
        <v>1011</v>
      </c>
      <c r="O547" t="s">
        <v>1154</v>
      </c>
      <c r="P547" t="s">
        <v>1154</v>
      </c>
      <c r="Q547">
        <v>1</v>
      </c>
      <c r="W547">
        <v>0</v>
      </c>
      <c r="X547">
        <v>-1460065968</v>
      </c>
      <c r="Y547">
        <v>0.1</v>
      </c>
      <c r="AA547">
        <v>0</v>
      </c>
      <c r="AB547">
        <v>616.03</v>
      </c>
      <c r="AC547">
        <v>13.5</v>
      </c>
      <c r="AD547">
        <v>0</v>
      </c>
      <c r="AE547">
        <v>0</v>
      </c>
      <c r="AF547">
        <v>86.4</v>
      </c>
      <c r="AG547">
        <v>13.5</v>
      </c>
      <c r="AH547">
        <v>0</v>
      </c>
      <c r="AI547">
        <v>1</v>
      </c>
      <c r="AJ547">
        <v>7.13</v>
      </c>
      <c r="AK547">
        <v>1</v>
      </c>
      <c r="AL547">
        <v>1</v>
      </c>
      <c r="AN547">
        <v>0</v>
      </c>
      <c r="AO547">
        <v>1</v>
      </c>
      <c r="AP547">
        <v>1</v>
      </c>
      <c r="AQ547">
        <v>0</v>
      </c>
      <c r="AR547">
        <v>0</v>
      </c>
      <c r="AS547" t="s">
        <v>6</v>
      </c>
      <c r="AT547">
        <v>0.08</v>
      </c>
      <c r="AU547" t="s">
        <v>81</v>
      </c>
      <c r="AV547">
        <v>0</v>
      </c>
      <c r="AW547">
        <v>2</v>
      </c>
      <c r="AX547">
        <v>16632356</v>
      </c>
      <c r="AY547">
        <v>1</v>
      </c>
      <c r="AZ547">
        <v>0</v>
      </c>
      <c r="BA547">
        <v>531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Y547*Source!I256</f>
        <v>3.3500000000000002E-2</v>
      </c>
      <c r="CY547">
        <f>AB547</f>
        <v>616.03</v>
      </c>
      <c r="CZ547">
        <f>AF547</f>
        <v>86.4</v>
      </c>
      <c r="DA547">
        <f>AJ547</f>
        <v>7.13</v>
      </c>
      <c r="DB547">
        <f>ROUND((ROUND(AT547*CZ547,2)*1.25),2)</f>
        <v>8.64</v>
      </c>
      <c r="DC547">
        <f>ROUND((ROUND(AT547*AG547,2)*1.25),2)</f>
        <v>1.35</v>
      </c>
    </row>
    <row r="548" spans="1:107" x14ac:dyDescent="0.2">
      <c r="A548">
        <f>ROW(Source!A256)</f>
        <v>256</v>
      </c>
      <c r="B548">
        <v>16630606</v>
      </c>
      <c r="C548">
        <v>16632336</v>
      </c>
      <c r="D548">
        <v>15247680</v>
      </c>
      <c r="E548">
        <v>1</v>
      </c>
      <c r="F548">
        <v>1</v>
      </c>
      <c r="G548">
        <v>1</v>
      </c>
      <c r="H548">
        <v>2</v>
      </c>
      <c r="I548" t="s">
        <v>1419</v>
      </c>
      <c r="J548" t="s">
        <v>1420</v>
      </c>
      <c r="K548" t="s">
        <v>1421</v>
      </c>
      <c r="L548">
        <v>1368</v>
      </c>
      <c r="N548">
        <v>1011</v>
      </c>
      <c r="O548" t="s">
        <v>1154</v>
      </c>
      <c r="P548" t="s">
        <v>1154</v>
      </c>
      <c r="Q548">
        <v>1</v>
      </c>
      <c r="W548">
        <v>0</v>
      </c>
      <c r="X548">
        <v>-1718674368</v>
      </c>
      <c r="Y548">
        <v>8.7500000000000008E-2</v>
      </c>
      <c r="AA548">
        <v>0</v>
      </c>
      <c r="AB548">
        <v>798.49</v>
      </c>
      <c r="AC548">
        <v>13.5</v>
      </c>
      <c r="AD548">
        <v>0</v>
      </c>
      <c r="AE548">
        <v>0</v>
      </c>
      <c r="AF548">
        <v>111.99</v>
      </c>
      <c r="AG548">
        <v>13.5</v>
      </c>
      <c r="AH548">
        <v>0</v>
      </c>
      <c r="AI548">
        <v>1</v>
      </c>
      <c r="AJ548">
        <v>7.13</v>
      </c>
      <c r="AK548">
        <v>1</v>
      </c>
      <c r="AL548">
        <v>1</v>
      </c>
      <c r="AN548">
        <v>0</v>
      </c>
      <c r="AO548">
        <v>1</v>
      </c>
      <c r="AP548">
        <v>1</v>
      </c>
      <c r="AQ548">
        <v>0</v>
      </c>
      <c r="AR548">
        <v>0</v>
      </c>
      <c r="AS548" t="s">
        <v>6</v>
      </c>
      <c r="AT548">
        <v>7.0000000000000007E-2</v>
      </c>
      <c r="AU548" t="s">
        <v>81</v>
      </c>
      <c r="AV548">
        <v>0</v>
      </c>
      <c r="AW548">
        <v>2</v>
      </c>
      <c r="AX548">
        <v>16632357</v>
      </c>
      <c r="AY548">
        <v>1</v>
      </c>
      <c r="AZ548">
        <v>0</v>
      </c>
      <c r="BA548">
        <v>532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Y548*Source!I256</f>
        <v>2.9312500000000005E-2</v>
      </c>
      <c r="CY548">
        <f>AB548</f>
        <v>798.49</v>
      </c>
      <c r="CZ548">
        <f>AF548</f>
        <v>111.99</v>
      </c>
      <c r="DA548">
        <f>AJ548</f>
        <v>7.13</v>
      </c>
      <c r="DB548">
        <f>ROUND((ROUND(AT548*CZ548,2)*1.25),2)</f>
        <v>9.8000000000000007</v>
      </c>
      <c r="DC548">
        <f>ROUND((ROUND(AT548*AG548,2)*1.25),2)</f>
        <v>1.19</v>
      </c>
    </row>
    <row r="549" spans="1:107" x14ac:dyDescent="0.2">
      <c r="A549">
        <f>ROW(Source!A256)</f>
        <v>256</v>
      </c>
      <c r="B549">
        <v>16630606</v>
      </c>
      <c r="C549">
        <v>16632336</v>
      </c>
      <c r="D549">
        <v>15249073</v>
      </c>
      <c r="E549">
        <v>1</v>
      </c>
      <c r="F549">
        <v>1</v>
      </c>
      <c r="G549">
        <v>1</v>
      </c>
      <c r="H549">
        <v>2</v>
      </c>
      <c r="I549" t="s">
        <v>1157</v>
      </c>
      <c r="J549" t="s">
        <v>1158</v>
      </c>
      <c r="K549" t="s">
        <v>1159</v>
      </c>
      <c r="L549">
        <v>1368</v>
      </c>
      <c r="N549">
        <v>1011</v>
      </c>
      <c r="O549" t="s">
        <v>1154</v>
      </c>
      <c r="P549" t="s">
        <v>1154</v>
      </c>
      <c r="Q549">
        <v>1</v>
      </c>
      <c r="W549">
        <v>0</v>
      </c>
      <c r="X549">
        <v>1372534845</v>
      </c>
      <c r="Y549">
        <v>0.4375</v>
      </c>
      <c r="AA549">
        <v>0</v>
      </c>
      <c r="AB549">
        <v>468.51</v>
      </c>
      <c r="AC549">
        <v>11.6</v>
      </c>
      <c r="AD549">
        <v>0</v>
      </c>
      <c r="AE549">
        <v>0</v>
      </c>
      <c r="AF549">
        <v>65.709999999999994</v>
      </c>
      <c r="AG549">
        <v>11.6</v>
      </c>
      <c r="AH549">
        <v>0</v>
      </c>
      <c r="AI549">
        <v>1</v>
      </c>
      <c r="AJ549">
        <v>7.13</v>
      </c>
      <c r="AK549">
        <v>1</v>
      </c>
      <c r="AL549">
        <v>1</v>
      </c>
      <c r="AN549">
        <v>0</v>
      </c>
      <c r="AO549">
        <v>1</v>
      </c>
      <c r="AP549">
        <v>1</v>
      </c>
      <c r="AQ549">
        <v>0</v>
      </c>
      <c r="AR549">
        <v>0</v>
      </c>
      <c r="AS549" t="s">
        <v>6</v>
      </c>
      <c r="AT549">
        <v>0.35</v>
      </c>
      <c r="AU549" t="s">
        <v>81</v>
      </c>
      <c r="AV549">
        <v>0</v>
      </c>
      <c r="AW549">
        <v>2</v>
      </c>
      <c r="AX549">
        <v>16632358</v>
      </c>
      <c r="AY549">
        <v>1</v>
      </c>
      <c r="AZ549">
        <v>0</v>
      </c>
      <c r="BA549">
        <v>533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Y549*Source!I256</f>
        <v>0.14656250000000001</v>
      </c>
      <c r="CY549">
        <f>AB549</f>
        <v>468.51</v>
      </c>
      <c r="CZ549">
        <f>AF549</f>
        <v>65.709999999999994</v>
      </c>
      <c r="DA549">
        <f>AJ549</f>
        <v>7.13</v>
      </c>
      <c r="DB549">
        <f>ROUND((ROUND(AT549*CZ549,2)*1.25),2)</f>
        <v>28.75</v>
      </c>
      <c r="DC549">
        <f>ROUND((ROUND(AT549*AG549,2)*1.25),2)</f>
        <v>5.08</v>
      </c>
    </row>
    <row r="550" spans="1:107" x14ac:dyDescent="0.2">
      <c r="A550">
        <f>ROW(Source!A256)</f>
        <v>256</v>
      </c>
      <c r="B550">
        <v>16630606</v>
      </c>
      <c r="C550">
        <v>16632336</v>
      </c>
      <c r="D550">
        <v>15249308</v>
      </c>
      <c r="E550">
        <v>1</v>
      </c>
      <c r="F550">
        <v>1</v>
      </c>
      <c r="G550">
        <v>1</v>
      </c>
      <c r="H550">
        <v>2</v>
      </c>
      <c r="I550" t="s">
        <v>1521</v>
      </c>
      <c r="J550" t="s">
        <v>1522</v>
      </c>
      <c r="K550" t="s">
        <v>1523</v>
      </c>
      <c r="L550">
        <v>1368</v>
      </c>
      <c r="N550">
        <v>1011</v>
      </c>
      <c r="O550" t="s">
        <v>1154</v>
      </c>
      <c r="P550" t="s">
        <v>1154</v>
      </c>
      <c r="Q550">
        <v>1</v>
      </c>
      <c r="W550">
        <v>0</v>
      </c>
      <c r="X550">
        <v>792402865</v>
      </c>
      <c r="Y550">
        <v>1.4375</v>
      </c>
      <c r="AA550">
        <v>0</v>
      </c>
      <c r="AB550">
        <v>8.56</v>
      </c>
      <c r="AC550">
        <v>0</v>
      </c>
      <c r="AD550">
        <v>0</v>
      </c>
      <c r="AE550">
        <v>0</v>
      </c>
      <c r="AF550">
        <v>1.2</v>
      </c>
      <c r="AG550">
        <v>0</v>
      </c>
      <c r="AH550">
        <v>0</v>
      </c>
      <c r="AI550">
        <v>1</v>
      </c>
      <c r="AJ550">
        <v>7.13</v>
      </c>
      <c r="AK550">
        <v>1</v>
      </c>
      <c r="AL550">
        <v>1</v>
      </c>
      <c r="AN550">
        <v>0</v>
      </c>
      <c r="AO550">
        <v>1</v>
      </c>
      <c r="AP550">
        <v>1</v>
      </c>
      <c r="AQ550">
        <v>0</v>
      </c>
      <c r="AR550">
        <v>0</v>
      </c>
      <c r="AS550" t="s">
        <v>6</v>
      </c>
      <c r="AT550">
        <v>1.1499999999999999</v>
      </c>
      <c r="AU550" t="s">
        <v>81</v>
      </c>
      <c r="AV550">
        <v>0</v>
      </c>
      <c r="AW550">
        <v>2</v>
      </c>
      <c r="AX550">
        <v>16632359</v>
      </c>
      <c r="AY550">
        <v>1</v>
      </c>
      <c r="AZ550">
        <v>0</v>
      </c>
      <c r="BA550">
        <v>534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Y550*Source!I256</f>
        <v>0.4815625</v>
      </c>
      <c r="CY550">
        <f>AB550</f>
        <v>8.56</v>
      </c>
      <c r="CZ550">
        <f>AF550</f>
        <v>1.2</v>
      </c>
      <c r="DA550">
        <f>AJ550</f>
        <v>7.13</v>
      </c>
      <c r="DB550">
        <f>ROUND((ROUND(AT550*CZ550,2)*1.25),2)</f>
        <v>1.73</v>
      </c>
      <c r="DC550">
        <f>ROUND((ROUND(AT550*AG550,2)*1.25),2)</f>
        <v>0</v>
      </c>
    </row>
    <row r="551" spans="1:107" x14ac:dyDescent="0.2">
      <c r="A551">
        <f>ROW(Source!A256)</f>
        <v>256</v>
      </c>
      <c r="B551">
        <v>16630606</v>
      </c>
      <c r="C551">
        <v>16632336</v>
      </c>
      <c r="D551">
        <v>15165635</v>
      </c>
      <c r="E551">
        <v>1</v>
      </c>
      <c r="F551">
        <v>1</v>
      </c>
      <c r="G551">
        <v>1</v>
      </c>
      <c r="H551">
        <v>3</v>
      </c>
      <c r="I551" t="s">
        <v>1530</v>
      </c>
      <c r="J551" t="s">
        <v>1531</v>
      </c>
      <c r="K551" t="s">
        <v>1532</v>
      </c>
      <c r="L551">
        <v>1348</v>
      </c>
      <c r="N551">
        <v>1009</v>
      </c>
      <c r="O551" t="s">
        <v>98</v>
      </c>
      <c r="P551" t="s">
        <v>98</v>
      </c>
      <c r="Q551">
        <v>1000</v>
      </c>
      <c r="W551">
        <v>0</v>
      </c>
      <c r="X551">
        <v>993149205</v>
      </c>
      <c r="Y551">
        <v>1.2999999999999999E-4</v>
      </c>
      <c r="AA551">
        <v>234077.9</v>
      </c>
      <c r="AB551">
        <v>0</v>
      </c>
      <c r="AC551">
        <v>0</v>
      </c>
      <c r="AD551">
        <v>0</v>
      </c>
      <c r="AE551">
        <v>32830</v>
      </c>
      <c r="AF551">
        <v>0</v>
      </c>
      <c r="AG551">
        <v>0</v>
      </c>
      <c r="AH551">
        <v>0</v>
      </c>
      <c r="AI551">
        <v>7.13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6</v>
      </c>
      <c r="AT551">
        <v>1.2999999999999999E-4</v>
      </c>
      <c r="AU551" t="s">
        <v>6</v>
      </c>
      <c r="AV551">
        <v>0</v>
      </c>
      <c r="AW551">
        <v>2</v>
      </c>
      <c r="AX551">
        <v>16632360</v>
      </c>
      <c r="AY551">
        <v>1</v>
      </c>
      <c r="AZ551">
        <v>0</v>
      </c>
      <c r="BA551">
        <v>535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Y551*Source!I256</f>
        <v>4.3550000000000001E-5</v>
      </c>
      <c r="CY551">
        <f t="shared" ref="CY551:CY561" si="93">AA551</f>
        <v>234077.9</v>
      </c>
      <c r="CZ551">
        <f t="shared" ref="CZ551:CZ561" si="94">AE551</f>
        <v>32830</v>
      </c>
      <c r="DA551">
        <f t="shared" ref="DA551:DA561" si="95">AI551</f>
        <v>7.13</v>
      </c>
      <c r="DB551">
        <f t="shared" ref="DB551:DB567" si="96">ROUND(ROUND(AT551*CZ551,2),2)</f>
        <v>4.2699999999999996</v>
      </c>
      <c r="DC551">
        <f t="shared" ref="DC551:DC567" si="97">ROUND(ROUND(AT551*AG551,2),2)</f>
        <v>0</v>
      </c>
    </row>
    <row r="552" spans="1:107" x14ac:dyDescent="0.2">
      <c r="A552">
        <f>ROW(Source!A256)</f>
        <v>256</v>
      </c>
      <c r="B552">
        <v>16630606</v>
      </c>
      <c r="C552">
        <v>16632336</v>
      </c>
      <c r="D552">
        <v>15165653</v>
      </c>
      <c r="E552">
        <v>1</v>
      </c>
      <c r="F552">
        <v>1</v>
      </c>
      <c r="G552">
        <v>1</v>
      </c>
      <c r="H552">
        <v>3</v>
      </c>
      <c r="I552" t="s">
        <v>1527</v>
      </c>
      <c r="J552" t="s">
        <v>1528</v>
      </c>
      <c r="K552" t="s">
        <v>1529</v>
      </c>
      <c r="L552">
        <v>1339</v>
      </c>
      <c r="N552">
        <v>1007</v>
      </c>
      <c r="O552" t="s">
        <v>203</v>
      </c>
      <c r="P552" t="s">
        <v>203</v>
      </c>
      <c r="Q552">
        <v>1</v>
      </c>
      <c r="W552">
        <v>0</v>
      </c>
      <c r="X552">
        <v>1262771840</v>
      </c>
      <c r="Y552">
        <v>0.28100000000000003</v>
      </c>
      <c r="AA552">
        <v>44.35</v>
      </c>
      <c r="AB552">
        <v>0</v>
      </c>
      <c r="AC552">
        <v>0</v>
      </c>
      <c r="AD552">
        <v>0</v>
      </c>
      <c r="AE552">
        <v>6.22</v>
      </c>
      <c r="AF552">
        <v>0</v>
      </c>
      <c r="AG552">
        <v>0</v>
      </c>
      <c r="AH552">
        <v>0</v>
      </c>
      <c r="AI552">
        <v>7.13</v>
      </c>
      <c r="AJ552">
        <v>1</v>
      </c>
      <c r="AK552">
        <v>1</v>
      </c>
      <c r="AL552">
        <v>1</v>
      </c>
      <c r="AN552">
        <v>0</v>
      </c>
      <c r="AO552">
        <v>1</v>
      </c>
      <c r="AP552">
        <v>0</v>
      </c>
      <c r="AQ552">
        <v>0</v>
      </c>
      <c r="AR552">
        <v>0</v>
      </c>
      <c r="AS552" t="s">
        <v>6</v>
      </c>
      <c r="AT552">
        <v>0.28100000000000003</v>
      </c>
      <c r="AU552" t="s">
        <v>6</v>
      </c>
      <c r="AV552">
        <v>0</v>
      </c>
      <c r="AW552">
        <v>2</v>
      </c>
      <c r="AX552">
        <v>16632361</v>
      </c>
      <c r="AY552">
        <v>1</v>
      </c>
      <c r="AZ552">
        <v>0</v>
      </c>
      <c r="BA552">
        <v>536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Y552*Source!I256</f>
        <v>9.413500000000001E-2</v>
      </c>
      <c r="CY552">
        <f t="shared" si="93"/>
        <v>44.35</v>
      </c>
      <c r="CZ552">
        <f t="shared" si="94"/>
        <v>6.22</v>
      </c>
      <c r="DA552">
        <f t="shared" si="95"/>
        <v>7.13</v>
      </c>
      <c r="DB552">
        <f t="shared" si="96"/>
        <v>1.75</v>
      </c>
      <c r="DC552">
        <f t="shared" si="97"/>
        <v>0</v>
      </c>
    </row>
    <row r="553" spans="1:107" x14ac:dyDescent="0.2">
      <c r="A553">
        <f>ROW(Source!A256)</f>
        <v>256</v>
      </c>
      <c r="B553">
        <v>16630606</v>
      </c>
      <c r="C553">
        <v>16632336</v>
      </c>
      <c r="D553">
        <v>15167286</v>
      </c>
      <c r="E553">
        <v>1</v>
      </c>
      <c r="F553">
        <v>1</v>
      </c>
      <c r="G553">
        <v>1</v>
      </c>
      <c r="H553">
        <v>3</v>
      </c>
      <c r="I553" t="s">
        <v>1265</v>
      </c>
      <c r="J553" t="s">
        <v>1266</v>
      </c>
      <c r="K553" t="s">
        <v>1267</v>
      </c>
      <c r="L553">
        <v>1339</v>
      </c>
      <c r="N553">
        <v>1007</v>
      </c>
      <c r="O553" t="s">
        <v>203</v>
      </c>
      <c r="P553" t="s">
        <v>203</v>
      </c>
      <c r="Q553">
        <v>1</v>
      </c>
      <c r="W553">
        <v>0</v>
      </c>
      <c r="X553">
        <v>-1660354250</v>
      </c>
      <c r="Y553">
        <v>0.44</v>
      </c>
      <c r="AA553">
        <v>17.399999999999999</v>
      </c>
      <c r="AB553">
        <v>0</v>
      </c>
      <c r="AC553">
        <v>0</v>
      </c>
      <c r="AD553">
        <v>0</v>
      </c>
      <c r="AE553">
        <v>2.44</v>
      </c>
      <c r="AF553">
        <v>0</v>
      </c>
      <c r="AG553">
        <v>0</v>
      </c>
      <c r="AH553">
        <v>0</v>
      </c>
      <c r="AI553">
        <v>7.13</v>
      </c>
      <c r="AJ553">
        <v>1</v>
      </c>
      <c r="AK553">
        <v>1</v>
      </c>
      <c r="AL553">
        <v>1</v>
      </c>
      <c r="AN553">
        <v>0</v>
      </c>
      <c r="AO553">
        <v>1</v>
      </c>
      <c r="AP553">
        <v>0</v>
      </c>
      <c r="AQ553">
        <v>0</v>
      </c>
      <c r="AR553">
        <v>0</v>
      </c>
      <c r="AS553" t="s">
        <v>6</v>
      </c>
      <c r="AT553">
        <v>0.44</v>
      </c>
      <c r="AU553" t="s">
        <v>6</v>
      </c>
      <c r="AV553">
        <v>0</v>
      </c>
      <c r="AW553">
        <v>2</v>
      </c>
      <c r="AX553">
        <v>16632362</v>
      </c>
      <c r="AY553">
        <v>1</v>
      </c>
      <c r="AZ553">
        <v>0</v>
      </c>
      <c r="BA553">
        <v>537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Y553*Source!I256</f>
        <v>0.1474</v>
      </c>
      <c r="CY553">
        <f t="shared" si="93"/>
        <v>17.399999999999999</v>
      </c>
      <c r="CZ553">
        <f t="shared" si="94"/>
        <v>2.44</v>
      </c>
      <c r="DA553">
        <f t="shared" si="95"/>
        <v>7.13</v>
      </c>
      <c r="DB553">
        <f t="shared" si="96"/>
        <v>1.07</v>
      </c>
      <c r="DC553">
        <f t="shared" si="97"/>
        <v>0</v>
      </c>
    </row>
    <row r="554" spans="1:107" x14ac:dyDescent="0.2">
      <c r="A554">
        <f>ROW(Source!A256)</f>
        <v>256</v>
      </c>
      <c r="B554">
        <v>16630606</v>
      </c>
      <c r="C554">
        <v>16632336</v>
      </c>
      <c r="D554">
        <v>15167963</v>
      </c>
      <c r="E554">
        <v>1</v>
      </c>
      <c r="F554">
        <v>1</v>
      </c>
      <c r="G554">
        <v>1</v>
      </c>
      <c r="H554">
        <v>3</v>
      </c>
      <c r="I554" t="s">
        <v>1533</v>
      </c>
      <c r="J554" t="s">
        <v>1534</v>
      </c>
      <c r="K554" t="s">
        <v>1535</v>
      </c>
      <c r="L554">
        <v>1346</v>
      </c>
      <c r="N554">
        <v>1009</v>
      </c>
      <c r="O554" t="s">
        <v>102</v>
      </c>
      <c r="P554" t="s">
        <v>102</v>
      </c>
      <c r="Q554">
        <v>1</v>
      </c>
      <c r="W554">
        <v>0</v>
      </c>
      <c r="X554">
        <v>-490687590</v>
      </c>
      <c r="Y554">
        <v>0.06</v>
      </c>
      <c r="AA554">
        <v>265.88</v>
      </c>
      <c r="AB554">
        <v>0</v>
      </c>
      <c r="AC554">
        <v>0</v>
      </c>
      <c r="AD554">
        <v>0</v>
      </c>
      <c r="AE554">
        <v>37.29</v>
      </c>
      <c r="AF554">
        <v>0</v>
      </c>
      <c r="AG554">
        <v>0</v>
      </c>
      <c r="AH554">
        <v>0</v>
      </c>
      <c r="AI554">
        <v>7.13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6</v>
      </c>
      <c r="AT554">
        <v>0.06</v>
      </c>
      <c r="AU554" t="s">
        <v>6</v>
      </c>
      <c r="AV554">
        <v>0</v>
      </c>
      <c r="AW554">
        <v>2</v>
      </c>
      <c r="AX554">
        <v>16632363</v>
      </c>
      <c r="AY554">
        <v>1</v>
      </c>
      <c r="AZ554">
        <v>0</v>
      </c>
      <c r="BA554">
        <v>538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Y554*Source!I256</f>
        <v>2.01E-2</v>
      </c>
      <c r="CY554">
        <f t="shared" si="93"/>
        <v>265.88</v>
      </c>
      <c r="CZ554">
        <f t="shared" si="94"/>
        <v>37.29</v>
      </c>
      <c r="DA554">
        <f t="shared" si="95"/>
        <v>7.13</v>
      </c>
      <c r="DB554">
        <f t="shared" si="96"/>
        <v>2.2400000000000002</v>
      </c>
      <c r="DC554">
        <f t="shared" si="97"/>
        <v>0</v>
      </c>
    </row>
    <row r="555" spans="1:107" x14ac:dyDescent="0.2">
      <c r="A555">
        <f>ROW(Source!A256)</f>
        <v>256</v>
      </c>
      <c r="B555">
        <v>16630606</v>
      </c>
      <c r="C555">
        <v>16632336</v>
      </c>
      <c r="D555">
        <v>15168695</v>
      </c>
      <c r="E555">
        <v>1</v>
      </c>
      <c r="F555">
        <v>1</v>
      </c>
      <c r="G555">
        <v>1</v>
      </c>
      <c r="H555">
        <v>3</v>
      </c>
      <c r="I555" t="s">
        <v>1536</v>
      </c>
      <c r="J555" t="s">
        <v>1537</v>
      </c>
      <c r="K555" t="s">
        <v>1538</v>
      </c>
      <c r="L555">
        <v>1348</v>
      </c>
      <c r="N555">
        <v>1009</v>
      </c>
      <c r="O555" t="s">
        <v>98</v>
      </c>
      <c r="P555" t="s">
        <v>98</v>
      </c>
      <c r="Q555">
        <v>1000</v>
      </c>
      <c r="W555">
        <v>0</v>
      </c>
      <c r="X555">
        <v>-531507062</v>
      </c>
      <c r="Y555">
        <v>1.7000000000000001E-4</v>
      </c>
      <c r="AA555">
        <v>96682.8</v>
      </c>
      <c r="AB555">
        <v>0</v>
      </c>
      <c r="AC555">
        <v>0</v>
      </c>
      <c r="AD555">
        <v>0</v>
      </c>
      <c r="AE555">
        <v>13560</v>
      </c>
      <c r="AF555">
        <v>0</v>
      </c>
      <c r="AG555">
        <v>0</v>
      </c>
      <c r="AH555">
        <v>0</v>
      </c>
      <c r="AI555">
        <v>7.13</v>
      </c>
      <c r="AJ555">
        <v>1</v>
      </c>
      <c r="AK555">
        <v>1</v>
      </c>
      <c r="AL555">
        <v>1</v>
      </c>
      <c r="AN555">
        <v>0</v>
      </c>
      <c r="AO555">
        <v>1</v>
      </c>
      <c r="AP555">
        <v>0</v>
      </c>
      <c r="AQ555">
        <v>0</v>
      </c>
      <c r="AR555">
        <v>0</v>
      </c>
      <c r="AS555" t="s">
        <v>6</v>
      </c>
      <c r="AT555">
        <v>1.7000000000000001E-4</v>
      </c>
      <c r="AU555" t="s">
        <v>6</v>
      </c>
      <c r="AV555">
        <v>0</v>
      </c>
      <c r="AW555">
        <v>2</v>
      </c>
      <c r="AX555">
        <v>16632364</v>
      </c>
      <c r="AY555">
        <v>1</v>
      </c>
      <c r="AZ555">
        <v>0</v>
      </c>
      <c r="BA555">
        <v>539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Y555*Source!I256</f>
        <v>5.6950000000000009E-5</v>
      </c>
      <c r="CY555">
        <f t="shared" si="93"/>
        <v>96682.8</v>
      </c>
      <c r="CZ555">
        <f t="shared" si="94"/>
        <v>13560</v>
      </c>
      <c r="DA555">
        <f t="shared" si="95"/>
        <v>7.13</v>
      </c>
      <c r="DB555">
        <f t="shared" si="96"/>
        <v>2.31</v>
      </c>
      <c r="DC555">
        <f t="shared" si="97"/>
        <v>0</v>
      </c>
    </row>
    <row r="556" spans="1:107" x14ac:dyDescent="0.2">
      <c r="A556">
        <f>ROW(Source!A256)</f>
        <v>256</v>
      </c>
      <c r="B556">
        <v>16630606</v>
      </c>
      <c r="C556">
        <v>16632336</v>
      </c>
      <c r="D556">
        <v>15172018</v>
      </c>
      <c r="E556">
        <v>1</v>
      </c>
      <c r="F556">
        <v>1</v>
      </c>
      <c r="G556">
        <v>1</v>
      </c>
      <c r="H556">
        <v>3</v>
      </c>
      <c r="I556" t="s">
        <v>1539</v>
      </c>
      <c r="J556" t="s">
        <v>1540</v>
      </c>
      <c r="K556" t="s">
        <v>1541</v>
      </c>
      <c r="L556">
        <v>1346</v>
      </c>
      <c r="N556">
        <v>1009</v>
      </c>
      <c r="O556" t="s">
        <v>102</v>
      </c>
      <c r="P556" t="s">
        <v>102</v>
      </c>
      <c r="Q556">
        <v>1</v>
      </c>
      <c r="W556">
        <v>0</v>
      </c>
      <c r="X556">
        <v>450790165</v>
      </c>
      <c r="Y556">
        <v>1.6000000000000001E-3</v>
      </c>
      <c r="AA556">
        <v>15.33</v>
      </c>
      <c r="AB556">
        <v>0</v>
      </c>
      <c r="AC556">
        <v>0</v>
      </c>
      <c r="AD556">
        <v>0</v>
      </c>
      <c r="AE556">
        <v>2.15</v>
      </c>
      <c r="AF556">
        <v>0</v>
      </c>
      <c r="AG556">
        <v>0</v>
      </c>
      <c r="AH556">
        <v>0</v>
      </c>
      <c r="AI556">
        <v>7.13</v>
      </c>
      <c r="AJ556">
        <v>1</v>
      </c>
      <c r="AK556">
        <v>1</v>
      </c>
      <c r="AL556">
        <v>1</v>
      </c>
      <c r="AN556">
        <v>0</v>
      </c>
      <c r="AO556">
        <v>1</v>
      </c>
      <c r="AP556">
        <v>0</v>
      </c>
      <c r="AQ556">
        <v>0</v>
      </c>
      <c r="AR556">
        <v>0</v>
      </c>
      <c r="AS556" t="s">
        <v>6</v>
      </c>
      <c r="AT556">
        <v>1.6000000000000001E-3</v>
      </c>
      <c r="AU556" t="s">
        <v>6</v>
      </c>
      <c r="AV556">
        <v>0</v>
      </c>
      <c r="AW556">
        <v>2</v>
      </c>
      <c r="AX556">
        <v>16632365</v>
      </c>
      <c r="AY556">
        <v>1</v>
      </c>
      <c r="AZ556">
        <v>0</v>
      </c>
      <c r="BA556">
        <v>540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Y556*Source!I256</f>
        <v>5.3600000000000002E-4</v>
      </c>
      <c r="CY556">
        <f t="shared" si="93"/>
        <v>15.33</v>
      </c>
      <c r="CZ556">
        <f t="shared" si="94"/>
        <v>2.15</v>
      </c>
      <c r="DA556">
        <f t="shared" si="95"/>
        <v>7.13</v>
      </c>
      <c r="DB556">
        <f t="shared" si="96"/>
        <v>0</v>
      </c>
      <c r="DC556">
        <f t="shared" si="97"/>
        <v>0</v>
      </c>
    </row>
    <row r="557" spans="1:107" x14ac:dyDescent="0.2">
      <c r="A557">
        <f>ROW(Source!A256)</f>
        <v>256</v>
      </c>
      <c r="B557">
        <v>16630606</v>
      </c>
      <c r="C557">
        <v>16632336</v>
      </c>
      <c r="D557">
        <v>15203740</v>
      </c>
      <c r="E557">
        <v>1</v>
      </c>
      <c r="F557">
        <v>1</v>
      </c>
      <c r="G557">
        <v>1</v>
      </c>
      <c r="H557">
        <v>3</v>
      </c>
      <c r="I557" t="s">
        <v>1542</v>
      </c>
      <c r="J557" t="s">
        <v>1543</v>
      </c>
      <c r="K557" t="s">
        <v>1544</v>
      </c>
      <c r="L557">
        <v>1348</v>
      </c>
      <c r="N557">
        <v>1009</v>
      </c>
      <c r="O557" t="s">
        <v>98</v>
      </c>
      <c r="P557" t="s">
        <v>98</v>
      </c>
      <c r="Q557">
        <v>1000</v>
      </c>
      <c r="W557">
        <v>0</v>
      </c>
      <c r="X557">
        <v>570223526</v>
      </c>
      <c r="Y557">
        <v>4.4000000000000002E-4</v>
      </c>
      <c r="AA557">
        <v>107798.47</v>
      </c>
      <c r="AB557">
        <v>0</v>
      </c>
      <c r="AC557">
        <v>0</v>
      </c>
      <c r="AD557">
        <v>0</v>
      </c>
      <c r="AE557">
        <v>15119</v>
      </c>
      <c r="AF557">
        <v>0</v>
      </c>
      <c r="AG557">
        <v>0</v>
      </c>
      <c r="AH557">
        <v>0</v>
      </c>
      <c r="AI557">
        <v>7.13</v>
      </c>
      <c r="AJ557">
        <v>1</v>
      </c>
      <c r="AK557">
        <v>1</v>
      </c>
      <c r="AL557">
        <v>1</v>
      </c>
      <c r="AN557">
        <v>0</v>
      </c>
      <c r="AO557">
        <v>1</v>
      </c>
      <c r="AP557">
        <v>0</v>
      </c>
      <c r="AQ557">
        <v>0</v>
      </c>
      <c r="AR557">
        <v>0</v>
      </c>
      <c r="AS557" t="s">
        <v>6</v>
      </c>
      <c r="AT557">
        <v>4.4000000000000002E-4</v>
      </c>
      <c r="AU557" t="s">
        <v>6</v>
      </c>
      <c r="AV557">
        <v>0</v>
      </c>
      <c r="AW557">
        <v>2</v>
      </c>
      <c r="AX557">
        <v>16632366</v>
      </c>
      <c r="AY557">
        <v>1</v>
      </c>
      <c r="AZ557">
        <v>0</v>
      </c>
      <c r="BA557">
        <v>541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Y557*Source!I256</f>
        <v>1.474E-4</v>
      </c>
      <c r="CY557">
        <f t="shared" si="93"/>
        <v>107798.47</v>
      </c>
      <c r="CZ557">
        <f t="shared" si="94"/>
        <v>15119</v>
      </c>
      <c r="DA557">
        <f t="shared" si="95"/>
        <v>7.13</v>
      </c>
      <c r="DB557">
        <f t="shared" si="96"/>
        <v>6.65</v>
      </c>
      <c r="DC557">
        <f t="shared" si="97"/>
        <v>0</v>
      </c>
    </row>
    <row r="558" spans="1:107" x14ac:dyDescent="0.2">
      <c r="A558">
        <f>ROW(Source!A256)</f>
        <v>256</v>
      </c>
      <c r="B558">
        <v>16630606</v>
      </c>
      <c r="C558">
        <v>16632336</v>
      </c>
      <c r="D558">
        <v>15204468</v>
      </c>
      <c r="E558">
        <v>1</v>
      </c>
      <c r="F558">
        <v>1</v>
      </c>
      <c r="G558">
        <v>1</v>
      </c>
      <c r="H558">
        <v>3</v>
      </c>
      <c r="I558" t="s">
        <v>1545</v>
      </c>
      <c r="J558" t="s">
        <v>1546</v>
      </c>
      <c r="K558" t="s">
        <v>1547</v>
      </c>
      <c r="L558">
        <v>1348</v>
      </c>
      <c r="N558">
        <v>1009</v>
      </c>
      <c r="O558" t="s">
        <v>98</v>
      </c>
      <c r="P558" t="s">
        <v>98</v>
      </c>
      <c r="Q558">
        <v>1000</v>
      </c>
      <c r="W558">
        <v>0</v>
      </c>
      <c r="X558">
        <v>-909021926</v>
      </c>
      <c r="Y558">
        <v>5.2999999999999998E-4</v>
      </c>
      <c r="AA558">
        <v>120853.5</v>
      </c>
      <c r="AB558">
        <v>0</v>
      </c>
      <c r="AC558">
        <v>0</v>
      </c>
      <c r="AD558">
        <v>0</v>
      </c>
      <c r="AE558">
        <v>16950</v>
      </c>
      <c r="AF558">
        <v>0</v>
      </c>
      <c r="AG558">
        <v>0</v>
      </c>
      <c r="AH558">
        <v>0</v>
      </c>
      <c r="AI558">
        <v>7.13</v>
      </c>
      <c r="AJ558">
        <v>1</v>
      </c>
      <c r="AK558">
        <v>1</v>
      </c>
      <c r="AL558">
        <v>1</v>
      </c>
      <c r="AN558">
        <v>0</v>
      </c>
      <c r="AO558">
        <v>1</v>
      </c>
      <c r="AP558">
        <v>0</v>
      </c>
      <c r="AQ558">
        <v>0</v>
      </c>
      <c r="AR558">
        <v>0</v>
      </c>
      <c r="AS558" t="s">
        <v>6</v>
      </c>
      <c r="AT558">
        <v>5.2999999999999998E-4</v>
      </c>
      <c r="AU558" t="s">
        <v>6</v>
      </c>
      <c r="AV558">
        <v>0</v>
      </c>
      <c r="AW558">
        <v>2</v>
      </c>
      <c r="AX558">
        <v>16632367</v>
      </c>
      <c r="AY558">
        <v>1</v>
      </c>
      <c r="AZ558">
        <v>0</v>
      </c>
      <c r="BA558">
        <v>542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Y558*Source!I256</f>
        <v>1.7755000000000001E-4</v>
      </c>
      <c r="CY558">
        <f t="shared" si="93"/>
        <v>120853.5</v>
      </c>
      <c r="CZ558">
        <f t="shared" si="94"/>
        <v>16950</v>
      </c>
      <c r="DA558">
        <f t="shared" si="95"/>
        <v>7.13</v>
      </c>
      <c r="DB558">
        <f t="shared" si="96"/>
        <v>8.98</v>
      </c>
      <c r="DC558">
        <f t="shared" si="97"/>
        <v>0</v>
      </c>
    </row>
    <row r="559" spans="1:107" x14ac:dyDescent="0.2">
      <c r="A559">
        <f>ROW(Source!A256)</f>
        <v>256</v>
      </c>
      <c r="B559">
        <v>16630606</v>
      </c>
      <c r="C559">
        <v>16632336</v>
      </c>
      <c r="D559">
        <v>15226716</v>
      </c>
      <c r="E559">
        <v>1</v>
      </c>
      <c r="F559">
        <v>1</v>
      </c>
      <c r="G559">
        <v>1</v>
      </c>
      <c r="H559">
        <v>3</v>
      </c>
      <c r="I559" t="s">
        <v>753</v>
      </c>
      <c r="J559" t="s">
        <v>755</v>
      </c>
      <c r="K559" t="s">
        <v>754</v>
      </c>
      <c r="L559">
        <v>1358</v>
      </c>
      <c r="N559">
        <v>1010</v>
      </c>
      <c r="O559" t="s">
        <v>616</v>
      </c>
      <c r="P559" t="s">
        <v>616</v>
      </c>
      <c r="Q559">
        <v>10</v>
      </c>
      <c r="W559">
        <v>0</v>
      </c>
      <c r="X559">
        <v>-2068360021</v>
      </c>
      <c r="Y559">
        <v>5.0746270000000004</v>
      </c>
      <c r="AA559">
        <v>226.73</v>
      </c>
      <c r="AB559">
        <v>0</v>
      </c>
      <c r="AC559">
        <v>0</v>
      </c>
      <c r="AD559">
        <v>0</v>
      </c>
      <c r="AE559">
        <v>31.8</v>
      </c>
      <c r="AF559">
        <v>0</v>
      </c>
      <c r="AG559">
        <v>0</v>
      </c>
      <c r="AH559">
        <v>0</v>
      </c>
      <c r="AI559">
        <v>7.13</v>
      </c>
      <c r="AJ559">
        <v>1</v>
      </c>
      <c r="AK559">
        <v>1</v>
      </c>
      <c r="AL559">
        <v>1</v>
      </c>
      <c r="AN559">
        <v>0</v>
      </c>
      <c r="AO559">
        <v>0</v>
      </c>
      <c r="AP559">
        <v>0</v>
      </c>
      <c r="AQ559">
        <v>0</v>
      </c>
      <c r="AR559">
        <v>0</v>
      </c>
      <c r="AS559" t="s">
        <v>6</v>
      </c>
      <c r="AT559">
        <v>5.0746270000000004</v>
      </c>
      <c r="AU559" t="s">
        <v>6</v>
      </c>
      <c r="AV559">
        <v>0</v>
      </c>
      <c r="AW559">
        <v>1</v>
      </c>
      <c r="AX559">
        <v>-1</v>
      </c>
      <c r="AY559">
        <v>0</v>
      </c>
      <c r="AZ559">
        <v>0</v>
      </c>
      <c r="BA559" t="s">
        <v>6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Y559*Source!I256</f>
        <v>1.7000000450000003</v>
      </c>
      <c r="CY559">
        <f t="shared" si="93"/>
        <v>226.73</v>
      </c>
      <c r="CZ559">
        <f t="shared" si="94"/>
        <v>31.8</v>
      </c>
      <c r="DA559">
        <f t="shared" si="95"/>
        <v>7.13</v>
      </c>
      <c r="DB559">
        <f t="shared" si="96"/>
        <v>161.37</v>
      </c>
      <c r="DC559">
        <f t="shared" si="97"/>
        <v>0</v>
      </c>
    </row>
    <row r="560" spans="1:107" x14ac:dyDescent="0.2">
      <c r="A560">
        <f>ROW(Source!A256)</f>
        <v>256</v>
      </c>
      <c r="B560">
        <v>16630606</v>
      </c>
      <c r="C560">
        <v>16632336</v>
      </c>
      <c r="D560">
        <v>15229104</v>
      </c>
      <c r="E560">
        <v>1</v>
      </c>
      <c r="F560">
        <v>1</v>
      </c>
      <c r="G560">
        <v>1</v>
      </c>
      <c r="H560">
        <v>3</v>
      </c>
      <c r="I560" t="s">
        <v>749</v>
      </c>
      <c r="J560" t="s">
        <v>751</v>
      </c>
      <c r="K560" t="s">
        <v>750</v>
      </c>
      <c r="L560">
        <v>1301</v>
      </c>
      <c r="N560">
        <v>1003</v>
      </c>
      <c r="O560" t="s">
        <v>150</v>
      </c>
      <c r="P560" t="s">
        <v>150</v>
      </c>
      <c r="Q560">
        <v>1</v>
      </c>
      <c r="W560">
        <v>0</v>
      </c>
      <c r="X560">
        <v>88197163</v>
      </c>
      <c r="Y560">
        <v>100</v>
      </c>
      <c r="AA560">
        <v>180.25</v>
      </c>
      <c r="AB560">
        <v>0</v>
      </c>
      <c r="AC560">
        <v>0</v>
      </c>
      <c r="AD560">
        <v>0</v>
      </c>
      <c r="AE560">
        <v>25.28</v>
      </c>
      <c r="AF560">
        <v>0</v>
      </c>
      <c r="AG560">
        <v>0</v>
      </c>
      <c r="AH560">
        <v>0</v>
      </c>
      <c r="AI560">
        <v>7.13</v>
      </c>
      <c r="AJ560">
        <v>1</v>
      </c>
      <c r="AK560">
        <v>1</v>
      </c>
      <c r="AL560">
        <v>1</v>
      </c>
      <c r="AN560">
        <v>0</v>
      </c>
      <c r="AO560">
        <v>0</v>
      </c>
      <c r="AP560">
        <v>0</v>
      </c>
      <c r="AQ560">
        <v>0</v>
      </c>
      <c r="AR560">
        <v>0</v>
      </c>
      <c r="AS560" t="s">
        <v>6</v>
      </c>
      <c r="AT560">
        <v>100</v>
      </c>
      <c r="AU560" t="s">
        <v>6</v>
      </c>
      <c r="AV560">
        <v>0</v>
      </c>
      <c r="AW560">
        <v>1</v>
      </c>
      <c r="AX560">
        <v>-1</v>
      </c>
      <c r="AY560">
        <v>0</v>
      </c>
      <c r="AZ560">
        <v>0</v>
      </c>
      <c r="BA560" t="s">
        <v>6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Y560*Source!I256</f>
        <v>33.5</v>
      </c>
      <c r="CY560">
        <f t="shared" si="93"/>
        <v>180.25</v>
      </c>
      <c r="CZ560">
        <f t="shared" si="94"/>
        <v>25.28</v>
      </c>
      <c r="DA560">
        <f t="shared" si="95"/>
        <v>7.13</v>
      </c>
      <c r="DB560">
        <f t="shared" si="96"/>
        <v>2528</v>
      </c>
      <c r="DC560">
        <f t="shared" si="97"/>
        <v>0</v>
      </c>
    </row>
    <row r="561" spans="1:107" x14ac:dyDescent="0.2">
      <c r="A561">
        <f>ROW(Source!A256)</f>
        <v>256</v>
      </c>
      <c r="B561">
        <v>16630606</v>
      </c>
      <c r="C561">
        <v>16632336</v>
      </c>
      <c r="D561">
        <v>15163126</v>
      </c>
      <c r="E561">
        <v>17</v>
      </c>
      <c r="F561">
        <v>1</v>
      </c>
      <c r="G561">
        <v>1</v>
      </c>
      <c r="H561">
        <v>3</v>
      </c>
      <c r="I561" t="s">
        <v>741</v>
      </c>
      <c r="J561" t="s">
        <v>6</v>
      </c>
      <c r="K561" t="s">
        <v>742</v>
      </c>
      <c r="L561">
        <v>1301</v>
      </c>
      <c r="N561">
        <v>1003</v>
      </c>
      <c r="O561" t="s">
        <v>150</v>
      </c>
      <c r="P561" t="s">
        <v>150</v>
      </c>
      <c r="Q561">
        <v>1</v>
      </c>
      <c r="W561">
        <v>0</v>
      </c>
      <c r="X561">
        <v>594190089</v>
      </c>
      <c r="Y561">
        <v>100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7.13</v>
      </c>
      <c r="AJ561">
        <v>1</v>
      </c>
      <c r="AK561">
        <v>1</v>
      </c>
      <c r="AL561">
        <v>1</v>
      </c>
      <c r="AN561">
        <v>0</v>
      </c>
      <c r="AO561">
        <v>0</v>
      </c>
      <c r="AP561">
        <v>0</v>
      </c>
      <c r="AQ561">
        <v>0</v>
      </c>
      <c r="AR561">
        <v>0</v>
      </c>
      <c r="AS561" t="s">
        <v>6</v>
      </c>
      <c r="AT561">
        <v>100</v>
      </c>
      <c r="AU561" t="s">
        <v>6</v>
      </c>
      <c r="AV561">
        <v>0</v>
      </c>
      <c r="AW561">
        <v>2</v>
      </c>
      <c r="AX561">
        <v>16632370</v>
      </c>
      <c r="AY561">
        <v>1</v>
      </c>
      <c r="AZ561">
        <v>0</v>
      </c>
      <c r="BA561">
        <v>545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Y561*Source!I256</f>
        <v>33.5</v>
      </c>
      <c r="CY561">
        <f t="shared" si="93"/>
        <v>0</v>
      </c>
      <c r="CZ561">
        <f t="shared" si="94"/>
        <v>0</v>
      </c>
      <c r="DA561">
        <f t="shared" si="95"/>
        <v>7.13</v>
      </c>
      <c r="DB561">
        <f t="shared" si="96"/>
        <v>0</v>
      </c>
      <c r="DC561">
        <f t="shared" si="97"/>
        <v>0</v>
      </c>
    </row>
    <row r="562" spans="1:107" x14ac:dyDescent="0.2">
      <c r="A562">
        <f>ROW(Source!A260)</f>
        <v>260</v>
      </c>
      <c r="B562">
        <v>16630606</v>
      </c>
      <c r="C562">
        <v>16632374</v>
      </c>
      <c r="D562">
        <v>15430767</v>
      </c>
      <c r="E562">
        <v>1</v>
      </c>
      <c r="F562">
        <v>1</v>
      </c>
      <c r="G562">
        <v>1</v>
      </c>
      <c r="H562">
        <v>1</v>
      </c>
      <c r="I562" t="s">
        <v>1171</v>
      </c>
      <c r="J562" t="s">
        <v>6</v>
      </c>
      <c r="K562" t="s">
        <v>1172</v>
      </c>
      <c r="L562">
        <v>1191</v>
      </c>
      <c r="N562">
        <v>1013</v>
      </c>
      <c r="O562" t="s">
        <v>1148</v>
      </c>
      <c r="P562" t="s">
        <v>1148</v>
      </c>
      <c r="Q562">
        <v>1</v>
      </c>
      <c r="W562">
        <v>0</v>
      </c>
      <c r="X562">
        <v>-400197608</v>
      </c>
      <c r="Y562">
        <v>46.19</v>
      </c>
      <c r="AA562">
        <v>0</v>
      </c>
      <c r="AB562">
        <v>0</v>
      </c>
      <c r="AC562">
        <v>0</v>
      </c>
      <c r="AD562">
        <v>60.82</v>
      </c>
      <c r="AE562">
        <v>0</v>
      </c>
      <c r="AF562">
        <v>0</v>
      </c>
      <c r="AG562">
        <v>0</v>
      </c>
      <c r="AH562">
        <v>8.5299999999999994</v>
      </c>
      <c r="AI562">
        <v>1</v>
      </c>
      <c r="AJ562">
        <v>1</v>
      </c>
      <c r="AK562">
        <v>1</v>
      </c>
      <c r="AL562">
        <v>7.13</v>
      </c>
      <c r="AN562">
        <v>0</v>
      </c>
      <c r="AO562">
        <v>1</v>
      </c>
      <c r="AP562">
        <v>0</v>
      </c>
      <c r="AQ562">
        <v>0</v>
      </c>
      <c r="AR562">
        <v>0</v>
      </c>
      <c r="AS562" t="s">
        <v>6</v>
      </c>
      <c r="AT562">
        <v>46.19</v>
      </c>
      <c r="AU562" t="s">
        <v>6</v>
      </c>
      <c r="AV562">
        <v>1</v>
      </c>
      <c r="AW562">
        <v>2</v>
      </c>
      <c r="AX562">
        <v>16632381</v>
      </c>
      <c r="AY562">
        <v>1</v>
      </c>
      <c r="AZ562">
        <v>0</v>
      </c>
      <c r="BA562">
        <v>546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Y562*Source!I260</f>
        <v>6.4666000000000006</v>
      </c>
      <c r="CY562">
        <f>AD562</f>
        <v>60.82</v>
      </c>
      <c r="CZ562">
        <f>AH562</f>
        <v>8.5299999999999994</v>
      </c>
      <c r="DA562">
        <f>AL562</f>
        <v>7.13</v>
      </c>
      <c r="DB562">
        <f t="shared" si="96"/>
        <v>394</v>
      </c>
      <c r="DC562">
        <f t="shared" si="97"/>
        <v>0</v>
      </c>
    </row>
    <row r="563" spans="1:107" x14ac:dyDescent="0.2">
      <c r="A563">
        <f>ROW(Source!A260)</f>
        <v>260</v>
      </c>
      <c r="B563">
        <v>16630606</v>
      </c>
      <c r="C563">
        <v>16632374</v>
      </c>
      <c r="D563">
        <v>15430395</v>
      </c>
      <c r="E563">
        <v>1</v>
      </c>
      <c r="F563">
        <v>1</v>
      </c>
      <c r="G563">
        <v>1</v>
      </c>
      <c r="H563">
        <v>1</v>
      </c>
      <c r="I563" t="s">
        <v>1149</v>
      </c>
      <c r="J563" t="s">
        <v>6</v>
      </c>
      <c r="K563" t="s">
        <v>1150</v>
      </c>
      <c r="L563">
        <v>1191</v>
      </c>
      <c r="N563">
        <v>1013</v>
      </c>
      <c r="O563" t="s">
        <v>1148</v>
      </c>
      <c r="P563" t="s">
        <v>1148</v>
      </c>
      <c r="Q563">
        <v>1</v>
      </c>
      <c r="W563">
        <v>0</v>
      </c>
      <c r="X563">
        <v>-1417349443</v>
      </c>
      <c r="Y563">
        <v>0.01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1</v>
      </c>
      <c r="AJ563">
        <v>1</v>
      </c>
      <c r="AK563">
        <v>7.13</v>
      </c>
      <c r="AL563">
        <v>1</v>
      </c>
      <c r="AN563">
        <v>0</v>
      </c>
      <c r="AO563">
        <v>1</v>
      </c>
      <c r="AP563">
        <v>0</v>
      </c>
      <c r="AQ563">
        <v>0</v>
      </c>
      <c r="AR563">
        <v>0</v>
      </c>
      <c r="AS563" t="s">
        <v>6</v>
      </c>
      <c r="AT563">
        <v>0.01</v>
      </c>
      <c r="AU563" t="s">
        <v>6</v>
      </c>
      <c r="AV563">
        <v>2</v>
      </c>
      <c r="AW563">
        <v>2</v>
      </c>
      <c r="AX563">
        <v>16632382</v>
      </c>
      <c r="AY563">
        <v>1</v>
      </c>
      <c r="AZ563">
        <v>0</v>
      </c>
      <c r="BA563">
        <v>547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Y563*Source!I260</f>
        <v>1.4000000000000002E-3</v>
      </c>
      <c r="CY563">
        <f>AD563</f>
        <v>0</v>
      </c>
      <c r="CZ563">
        <f>AH563</f>
        <v>0</v>
      </c>
      <c r="DA563">
        <f>AL563</f>
        <v>1</v>
      </c>
      <c r="DB563">
        <f t="shared" si="96"/>
        <v>0</v>
      </c>
      <c r="DC563">
        <f t="shared" si="97"/>
        <v>0</v>
      </c>
    </row>
    <row r="564" spans="1:107" x14ac:dyDescent="0.2">
      <c r="A564">
        <f>ROW(Source!A260)</f>
        <v>260</v>
      </c>
      <c r="B564">
        <v>16630606</v>
      </c>
      <c r="C564">
        <v>16632374</v>
      </c>
      <c r="D564">
        <v>15247974</v>
      </c>
      <c r="E564">
        <v>1</v>
      </c>
      <c r="F564">
        <v>1</v>
      </c>
      <c r="G564">
        <v>1</v>
      </c>
      <c r="H564">
        <v>2</v>
      </c>
      <c r="I564" t="s">
        <v>1151</v>
      </c>
      <c r="J564" t="s">
        <v>1152</v>
      </c>
      <c r="K564" t="s">
        <v>1153</v>
      </c>
      <c r="L564">
        <v>1368</v>
      </c>
      <c r="N564">
        <v>1011</v>
      </c>
      <c r="O564" t="s">
        <v>1154</v>
      </c>
      <c r="P564" t="s">
        <v>1154</v>
      </c>
      <c r="Q564">
        <v>1</v>
      </c>
      <c r="W564">
        <v>0</v>
      </c>
      <c r="X564">
        <v>1188625873</v>
      </c>
      <c r="Y564">
        <v>0.01</v>
      </c>
      <c r="AA564">
        <v>0</v>
      </c>
      <c r="AB564">
        <v>222.88</v>
      </c>
      <c r="AC564">
        <v>13.5</v>
      </c>
      <c r="AD564">
        <v>0</v>
      </c>
      <c r="AE564">
        <v>0</v>
      </c>
      <c r="AF564">
        <v>31.26</v>
      </c>
      <c r="AG564">
        <v>13.5</v>
      </c>
      <c r="AH564">
        <v>0</v>
      </c>
      <c r="AI564">
        <v>1</v>
      </c>
      <c r="AJ564">
        <v>7.13</v>
      </c>
      <c r="AK564">
        <v>1</v>
      </c>
      <c r="AL564">
        <v>1</v>
      </c>
      <c r="AN564">
        <v>0</v>
      </c>
      <c r="AO564">
        <v>1</v>
      </c>
      <c r="AP564">
        <v>0</v>
      </c>
      <c r="AQ564">
        <v>0</v>
      </c>
      <c r="AR564">
        <v>0</v>
      </c>
      <c r="AS564" t="s">
        <v>6</v>
      </c>
      <c r="AT564">
        <v>0.01</v>
      </c>
      <c r="AU564" t="s">
        <v>6</v>
      </c>
      <c r="AV564">
        <v>0</v>
      </c>
      <c r="AW564">
        <v>2</v>
      </c>
      <c r="AX564">
        <v>16632383</v>
      </c>
      <c r="AY564">
        <v>1</v>
      </c>
      <c r="AZ564">
        <v>0</v>
      </c>
      <c r="BA564">
        <v>548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Y564*Source!I260</f>
        <v>1.4000000000000002E-3</v>
      </c>
      <c r="CY564">
        <f>AB564</f>
        <v>222.88</v>
      </c>
      <c r="CZ564">
        <f>AF564</f>
        <v>31.26</v>
      </c>
      <c r="DA564">
        <f>AJ564</f>
        <v>7.13</v>
      </c>
      <c r="DB564">
        <f t="shared" si="96"/>
        <v>0.31</v>
      </c>
      <c r="DC564">
        <f t="shared" si="97"/>
        <v>0.14000000000000001</v>
      </c>
    </row>
    <row r="565" spans="1:107" x14ac:dyDescent="0.2">
      <c r="A565">
        <f>ROW(Source!A260)</f>
        <v>260</v>
      </c>
      <c r="B565">
        <v>16630606</v>
      </c>
      <c r="C565">
        <v>16632374</v>
      </c>
      <c r="D565">
        <v>15167286</v>
      </c>
      <c r="E565">
        <v>1</v>
      </c>
      <c r="F565">
        <v>1</v>
      </c>
      <c r="G565">
        <v>1</v>
      </c>
      <c r="H565">
        <v>3</v>
      </c>
      <c r="I565" t="s">
        <v>1265</v>
      </c>
      <c r="J565" t="s">
        <v>1266</v>
      </c>
      <c r="K565" t="s">
        <v>1267</v>
      </c>
      <c r="L565">
        <v>1339</v>
      </c>
      <c r="N565">
        <v>1007</v>
      </c>
      <c r="O565" t="s">
        <v>203</v>
      </c>
      <c r="P565" t="s">
        <v>203</v>
      </c>
      <c r="Q565">
        <v>1</v>
      </c>
      <c r="W565">
        <v>0</v>
      </c>
      <c r="X565">
        <v>-1660354250</v>
      </c>
      <c r="Y565">
        <v>0.02</v>
      </c>
      <c r="AA565">
        <v>17.399999999999999</v>
      </c>
      <c r="AB565">
        <v>0</v>
      </c>
      <c r="AC565">
        <v>0</v>
      </c>
      <c r="AD565">
        <v>0</v>
      </c>
      <c r="AE565">
        <v>2.44</v>
      </c>
      <c r="AF565">
        <v>0</v>
      </c>
      <c r="AG565">
        <v>0</v>
      </c>
      <c r="AH565">
        <v>0</v>
      </c>
      <c r="AI565">
        <v>7.13</v>
      </c>
      <c r="AJ565">
        <v>1</v>
      </c>
      <c r="AK565">
        <v>1</v>
      </c>
      <c r="AL565">
        <v>1</v>
      </c>
      <c r="AN565">
        <v>0</v>
      </c>
      <c r="AO565">
        <v>1</v>
      </c>
      <c r="AP565">
        <v>0</v>
      </c>
      <c r="AQ565">
        <v>0</v>
      </c>
      <c r="AR565">
        <v>0</v>
      </c>
      <c r="AS565" t="s">
        <v>6</v>
      </c>
      <c r="AT565">
        <v>0.02</v>
      </c>
      <c r="AU565" t="s">
        <v>6</v>
      </c>
      <c r="AV565">
        <v>0</v>
      </c>
      <c r="AW565">
        <v>2</v>
      </c>
      <c r="AX565">
        <v>16632384</v>
      </c>
      <c r="AY565">
        <v>1</v>
      </c>
      <c r="AZ565">
        <v>0</v>
      </c>
      <c r="BA565">
        <v>549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Y565*Source!I260</f>
        <v>2.8000000000000004E-3</v>
      </c>
      <c r="CY565">
        <f>AA565</f>
        <v>17.399999999999999</v>
      </c>
      <c r="CZ565">
        <f>AE565</f>
        <v>2.44</v>
      </c>
      <c r="DA565">
        <f>AI565</f>
        <v>7.13</v>
      </c>
      <c r="DB565">
        <f t="shared" si="96"/>
        <v>0.05</v>
      </c>
      <c r="DC565">
        <f t="shared" si="97"/>
        <v>0</v>
      </c>
    </row>
    <row r="566" spans="1:107" x14ac:dyDescent="0.2">
      <c r="A566">
        <f>ROW(Source!A260)</f>
        <v>260</v>
      </c>
      <c r="B566">
        <v>16630606</v>
      </c>
      <c r="C566">
        <v>16632374</v>
      </c>
      <c r="D566">
        <v>15171982</v>
      </c>
      <c r="E566">
        <v>1</v>
      </c>
      <c r="F566">
        <v>1</v>
      </c>
      <c r="G566">
        <v>1</v>
      </c>
      <c r="H566">
        <v>3</v>
      </c>
      <c r="I566" t="s">
        <v>1364</v>
      </c>
      <c r="J566" t="s">
        <v>1365</v>
      </c>
      <c r="K566" t="s">
        <v>1366</v>
      </c>
      <c r="L566">
        <v>1348</v>
      </c>
      <c r="N566">
        <v>1009</v>
      </c>
      <c r="O566" t="s">
        <v>98</v>
      </c>
      <c r="P566" t="s">
        <v>98</v>
      </c>
      <c r="Q566">
        <v>1000</v>
      </c>
      <c r="W566">
        <v>0</v>
      </c>
      <c r="X566">
        <v>-1421715385</v>
      </c>
      <c r="Y566">
        <v>0.05</v>
      </c>
      <c r="AA566">
        <v>5204.76</v>
      </c>
      <c r="AB566">
        <v>0</v>
      </c>
      <c r="AC566">
        <v>0</v>
      </c>
      <c r="AD566">
        <v>0</v>
      </c>
      <c r="AE566">
        <v>729.98</v>
      </c>
      <c r="AF566">
        <v>0</v>
      </c>
      <c r="AG566">
        <v>0</v>
      </c>
      <c r="AH566">
        <v>0</v>
      </c>
      <c r="AI566">
        <v>7.13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0</v>
      </c>
      <c r="AQ566">
        <v>0</v>
      </c>
      <c r="AR566">
        <v>0</v>
      </c>
      <c r="AS566" t="s">
        <v>6</v>
      </c>
      <c r="AT566">
        <v>0.05</v>
      </c>
      <c r="AU566" t="s">
        <v>6</v>
      </c>
      <c r="AV566">
        <v>0</v>
      </c>
      <c r="AW566">
        <v>2</v>
      </c>
      <c r="AX566">
        <v>16632386</v>
      </c>
      <c r="AY566">
        <v>1</v>
      </c>
      <c r="AZ566">
        <v>0</v>
      </c>
      <c r="BA566">
        <v>551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Y566*Source!I260</f>
        <v>7.000000000000001E-3</v>
      </c>
      <c r="CY566">
        <f>AA566</f>
        <v>5204.76</v>
      </c>
      <c r="CZ566">
        <f>AE566</f>
        <v>729.98</v>
      </c>
      <c r="DA566">
        <f>AI566</f>
        <v>7.13</v>
      </c>
      <c r="DB566">
        <f t="shared" si="96"/>
        <v>36.5</v>
      </c>
      <c r="DC566">
        <f t="shared" si="97"/>
        <v>0</v>
      </c>
    </row>
    <row r="567" spans="1:107" x14ac:dyDescent="0.2">
      <c r="A567">
        <f>ROW(Source!A260)</f>
        <v>260</v>
      </c>
      <c r="B567">
        <v>16630606</v>
      </c>
      <c r="C567">
        <v>16632374</v>
      </c>
      <c r="D567">
        <v>15214941</v>
      </c>
      <c r="E567">
        <v>1</v>
      </c>
      <c r="F567">
        <v>1</v>
      </c>
      <c r="G567">
        <v>1</v>
      </c>
      <c r="H567">
        <v>3</v>
      </c>
      <c r="I567" t="s">
        <v>763</v>
      </c>
      <c r="J567" t="s">
        <v>765</v>
      </c>
      <c r="K567" t="s">
        <v>764</v>
      </c>
      <c r="L567">
        <v>1354</v>
      </c>
      <c r="N567">
        <v>1010</v>
      </c>
      <c r="O567" t="s">
        <v>132</v>
      </c>
      <c r="P567" t="s">
        <v>132</v>
      </c>
      <c r="Q567">
        <v>1</v>
      </c>
      <c r="W567">
        <v>0</v>
      </c>
      <c r="X567">
        <v>867140873</v>
      </c>
      <c r="Y567">
        <v>100</v>
      </c>
      <c r="AA567">
        <v>430.3</v>
      </c>
      <c r="AB567">
        <v>0</v>
      </c>
      <c r="AC567">
        <v>0</v>
      </c>
      <c r="AD567">
        <v>0</v>
      </c>
      <c r="AE567">
        <v>60.35</v>
      </c>
      <c r="AF567">
        <v>0</v>
      </c>
      <c r="AG567">
        <v>0</v>
      </c>
      <c r="AH567">
        <v>0</v>
      </c>
      <c r="AI567">
        <v>7.13</v>
      </c>
      <c r="AJ567">
        <v>1</v>
      </c>
      <c r="AK567">
        <v>1</v>
      </c>
      <c r="AL567">
        <v>1</v>
      </c>
      <c r="AN567">
        <v>0</v>
      </c>
      <c r="AO567">
        <v>0</v>
      </c>
      <c r="AP567">
        <v>0</v>
      </c>
      <c r="AQ567">
        <v>0</v>
      </c>
      <c r="AR567">
        <v>0</v>
      </c>
      <c r="AS567" t="s">
        <v>6</v>
      </c>
      <c r="AT567">
        <v>100</v>
      </c>
      <c r="AU567" t="s">
        <v>6</v>
      </c>
      <c r="AV567">
        <v>0</v>
      </c>
      <c r="AW567">
        <v>1</v>
      </c>
      <c r="AX567">
        <v>-1</v>
      </c>
      <c r="AY567">
        <v>0</v>
      </c>
      <c r="AZ567">
        <v>0</v>
      </c>
      <c r="BA567" t="s">
        <v>6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Y567*Source!I260</f>
        <v>14.000000000000002</v>
      </c>
      <c r="CY567">
        <f>AA567</f>
        <v>430.3</v>
      </c>
      <c r="CZ567">
        <f>AE567</f>
        <v>60.35</v>
      </c>
      <c r="DA567">
        <f>AI567</f>
        <v>7.13</v>
      </c>
      <c r="DB567">
        <f t="shared" si="96"/>
        <v>6035</v>
      </c>
      <c r="DC567">
        <f t="shared" si="97"/>
        <v>0</v>
      </c>
    </row>
    <row r="568" spans="1:107" x14ac:dyDescent="0.2">
      <c r="A568">
        <f>ROW(Source!A262)</f>
        <v>262</v>
      </c>
      <c r="B568">
        <v>16630606</v>
      </c>
      <c r="C568">
        <v>16632389</v>
      </c>
      <c r="D568">
        <v>15435609</v>
      </c>
      <c r="E568">
        <v>1</v>
      </c>
      <c r="F568">
        <v>1</v>
      </c>
      <c r="G568">
        <v>1</v>
      </c>
      <c r="H568">
        <v>1</v>
      </c>
      <c r="I568" t="s">
        <v>1231</v>
      </c>
      <c r="J568" t="s">
        <v>6</v>
      </c>
      <c r="K568" t="s">
        <v>1232</v>
      </c>
      <c r="L568">
        <v>1191</v>
      </c>
      <c r="N568">
        <v>1013</v>
      </c>
      <c r="O568" t="s">
        <v>1148</v>
      </c>
      <c r="P568" t="s">
        <v>1148</v>
      </c>
      <c r="Q568">
        <v>1</v>
      </c>
      <c r="W568">
        <v>0</v>
      </c>
      <c r="X568">
        <v>-814890593</v>
      </c>
      <c r="Y568">
        <v>75.439999999999984</v>
      </c>
      <c r="AA568">
        <v>0</v>
      </c>
      <c r="AB568">
        <v>0</v>
      </c>
      <c r="AC568">
        <v>0</v>
      </c>
      <c r="AD568">
        <v>63.96</v>
      </c>
      <c r="AE568">
        <v>0</v>
      </c>
      <c r="AF568">
        <v>0</v>
      </c>
      <c r="AG568">
        <v>0</v>
      </c>
      <c r="AH568">
        <v>8.9700000000000006</v>
      </c>
      <c r="AI568">
        <v>1</v>
      </c>
      <c r="AJ568">
        <v>1</v>
      </c>
      <c r="AK568">
        <v>1</v>
      </c>
      <c r="AL568">
        <v>7.13</v>
      </c>
      <c r="AN568">
        <v>0</v>
      </c>
      <c r="AO568">
        <v>1</v>
      </c>
      <c r="AP568">
        <v>1</v>
      </c>
      <c r="AQ568">
        <v>0</v>
      </c>
      <c r="AR568">
        <v>0</v>
      </c>
      <c r="AS568" t="s">
        <v>6</v>
      </c>
      <c r="AT568">
        <v>65.599999999999994</v>
      </c>
      <c r="AU568" t="s">
        <v>82</v>
      </c>
      <c r="AV568">
        <v>1</v>
      </c>
      <c r="AW568">
        <v>2</v>
      </c>
      <c r="AX568">
        <v>16632405</v>
      </c>
      <c r="AY568">
        <v>1</v>
      </c>
      <c r="AZ568">
        <v>0</v>
      </c>
      <c r="BA568">
        <v>553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Y568*Source!I262</f>
        <v>21.492855999999993</v>
      </c>
      <c r="CY568">
        <f>AD568</f>
        <v>63.96</v>
      </c>
      <c r="CZ568">
        <f>AH568</f>
        <v>8.9700000000000006</v>
      </c>
      <c r="DA568">
        <f>AL568</f>
        <v>7.13</v>
      </c>
      <c r="DB568">
        <f>ROUND((ROUND(AT568*CZ568,2)*1.15),2)</f>
        <v>676.69</v>
      </c>
      <c r="DC568">
        <f>ROUND((ROUND(AT568*AG568,2)*1.15),2)</f>
        <v>0</v>
      </c>
    </row>
    <row r="569" spans="1:107" x14ac:dyDescent="0.2">
      <c r="A569">
        <f>ROW(Source!A262)</f>
        <v>262</v>
      </c>
      <c r="B569">
        <v>16630606</v>
      </c>
      <c r="C569">
        <v>16632389</v>
      </c>
      <c r="D569">
        <v>15430395</v>
      </c>
      <c r="E569">
        <v>1</v>
      </c>
      <c r="F569">
        <v>1</v>
      </c>
      <c r="G569">
        <v>1</v>
      </c>
      <c r="H569">
        <v>1</v>
      </c>
      <c r="I569" t="s">
        <v>1149</v>
      </c>
      <c r="J569" t="s">
        <v>6</v>
      </c>
      <c r="K569" t="s">
        <v>1150</v>
      </c>
      <c r="L569">
        <v>1191</v>
      </c>
      <c r="N569">
        <v>1013</v>
      </c>
      <c r="O569" t="s">
        <v>1148</v>
      </c>
      <c r="P569" t="s">
        <v>1148</v>
      </c>
      <c r="Q569">
        <v>1</v>
      </c>
      <c r="W569">
        <v>0</v>
      </c>
      <c r="X569">
        <v>-1417349443</v>
      </c>
      <c r="Y569">
        <v>3.13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1</v>
      </c>
      <c r="AJ569">
        <v>1</v>
      </c>
      <c r="AK569">
        <v>7.13</v>
      </c>
      <c r="AL569">
        <v>1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6</v>
      </c>
      <c r="AT569">
        <v>3.13</v>
      </c>
      <c r="AU569" t="s">
        <v>6</v>
      </c>
      <c r="AV569">
        <v>2</v>
      </c>
      <c r="AW569">
        <v>2</v>
      </c>
      <c r="AX569">
        <v>16632406</v>
      </c>
      <c r="AY569">
        <v>1</v>
      </c>
      <c r="AZ569">
        <v>2048</v>
      </c>
      <c r="BA569">
        <v>554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Y569*Source!I262</f>
        <v>0.89173699999999989</v>
      </c>
      <c r="CY569">
        <f>AD569</f>
        <v>0</v>
      </c>
      <c r="CZ569">
        <f>AH569</f>
        <v>0</v>
      </c>
      <c r="DA569">
        <f>AL569</f>
        <v>1</v>
      </c>
      <c r="DB569">
        <f>ROUND(ROUND(AT569*CZ569,2),2)</f>
        <v>0</v>
      </c>
      <c r="DC569">
        <f>ROUND(ROUND(AT569*AG569,2),2)</f>
        <v>0</v>
      </c>
    </row>
    <row r="570" spans="1:107" x14ac:dyDescent="0.2">
      <c r="A570">
        <f>ROW(Source!A262)</f>
        <v>262</v>
      </c>
      <c r="B570">
        <v>16630606</v>
      </c>
      <c r="C570">
        <v>16632389</v>
      </c>
      <c r="D570">
        <v>15247680</v>
      </c>
      <c r="E570">
        <v>1</v>
      </c>
      <c r="F570">
        <v>1</v>
      </c>
      <c r="G570">
        <v>1</v>
      </c>
      <c r="H570">
        <v>2</v>
      </c>
      <c r="I570" t="s">
        <v>1419</v>
      </c>
      <c r="J570" t="s">
        <v>1420</v>
      </c>
      <c r="K570" t="s">
        <v>1421</v>
      </c>
      <c r="L570">
        <v>1368</v>
      </c>
      <c r="N570">
        <v>1011</v>
      </c>
      <c r="O570" t="s">
        <v>1154</v>
      </c>
      <c r="P570" t="s">
        <v>1154</v>
      </c>
      <c r="Q570">
        <v>1</v>
      </c>
      <c r="W570">
        <v>0</v>
      </c>
      <c r="X570">
        <v>-1718674368</v>
      </c>
      <c r="Y570">
        <v>0.11249999999999999</v>
      </c>
      <c r="AA570">
        <v>0</v>
      </c>
      <c r="AB570">
        <v>798.49</v>
      </c>
      <c r="AC570">
        <v>13.5</v>
      </c>
      <c r="AD570">
        <v>0</v>
      </c>
      <c r="AE570">
        <v>0</v>
      </c>
      <c r="AF570">
        <v>111.99</v>
      </c>
      <c r="AG570">
        <v>13.5</v>
      </c>
      <c r="AH570">
        <v>0</v>
      </c>
      <c r="AI570">
        <v>1</v>
      </c>
      <c r="AJ570">
        <v>7.13</v>
      </c>
      <c r="AK570">
        <v>1</v>
      </c>
      <c r="AL570">
        <v>1</v>
      </c>
      <c r="AN570">
        <v>0</v>
      </c>
      <c r="AO570">
        <v>1</v>
      </c>
      <c r="AP570">
        <v>1</v>
      </c>
      <c r="AQ570">
        <v>0</v>
      </c>
      <c r="AR570">
        <v>0</v>
      </c>
      <c r="AS570" t="s">
        <v>6</v>
      </c>
      <c r="AT570">
        <v>0.09</v>
      </c>
      <c r="AU570" t="s">
        <v>81</v>
      </c>
      <c r="AV570">
        <v>0</v>
      </c>
      <c r="AW570">
        <v>2</v>
      </c>
      <c r="AX570">
        <v>16632407</v>
      </c>
      <c r="AY570">
        <v>1</v>
      </c>
      <c r="AZ570">
        <v>0</v>
      </c>
      <c r="BA570">
        <v>555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Y570*Source!I262</f>
        <v>3.2051249999999996E-2</v>
      </c>
      <c r="CY570">
        <f>AB570</f>
        <v>798.49</v>
      </c>
      <c r="CZ570">
        <f>AF570</f>
        <v>111.99</v>
      </c>
      <c r="DA570">
        <f>AJ570</f>
        <v>7.13</v>
      </c>
      <c r="DB570">
        <f>ROUND((ROUND(AT570*CZ570,2)*1.25),2)</f>
        <v>12.6</v>
      </c>
      <c r="DC570">
        <f>ROUND((ROUND(AT570*AG570,2)*1.25),2)</f>
        <v>1.53</v>
      </c>
    </row>
    <row r="571" spans="1:107" x14ac:dyDescent="0.2">
      <c r="A571">
        <f>ROW(Source!A262)</f>
        <v>262</v>
      </c>
      <c r="B571">
        <v>16630606</v>
      </c>
      <c r="C571">
        <v>16632389</v>
      </c>
      <c r="D571">
        <v>15247974</v>
      </c>
      <c r="E571">
        <v>1</v>
      </c>
      <c r="F571">
        <v>1</v>
      </c>
      <c r="G571">
        <v>1</v>
      </c>
      <c r="H571">
        <v>2</v>
      </c>
      <c r="I571" t="s">
        <v>1151</v>
      </c>
      <c r="J571" t="s">
        <v>1152</v>
      </c>
      <c r="K571" t="s">
        <v>1153</v>
      </c>
      <c r="L571">
        <v>1368</v>
      </c>
      <c r="N571">
        <v>1011</v>
      </c>
      <c r="O571" t="s">
        <v>1154</v>
      </c>
      <c r="P571" t="s">
        <v>1154</v>
      </c>
      <c r="Q571">
        <v>1</v>
      </c>
      <c r="W571">
        <v>0</v>
      </c>
      <c r="X571">
        <v>1188625873</v>
      </c>
      <c r="Y571">
        <v>1.4874999999999998</v>
      </c>
      <c r="AA571">
        <v>0</v>
      </c>
      <c r="AB571">
        <v>222.88</v>
      </c>
      <c r="AC571">
        <v>13.5</v>
      </c>
      <c r="AD571">
        <v>0</v>
      </c>
      <c r="AE571">
        <v>0</v>
      </c>
      <c r="AF571">
        <v>31.26</v>
      </c>
      <c r="AG571">
        <v>13.5</v>
      </c>
      <c r="AH571">
        <v>0</v>
      </c>
      <c r="AI571">
        <v>1</v>
      </c>
      <c r="AJ571">
        <v>7.13</v>
      </c>
      <c r="AK571">
        <v>1</v>
      </c>
      <c r="AL571">
        <v>1</v>
      </c>
      <c r="AN571">
        <v>0</v>
      </c>
      <c r="AO571">
        <v>1</v>
      </c>
      <c r="AP571">
        <v>1</v>
      </c>
      <c r="AQ571">
        <v>0</v>
      </c>
      <c r="AR571">
        <v>0</v>
      </c>
      <c r="AS571" t="s">
        <v>6</v>
      </c>
      <c r="AT571">
        <v>1.19</v>
      </c>
      <c r="AU571" t="s">
        <v>81</v>
      </c>
      <c r="AV571">
        <v>0</v>
      </c>
      <c r="AW571">
        <v>2</v>
      </c>
      <c r="AX571">
        <v>16632408</v>
      </c>
      <c r="AY571">
        <v>1</v>
      </c>
      <c r="AZ571">
        <v>0</v>
      </c>
      <c r="BA571">
        <v>556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Y571*Source!I262</f>
        <v>0.42378874999999994</v>
      </c>
      <c r="CY571">
        <f>AB571</f>
        <v>222.88</v>
      </c>
      <c r="CZ571">
        <f>AF571</f>
        <v>31.26</v>
      </c>
      <c r="DA571">
        <f>AJ571</f>
        <v>7.13</v>
      </c>
      <c r="DB571">
        <f>ROUND((ROUND(AT571*CZ571,2)*1.25),2)</f>
        <v>46.5</v>
      </c>
      <c r="DC571">
        <f>ROUND((ROUND(AT571*AG571,2)*1.25),2)</f>
        <v>20.09</v>
      </c>
    </row>
    <row r="572" spans="1:107" x14ac:dyDescent="0.2">
      <c r="A572">
        <f>ROW(Source!A262)</f>
        <v>262</v>
      </c>
      <c r="B572">
        <v>16630606</v>
      </c>
      <c r="C572">
        <v>16632389</v>
      </c>
      <c r="D572">
        <v>15248793</v>
      </c>
      <c r="E572">
        <v>1</v>
      </c>
      <c r="F572">
        <v>1</v>
      </c>
      <c r="G572">
        <v>1</v>
      </c>
      <c r="H572">
        <v>2</v>
      </c>
      <c r="I572" t="s">
        <v>1548</v>
      </c>
      <c r="J572" t="s">
        <v>1549</v>
      </c>
      <c r="K572" t="s">
        <v>1550</v>
      </c>
      <c r="L572">
        <v>1368</v>
      </c>
      <c r="N572">
        <v>1011</v>
      </c>
      <c r="O572" t="s">
        <v>1154</v>
      </c>
      <c r="P572" t="s">
        <v>1154</v>
      </c>
      <c r="Q572">
        <v>1</v>
      </c>
      <c r="W572">
        <v>0</v>
      </c>
      <c r="X572">
        <v>-1347092713</v>
      </c>
      <c r="Y572">
        <v>1</v>
      </c>
      <c r="AA572">
        <v>0</v>
      </c>
      <c r="AB572">
        <v>211.55</v>
      </c>
      <c r="AC572">
        <v>0</v>
      </c>
      <c r="AD572">
        <v>0</v>
      </c>
      <c r="AE572">
        <v>0</v>
      </c>
      <c r="AF572">
        <v>29.67</v>
      </c>
      <c r="AG572">
        <v>0</v>
      </c>
      <c r="AH572">
        <v>0</v>
      </c>
      <c r="AI572">
        <v>1</v>
      </c>
      <c r="AJ572">
        <v>7.13</v>
      </c>
      <c r="AK572">
        <v>1</v>
      </c>
      <c r="AL572">
        <v>1</v>
      </c>
      <c r="AN572">
        <v>0</v>
      </c>
      <c r="AO572">
        <v>1</v>
      </c>
      <c r="AP572">
        <v>1</v>
      </c>
      <c r="AQ572">
        <v>0</v>
      </c>
      <c r="AR572">
        <v>0</v>
      </c>
      <c r="AS572" t="s">
        <v>6</v>
      </c>
      <c r="AT572">
        <v>0.8</v>
      </c>
      <c r="AU572" t="s">
        <v>81</v>
      </c>
      <c r="AV572">
        <v>0</v>
      </c>
      <c r="AW572">
        <v>2</v>
      </c>
      <c r="AX572">
        <v>16632409</v>
      </c>
      <c r="AY572">
        <v>1</v>
      </c>
      <c r="AZ572">
        <v>0</v>
      </c>
      <c r="BA572">
        <v>557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Y572*Source!I262</f>
        <v>0.28489999999999999</v>
      </c>
      <c r="CY572">
        <f>AB572</f>
        <v>211.55</v>
      </c>
      <c r="CZ572">
        <f>AF572</f>
        <v>29.67</v>
      </c>
      <c r="DA572">
        <f>AJ572</f>
        <v>7.13</v>
      </c>
      <c r="DB572">
        <f>ROUND((ROUND(AT572*CZ572,2)*1.25),2)</f>
        <v>29.68</v>
      </c>
      <c r="DC572">
        <f>ROUND((ROUND(AT572*AG572,2)*1.25),2)</f>
        <v>0</v>
      </c>
    </row>
    <row r="573" spans="1:107" x14ac:dyDescent="0.2">
      <c r="A573">
        <f>ROW(Source!A262)</f>
        <v>262</v>
      </c>
      <c r="B573">
        <v>16630606</v>
      </c>
      <c r="C573">
        <v>16632389</v>
      </c>
      <c r="D573">
        <v>15249073</v>
      </c>
      <c r="E573">
        <v>1</v>
      </c>
      <c r="F573">
        <v>1</v>
      </c>
      <c r="G573">
        <v>1</v>
      </c>
      <c r="H573">
        <v>2</v>
      </c>
      <c r="I573" t="s">
        <v>1157</v>
      </c>
      <c r="J573" t="s">
        <v>1158</v>
      </c>
      <c r="K573" t="s">
        <v>1159</v>
      </c>
      <c r="L573">
        <v>1368</v>
      </c>
      <c r="N573">
        <v>1011</v>
      </c>
      <c r="O573" t="s">
        <v>1154</v>
      </c>
      <c r="P573" t="s">
        <v>1154</v>
      </c>
      <c r="Q573">
        <v>1</v>
      </c>
      <c r="W573">
        <v>0</v>
      </c>
      <c r="X573">
        <v>1372534845</v>
      </c>
      <c r="Y573">
        <v>2.3125</v>
      </c>
      <c r="AA573">
        <v>0</v>
      </c>
      <c r="AB573">
        <v>468.51</v>
      </c>
      <c r="AC573">
        <v>11.6</v>
      </c>
      <c r="AD573">
        <v>0</v>
      </c>
      <c r="AE573">
        <v>0</v>
      </c>
      <c r="AF573">
        <v>65.709999999999994</v>
      </c>
      <c r="AG573">
        <v>11.6</v>
      </c>
      <c r="AH573">
        <v>0</v>
      </c>
      <c r="AI573">
        <v>1</v>
      </c>
      <c r="AJ573">
        <v>7.13</v>
      </c>
      <c r="AK573">
        <v>1</v>
      </c>
      <c r="AL573">
        <v>1</v>
      </c>
      <c r="AN573">
        <v>0</v>
      </c>
      <c r="AO573">
        <v>1</v>
      </c>
      <c r="AP573">
        <v>1</v>
      </c>
      <c r="AQ573">
        <v>0</v>
      </c>
      <c r="AR573">
        <v>0</v>
      </c>
      <c r="AS573" t="s">
        <v>6</v>
      </c>
      <c r="AT573">
        <v>1.85</v>
      </c>
      <c r="AU573" t="s">
        <v>81</v>
      </c>
      <c r="AV573">
        <v>0</v>
      </c>
      <c r="AW573">
        <v>2</v>
      </c>
      <c r="AX573">
        <v>16632410</v>
      </c>
      <c r="AY573">
        <v>1</v>
      </c>
      <c r="AZ573">
        <v>0</v>
      </c>
      <c r="BA573">
        <v>558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Y573*Source!I262</f>
        <v>0.65883124999999998</v>
      </c>
      <c r="CY573">
        <f>AB573</f>
        <v>468.51</v>
      </c>
      <c r="CZ573">
        <f>AF573</f>
        <v>65.709999999999994</v>
      </c>
      <c r="DA573">
        <f>AJ573</f>
        <v>7.13</v>
      </c>
      <c r="DB573">
        <f>ROUND((ROUND(AT573*CZ573,2)*1.25),2)</f>
        <v>151.94999999999999</v>
      </c>
      <c r="DC573">
        <f>ROUND((ROUND(AT573*AG573,2)*1.25),2)</f>
        <v>26.83</v>
      </c>
    </row>
    <row r="574" spans="1:107" x14ac:dyDescent="0.2">
      <c r="A574">
        <f>ROW(Source!A262)</f>
        <v>262</v>
      </c>
      <c r="B574">
        <v>16630606</v>
      </c>
      <c r="C574">
        <v>16632389</v>
      </c>
      <c r="D574">
        <v>15166084</v>
      </c>
      <c r="E574">
        <v>1</v>
      </c>
      <c r="F574">
        <v>1</v>
      </c>
      <c r="G574">
        <v>1</v>
      </c>
      <c r="H574">
        <v>3</v>
      </c>
      <c r="I574" t="s">
        <v>1551</v>
      </c>
      <c r="J574" t="s">
        <v>1552</v>
      </c>
      <c r="K574" t="s">
        <v>1553</v>
      </c>
      <c r="L574">
        <v>1339</v>
      </c>
      <c r="N574">
        <v>1007</v>
      </c>
      <c r="O574" t="s">
        <v>203</v>
      </c>
      <c r="P574" t="s">
        <v>203</v>
      </c>
      <c r="Q574">
        <v>1</v>
      </c>
      <c r="W574">
        <v>0</v>
      </c>
      <c r="X574">
        <v>2048996427</v>
      </c>
      <c r="Y574">
        <v>0.67</v>
      </c>
      <c r="AA574">
        <v>326.77</v>
      </c>
      <c r="AB574">
        <v>0</v>
      </c>
      <c r="AC574">
        <v>0</v>
      </c>
      <c r="AD574">
        <v>0</v>
      </c>
      <c r="AE574">
        <v>45.83</v>
      </c>
      <c r="AF574">
        <v>0</v>
      </c>
      <c r="AG574">
        <v>0</v>
      </c>
      <c r="AH574">
        <v>0</v>
      </c>
      <c r="AI574">
        <v>7.13</v>
      </c>
      <c r="AJ574">
        <v>1</v>
      </c>
      <c r="AK574">
        <v>1</v>
      </c>
      <c r="AL574">
        <v>1</v>
      </c>
      <c r="AN574">
        <v>0</v>
      </c>
      <c r="AO574">
        <v>1</v>
      </c>
      <c r="AP574">
        <v>0</v>
      </c>
      <c r="AQ574">
        <v>0</v>
      </c>
      <c r="AR574">
        <v>0</v>
      </c>
      <c r="AS574" t="s">
        <v>6</v>
      </c>
      <c r="AT574">
        <v>0.67</v>
      </c>
      <c r="AU574" t="s">
        <v>6</v>
      </c>
      <c r="AV574">
        <v>0</v>
      </c>
      <c r="AW574">
        <v>2</v>
      </c>
      <c r="AX574">
        <v>16632411</v>
      </c>
      <c r="AY574">
        <v>1</v>
      </c>
      <c r="AZ574">
        <v>0</v>
      </c>
      <c r="BA574">
        <v>559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Y574*Source!I262</f>
        <v>0.190883</v>
      </c>
      <c r="CY574">
        <f t="shared" ref="CY574:CY582" si="98">AA574</f>
        <v>326.77</v>
      </c>
      <c r="CZ574">
        <f t="shared" ref="CZ574:CZ582" si="99">AE574</f>
        <v>45.83</v>
      </c>
      <c r="DA574">
        <f t="shared" ref="DA574:DA582" si="100">AI574</f>
        <v>7.13</v>
      </c>
      <c r="DB574">
        <f t="shared" ref="DB574:DB582" si="101">ROUND(ROUND(AT574*CZ574,2),2)</f>
        <v>30.71</v>
      </c>
      <c r="DC574">
        <f t="shared" ref="DC574:DC582" si="102">ROUND(ROUND(AT574*AG574,2),2)</f>
        <v>0</v>
      </c>
    </row>
    <row r="575" spans="1:107" x14ac:dyDescent="0.2">
      <c r="A575">
        <f>ROW(Source!A262)</f>
        <v>262</v>
      </c>
      <c r="B575">
        <v>16630606</v>
      </c>
      <c r="C575">
        <v>16632389</v>
      </c>
      <c r="D575">
        <v>15167286</v>
      </c>
      <c r="E575">
        <v>1</v>
      </c>
      <c r="F575">
        <v>1</v>
      </c>
      <c r="G575">
        <v>1</v>
      </c>
      <c r="H575">
        <v>3</v>
      </c>
      <c r="I575" t="s">
        <v>1265</v>
      </c>
      <c r="J575" t="s">
        <v>1266</v>
      </c>
      <c r="K575" t="s">
        <v>1267</v>
      </c>
      <c r="L575">
        <v>1339</v>
      </c>
      <c r="N575">
        <v>1007</v>
      </c>
      <c r="O575" t="s">
        <v>203</v>
      </c>
      <c r="P575" t="s">
        <v>203</v>
      </c>
      <c r="Q575">
        <v>1</v>
      </c>
      <c r="W575">
        <v>0</v>
      </c>
      <c r="X575">
        <v>-1660354250</v>
      </c>
      <c r="Y575">
        <v>15</v>
      </c>
      <c r="AA575">
        <v>17.399999999999999</v>
      </c>
      <c r="AB575">
        <v>0</v>
      </c>
      <c r="AC575">
        <v>0</v>
      </c>
      <c r="AD575">
        <v>0</v>
      </c>
      <c r="AE575">
        <v>2.44</v>
      </c>
      <c r="AF575">
        <v>0</v>
      </c>
      <c r="AG575">
        <v>0</v>
      </c>
      <c r="AH575">
        <v>0</v>
      </c>
      <c r="AI575">
        <v>7.13</v>
      </c>
      <c r="AJ575">
        <v>1</v>
      </c>
      <c r="AK575">
        <v>1</v>
      </c>
      <c r="AL575">
        <v>1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6</v>
      </c>
      <c r="AT575">
        <v>15</v>
      </c>
      <c r="AU575" t="s">
        <v>6</v>
      </c>
      <c r="AV575">
        <v>0</v>
      </c>
      <c r="AW575">
        <v>2</v>
      </c>
      <c r="AX575">
        <v>16632412</v>
      </c>
      <c r="AY575">
        <v>1</v>
      </c>
      <c r="AZ575">
        <v>0</v>
      </c>
      <c r="BA575">
        <v>560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Y575*Source!I262</f>
        <v>4.2734999999999994</v>
      </c>
      <c r="CY575">
        <f t="shared" si="98"/>
        <v>17.399999999999999</v>
      </c>
      <c r="CZ575">
        <f t="shared" si="99"/>
        <v>2.44</v>
      </c>
      <c r="DA575">
        <f t="shared" si="100"/>
        <v>7.13</v>
      </c>
      <c r="DB575">
        <f t="shared" si="101"/>
        <v>36.6</v>
      </c>
      <c r="DC575">
        <f t="shared" si="102"/>
        <v>0</v>
      </c>
    </row>
    <row r="576" spans="1:107" x14ac:dyDescent="0.2">
      <c r="A576">
        <f>ROW(Source!A262)</f>
        <v>262</v>
      </c>
      <c r="B576">
        <v>16630606</v>
      </c>
      <c r="C576">
        <v>16632389</v>
      </c>
      <c r="D576">
        <v>15163011</v>
      </c>
      <c r="E576">
        <v>17</v>
      </c>
      <c r="F576">
        <v>1</v>
      </c>
      <c r="G576">
        <v>1</v>
      </c>
      <c r="H576">
        <v>3</v>
      </c>
      <c r="I576" t="s">
        <v>786</v>
      </c>
      <c r="J576" t="s">
        <v>6</v>
      </c>
      <c r="K576" t="s">
        <v>787</v>
      </c>
      <c r="L576">
        <v>1358</v>
      </c>
      <c r="N576">
        <v>1010</v>
      </c>
      <c r="O576" t="s">
        <v>616</v>
      </c>
      <c r="P576" t="s">
        <v>616</v>
      </c>
      <c r="Q576">
        <v>10</v>
      </c>
      <c r="W576">
        <v>0</v>
      </c>
      <c r="X576">
        <v>488433216</v>
      </c>
      <c r="Y576">
        <v>8.9892570000000003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7.13</v>
      </c>
      <c r="AJ576">
        <v>1</v>
      </c>
      <c r="AK576">
        <v>1</v>
      </c>
      <c r="AL576">
        <v>1</v>
      </c>
      <c r="AN576">
        <v>0</v>
      </c>
      <c r="AO576">
        <v>0</v>
      </c>
      <c r="AP576">
        <v>0</v>
      </c>
      <c r="AQ576">
        <v>0</v>
      </c>
      <c r="AR576">
        <v>0</v>
      </c>
      <c r="AS576" t="s">
        <v>6</v>
      </c>
      <c r="AT576">
        <v>8.9892570000000003</v>
      </c>
      <c r="AU576" t="s">
        <v>6</v>
      </c>
      <c r="AV576">
        <v>0</v>
      </c>
      <c r="AW576">
        <v>2</v>
      </c>
      <c r="AX576">
        <v>16632413</v>
      </c>
      <c r="AY576">
        <v>1</v>
      </c>
      <c r="AZ576">
        <v>6144</v>
      </c>
      <c r="BA576">
        <v>561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Y576*Source!I262</f>
        <v>2.5610393192999998</v>
      </c>
      <c r="CY576">
        <f t="shared" si="98"/>
        <v>0</v>
      </c>
      <c r="CZ576">
        <f t="shared" si="99"/>
        <v>0</v>
      </c>
      <c r="DA576">
        <f t="shared" si="100"/>
        <v>7.13</v>
      </c>
      <c r="DB576">
        <f t="shared" si="101"/>
        <v>0</v>
      </c>
      <c r="DC576">
        <f t="shared" si="102"/>
        <v>0</v>
      </c>
    </row>
    <row r="577" spans="1:107" x14ac:dyDescent="0.2">
      <c r="A577">
        <f>ROW(Source!A262)</f>
        <v>262</v>
      </c>
      <c r="B577">
        <v>16630606</v>
      </c>
      <c r="C577">
        <v>16632389</v>
      </c>
      <c r="D577">
        <v>15170068</v>
      </c>
      <c r="E577">
        <v>1</v>
      </c>
      <c r="F577">
        <v>1</v>
      </c>
      <c r="G577">
        <v>1</v>
      </c>
      <c r="H577">
        <v>3</v>
      </c>
      <c r="I577" t="s">
        <v>789</v>
      </c>
      <c r="J577" t="s">
        <v>791</v>
      </c>
      <c r="K577" t="s">
        <v>790</v>
      </c>
      <c r="L577">
        <v>1355</v>
      </c>
      <c r="N577">
        <v>1010</v>
      </c>
      <c r="O577" t="s">
        <v>243</v>
      </c>
      <c r="P577" t="s">
        <v>243</v>
      </c>
      <c r="Q577">
        <v>100</v>
      </c>
      <c r="W577">
        <v>0</v>
      </c>
      <c r="X577">
        <v>1797855604</v>
      </c>
      <c r="Y577">
        <v>0.898926</v>
      </c>
      <c r="AA577">
        <v>186.81</v>
      </c>
      <c r="AB577">
        <v>0</v>
      </c>
      <c r="AC577">
        <v>0</v>
      </c>
      <c r="AD577">
        <v>0</v>
      </c>
      <c r="AE577">
        <v>26.2</v>
      </c>
      <c r="AF577">
        <v>0</v>
      </c>
      <c r="AG577">
        <v>0</v>
      </c>
      <c r="AH577">
        <v>0</v>
      </c>
      <c r="AI577">
        <v>7.13</v>
      </c>
      <c r="AJ577">
        <v>1</v>
      </c>
      <c r="AK577">
        <v>1</v>
      </c>
      <c r="AL577">
        <v>1</v>
      </c>
      <c r="AN577">
        <v>0</v>
      </c>
      <c r="AO577">
        <v>0</v>
      </c>
      <c r="AP577">
        <v>0</v>
      </c>
      <c r="AQ577">
        <v>0</v>
      </c>
      <c r="AR577">
        <v>0</v>
      </c>
      <c r="AS577" t="s">
        <v>6</v>
      </c>
      <c r="AT577">
        <v>0.898926</v>
      </c>
      <c r="AU577" t="s">
        <v>6</v>
      </c>
      <c r="AV577">
        <v>0</v>
      </c>
      <c r="AW577">
        <v>1</v>
      </c>
      <c r="AX577">
        <v>-1</v>
      </c>
      <c r="AY577">
        <v>0</v>
      </c>
      <c r="AZ577">
        <v>0</v>
      </c>
      <c r="BA577" t="s">
        <v>6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Y577*Source!I262</f>
        <v>0.25610401739999999</v>
      </c>
      <c r="CY577">
        <f t="shared" si="98"/>
        <v>186.81</v>
      </c>
      <c r="CZ577">
        <f t="shared" si="99"/>
        <v>26.2</v>
      </c>
      <c r="DA577">
        <f t="shared" si="100"/>
        <v>7.13</v>
      </c>
      <c r="DB577">
        <f t="shared" si="101"/>
        <v>23.55</v>
      </c>
      <c r="DC577">
        <f t="shared" si="102"/>
        <v>0</v>
      </c>
    </row>
    <row r="578" spans="1:107" x14ac:dyDescent="0.2">
      <c r="A578">
        <f>ROW(Source!A262)</f>
        <v>262</v>
      </c>
      <c r="B578">
        <v>16630606</v>
      </c>
      <c r="C578">
        <v>16632389</v>
      </c>
      <c r="D578">
        <v>15212828</v>
      </c>
      <c r="E578">
        <v>1</v>
      </c>
      <c r="F578">
        <v>1</v>
      </c>
      <c r="G578">
        <v>1</v>
      </c>
      <c r="H578">
        <v>3</v>
      </c>
      <c r="I578" t="s">
        <v>1554</v>
      </c>
      <c r="J578" t="s">
        <v>1555</v>
      </c>
      <c r="K578" t="s">
        <v>1556</v>
      </c>
      <c r="L578">
        <v>1035</v>
      </c>
      <c r="N578">
        <v>1013</v>
      </c>
      <c r="O578" t="s">
        <v>177</v>
      </c>
      <c r="P578" t="s">
        <v>177</v>
      </c>
      <c r="Q578">
        <v>1</v>
      </c>
      <c r="W578">
        <v>0</v>
      </c>
      <c r="X578">
        <v>-1223829238</v>
      </c>
      <c r="Y578">
        <v>44.2</v>
      </c>
      <c r="AA578">
        <v>176.47</v>
      </c>
      <c r="AB578">
        <v>0</v>
      </c>
      <c r="AC578">
        <v>0</v>
      </c>
      <c r="AD578">
        <v>0</v>
      </c>
      <c r="AE578">
        <v>24.75</v>
      </c>
      <c r="AF578">
        <v>0</v>
      </c>
      <c r="AG578">
        <v>0</v>
      </c>
      <c r="AH578">
        <v>0</v>
      </c>
      <c r="AI578">
        <v>7.13</v>
      </c>
      <c r="AJ578">
        <v>1</v>
      </c>
      <c r="AK578">
        <v>1</v>
      </c>
      <c r="AL578">
        <v>1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6</v>
      </c>
      <c r="AT578">
        <v>44.2</v>
      </c>
      <c r="AU578" t="s">
        <v>6</v>
      </c>
      <c r="AV578">
        <v>0</v>
      </c>
      <c r="AW578">
        <v>2</v>
      </c>
      <c r="AX578">
        <v>16632415</v>
      </c>
      <c r="AY578">
        <v>1</v>
      </c>
      <c r="AZ578">
        <v>0</v>
      </c>
      <c r="BA578">
        <v>563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Y578*Source!I262</f>
        <v>12.59258</v>
      </c>
      <c r="CY578">
        <f t="shared" si="98"/>
        <v>176.47</v>
      </c>
      <c r="CZ578">
        <f t="shared" si="99"/>
        <v>24.75</v>
      </c>
      <c r="DA578">
        <f t="shared" si="100"/>
        <v>7.13</v>
      </c>
      <c r="DB578">
        <f t="shared" si="101"/>
        <v>1093.95</v>
      </c>
      <c r="DC578">
        <f t="shared" si="102"/>
        <v>0</v>
      </c>
    </row>
    <row r="579" spans="1:107" x14ac:dyDescent="0.2">
      <c r="A579">
        <f>ROW(Source!A262)</f>
        <v>262</v>
      </c>
      <c r="B579">
        <v>16630606</v>
      </c>
      <c r="C579">
        <v>16632389</v>
      </c>
      <c r="D579">
        <v>15213159</v>
      </c>
      <c r="E579">
        <v>1</v>
      </c>
      <c r="F579">
        <v>1</v>
      </c>
      <c r="G579">
        <v>1</v>
      </c>
      <c r="H579">
        <v>3</v>
      </c>
      <c r="I579" t="s">
        <v>782</v>
      </c>
      <c r="J579" t="s">
        <v>784</v>
      </c>
      <c r="K579" t="s">
        <v>783</v>
      </c>
      <c r="L579">
        <v>1354</v>
      </c>
      <c r="N579">
        <v>1010</v>
      </c>
      <c r="O579" t="s">
        <v>132</v>
      </c>
      <c r="P579" t="s">
        <v>132</v>
      </c>
      <c r="Q579">
        <v>1</v>
      </c>
      <c r="W579">
        <v>0</v>
      </c>
      <c r="X579">
        <v>464428912</v>
      </c>
      <c r="Y579">
        <v>31.590032000000001</v>
      </c>
      <c r="AA579">
        <v>3870.16</v>
      </c>
      <c r="AB579">
        <v>0</v>
      </c>
      <c r="AC579">
        <v>0</v>
      </c>
      <c r="AD579">
        <v>0</v>
      </c>
      <c r="AE579">
        <v>542.79999999999995</v>
      </c>
      <c r="AF579">
        <v>0</v>
      </c>
      <c r="AG579">
        <v>0</v>
      </c>
      <c r="AH579">
        <v>0</v>
      </c>
      <c r="AI579">
        <v>7.13</v>
      </c>
      <c r="AJ579">
        <v>1</v>
      </c>
      <c r="AK579">
        <v>1</v>
      </c>
      <c r="AL579">
        <v>1</v>
      </c>
      <c r="AN579">
        <v>0</v>
      </c>
      <c r="AO579">
        <v>0</v>
      </c>
      <c r="AP579">
        <v>0</v>
      </c>
      <c r="AQ579">
        <v>0</v>
      </c>
      <c r="AR579">
        <v>0</v>
      </c>
      <c r="AS579" t="s">
        <v>6</v>
      </c>
      <c r="AT579">
        <v>31.590032000000001</v>
      </c>
      <c r="AU579" t="s">
        <v>6</v>
      </c>
      <c r="AV579">
        <v>0</v>
      </c>
      <c r="AW579">
        <v>1</v>
      </c>
      <c r="AX579">
        <v>-1</v>
      </c>
      <c r="AY579">
        <v>0</v>
      </c>
      <c r="AZ579">
        <v>0</v>
      </c>
      <c r="BA579" t="s">
        <v>6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Y579*Source!I262</f>
        <v>9.000000116799999</v>
      </c>
      <c r="CY579">
        <f t="shared" si="98"/>
        <v>3870.16</v>
      </c>
      <c r="CZ579">
        <f t="shared" si="99"/>
        <v>542.79999999999995</v>
      </c>
      <c r="DA579">
        <f t="shared" si="100"/>
        <v>7.13</v>
      </c>
      <c r="DB579">
        <f t="shared" si="101"/>
        <v>17147.07</v>
      </c>
      <c r="DC579">
        <f t="shared" si="102"/>
        <v>0</v>
      </c>
    </row>
    <row r="580" spans="1:107" x14ac:dyDescent="0.2">
      <c r="A580">
        <f>ROW(Source!A262)</f>
        <v>262</v>
      </c>
      <c r="B580">
        <v>16630606</v>
      </c>
      <c r="C580">
        <v>16632389</v>
      </c>
      <c r="D580">
        <v>15213163</v>
      </c>
      <c r="E580">
        <v>1</v>
      </c>
      <c r="F580">
        <v>1</v>
      </c>
      <c r="G580">
        <v>1</v>
      </c>
      <c r="H580">
        <v>3</v>
      </c>
      <c r="I580" t="s">
        <v>778</v>
      </c>
      <c r="J580" t="s">
        <v>780</v>
      </c>
      <c r="K580" t="s">
        <v>779</v>
      </c>
      <c r="L580">
        <v>1354</v>
      </c>
      <c r="N580">
        <v>1010</v>
      </c>
      <c r="O580" t="s">
        <v>132</v>
      </c>
      <c r="P580" t="s">
        <v>132</v>
      </c>
      <c r="Q580">
        <v>1</v>
      </c>
      <c r="W580">
        <v>0</v>
      </c>
      <c r="X580">
        <v>-863052310</v>
      </c>
      <c r="Y580">
        <v>24.570025000000001</v>
      </c>
      <c r="AA580">
        <v>7797.37</v>
      </c>
      <c r="AB580">
        <v>0</v>
      </c>
      <c r="AC580">
        <v>0</v>
      </c>
      <c r="AD580">
        <v>0</v>
      </c>
      <c r="AE580">
        <v>1093.5999999999999</v>
      </c>
      <c r="AF580">
        <v>0</v>
      </c>
      <c r="AG580">
        <v>0</v>
      </c>
      <c r="AH580">
        <v>0</v>
      </c>
      <c r="AI580">
        <v>7.13</v>
      </c>
      <c r="AJ580">
        <v>1</v>
      </c>
      <c r="AK580">
        <v>1</v>
      </c>
      <c r="AL580">
        <v>1</v>
      </c>
      <c r="AN580">
        <v>0</v>
      </c>
      <c r="AO580">
        <v>0</v>
      </c>
      <c r="AP580">
        <v>0</v>
      </c>
      <c r="AQ580">
        <v>0</v>
      </c>
      <c r="AR580">
        <v>0</v>
      </c>
      <c r="AS580" t="s">
        <v>6</v>
      </c>
      <c r="AT580">
        <v>24.570025000000001</v>
      </c>
      <c r="AU580" t="s">
        <v>6</v>
      </c>
      <c r="AV580">
        <v>0</v>
      </c>
      <c r="AW580">
        <v>1</v>
      </c>
      <c r="AX580">
        <v>-1</v>
      </c>
      <c r="AY580">
        <v>0</v>
      </c>
      <c r="AZ580">
        <v>0</v>
      </c>
      <c r="BA580" t="s">
        <v>6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Y580*Source!I262</f>
        <v>7.0000001225000004</v>
      </c>
      <c r="CY580">
        <f t="shared" si="98"/>
        <v>7797.37</v>
      </c>
      <c r="CZ580">
        <f t="shared" si="99"/>
        <v>1093.5999999999999</v>
      </c>
      <c r="DA580">
        <f t="shared" si="100"/>
        <v>7.13</v>
      </c>
      <c r="DB580">
        <f t="shared" si="101"/>
        <v>26869.78</v>
      </c>
      <c r="DC580">
        <f t="shared" si="102"/>
        <v>0</v>
      </c>
    </row>
    <row r="581" spans="1:107" x14ac:dyDescent="0.2">
      <c r="A581">
        <f>ROW(Source!A262)</f>
        <v>262</v>
      </c>
      <c r="B581">
        <v>16630606</v>
      </c>
      <c r="C581">
        <v>16632389</v>
      </c>
      <c r="D581">
        <v>15213165</v>
      </c>
      <c r="E581">
        <v>1</v>
      </c>
      <c r="F581">
        <v>1</v>
      </c>
      <c r="G581">
        <v>1</v>
      </c>
      <c r="H581">
        <v>3</v>
      </c>
      <c r="I581" t="s">
        <v>774</v>
      </c>
      <c r="J581" t="s">
        <v>776</v>
      </c>
      <c r="K581" t="s">
        <v>775</v>
      </c>
      <c r="L581">
        <v>1354</v>
      </c>
      <c r="N581">
        <v>1010</v>
      </c>
      <c r="O581" t="s">
        <v>132</v>
      </c>
      <c r="P581" t="s">
        <v>132</v>
      </c>
      <c r="Q581">
        <v>1</v>
      </c>
      <c r="W581">
        <v>0</v>
      </c>
      <c r="X581">
        <v>1286001746</v>
      </c>
      <c r="Y581">
        <v>21.060020999999999</v>
      </c>
      <c r="AA581">
        <v>9746.7099999999991</v>
      </c>
      <c r="AB581">
        <v>0</v>
      </c>
      <c r="AC581">
        <v>0</v>
      </c>
      <c r="AD581">
        <v>0</v>
      </c>
      <c r="AE581">
        <v>1367</v>
      </c>
      <c r="AF581">
        <v>0</v>
      </c>
      <c r="AG581">
        <v>0</v>
      </c>
      <c r="AH581">
        <v>0</v>
      </c>
      <c r="AI581">
        <v>7.13</v>
      </c>
      <c r="AJ581">
        <v>1</v>
      </c>
      <c r="AK581">
        <v>1</v>
      </c>
      <c r="AL581">
        <v>1</v>
      </c>
      <c r="AN581">
        <v>0</v>
      </c>
      <c r="AO581">
        <v>0</v>
      </c>
      <c r="AP581">
        <v>0</v>
      </c>
      <c r="AQ581">
        <v>0</v>
      </c>
      <c r="AR581">
        <v>0</v>
      </c>
      <c r="AS581" t="s">
        <v>6</v>
      </c>
      <c r="AT581">
        <v>21.060020999999999</v>
      </c>
      <c r="AU581" t="s">
        <v>6</v>
      </c>
      <c r="AV581">
        <v>0</v>
      </c>
      <c r="AW581">
        <v>1</v>
      </c>
      <c r="AX581">
        <v>-1</v>
      </c>
      <c r="AY581">
        <v>0</v>
      </c>
      <c r="AZ581">
        <v>0</v>
      </c>
      <c r="BA581" t="s">
        <v>6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Y581*Source!I262</f>
        <v>5.9999999828999995</v>
      </c>
      <c r="CY581">
        <f t="shared" si="98"/>
        <v>9746.7099999999991</v>
      </c>
      <c r="CZ581">
        <f t="shared" si="99"/>
        <v>1367</v>
      </c>
      <c r="DA581">
        <f t="shared" si="100"/>
        <v>7.13</v>
      </c>
      <c r="DB581">
        <f t="shared" si="101"/>
        <v>28789.05</v>
      </c>
      <c r="DC581">
        <f t="shared" si="102"/>
        <v>0</v>
      </c>
    </row>
    <row r="582" spans="1:107" x14ac:dyDescent="0.2">
      <c r="A582">
        <f>ROW(Source!A262)</f>
        <v>262</v>
      </c>
      <c r="B582">
        <v>16630606</v>
      </c>
      <c r="C582">
        <v>16632389</v>
      </c>
      <c r="D582">
        <v>15163239</v>
      </c>
      <c r="E582">
        <v>17</v>
      </c>
      <c r="F582">
        <v>1</v>
      </c>
      <c r="G582">
        <v>1</v>
      </c>
      <c r="H582">
        <v>3</v>
      </c>
      <c r="I582" t="s">
        <v>793</v>
      </c>
      <c r="J582" t="s">
        <v>6</v>
      </c>
      <c r="K582" t="s">
        <v>794</v>
      </c>
      <c r="L582">
        <v>1033</v>
      </c>
      <c r="N582">
        <v>1013</v>
      </c>
      <c r="O582" t="s">
        <v>795</v>
      </c>
      <c r="P582" t="s">
        <v>795</v>
      </c>
      <c r="Q582">
        <v>1</v>
      </c>
      <c r="W582">
        <v>0</v>
      </c>
      <c r="X582">
        <v>704408924</v>
      </c>
      <c r="Y582">
        <v>100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7.13</v>
      </c>
      <c r="AJ582">
        <v>1</v>
      </c>
      <c r="AK582">
        <v>1</v>
      </c>
      <c r="AL582">
        <v>1</v>
      </c>
      <c r="AN582">
        <v>0</v>
      </c>
      <c r="AO582">
        <v>0</v>
      </c>
      <c r="AP582">
        <v>0</v>
      </c>
      <c r="AQ582">
        <v>0</v>
      </c>
      <c r="AR582">
        <v>0</v>
      </c>
      <c r="AS582" t="s">
        <v>6</v>
      </c>
      <c r="AT582">
        <v>100</v>
      </c>
      <c r="AU582" t="s">
        <v>6</v>
      </c>
      <c r="AV582">
        <v>0</v>
      </c>
      <c r="AW582">
        <v>2</v>
      </c>
      <c r="AX582">
        <v>16632416</v>
      </c>
      <c r="AY582">
        <v>1</v>
      </c>
      <c r="AZ582">
        <v>0</v>
      </c>
      <c r="BA582">
        <v>564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Y582*Source!I262</f>
        <v>28.49</v>
      </c>
      <c r="CY582">
        <f t="shared" si="98"/>
        <v>0</v>
      </c>
      <c r="CZ582">
        <f t="shared" si="99"/>
        <v>0</v>
      </c>
      <c r="DA582">
        <f t="shared" si="100"/>
        <v>7.13</v>
      </c>
      <c r="DB582">
        <f t="shared" si="101"/>
        <v>0</v>
      </c>
      <c r="DC582">
        <f t="shared" si="102"/>
        <v>0</v>
      </c>
    </row>
    <row r="583" spans="1:107" x14ac:dyDescent="0.2">
      <c r="A583">
        <f>ROW(Source!A269)</f>
        <v>269</v>
      </c>
      <c r="B583">
        <v>16630606</v>
      </c>
      <c r="C583">
        <v>16632423</v>
      </c>
      <c r="D583">
        <v>15430447</v>
      </c>
      <c r="E583">
        <v>1</v>
      </c>
      <c r="F583">
        <v>1</v>
      </c>
      <c r="G583">
        <v>1</v>
      </c>
      <c r="H583">
        <v>1</v>
      </c>
      <c r="I583" t="s">
        <v>1464</v>
      </c>
      <c r="J583" t="s">
        <v>6</v>
      </c>
      <c r="K583" t="s">
        <v>1465</v>
      </c>
      <c r="L583">
        <v>1191</v>
      </c>
      <c r="N583">
        <v>1013</v>
      </c>
      <c r="O583" t="s">
        <v>1148</v>
      </c>
      <c r="P583" t="s">
        <v>1148</v>
      </c>
      <c r="Q583">
        <v>1</v>
      </c>
      <c r="W583">
        <v>0</v>
      </c>
      <c r="X583">
        <v>145020957</v>
      </c>
      <c r="Y583">
        <v>1.6904999999999999</v>
      </c>
      <c r="AA583">
        <v>0</v>
      </c>
      <c r="AB583">
        <v>0</v>
      </c>
      <c r="AC583">
        <v>0</v>
      </c>
      <c r="AD583">
        <v>64.67</v>
      </c>
      <c r="AE583">
        <v>0</v>
      </c>
      <c r="AF583">
        <v>0</v>
      </c>
      <c r="AG583">
        <v>0</v>
      </c>
      <c r="AH583">
        <v>9.07</v>
      </c>
      <c r="AI583">
        <v>1</v>
      </c>
      <c r="AJ583">
        <v>1</v>
      </c>
      <c r="AK583">
        <v>1</v>
      </c>
      <c r="AL583">
        <v>7.13</v>
      </c>
      <c r="AN583">
        <v>0</v>
      </c>
      <c r="AO583">
        <v>1</v>
      </c>
      <c r="AP583">
        <v>1</v>
      </c>
      <c r="AQ583">
        <v>0</v>
      </c>
      <c r="AR583">
        <v>0</v>
      </c>
      <c r="AS583" t="s">
        <v>6</v>
      </c>
      <c r="AT583">
        <v>1.47</v>
      </c>
      <c r="AU583" t="s">
        <v>82</v>
      </c>
      <c r="AV583">
        <v>1</v>
      </c>
      <c r="AW583">
        <v>2</v>
      </c>
      <c r="AX583">
        <v>16632434</v>
      </c>
      <c r="AY583">
        <v>1</v>
      </c>
      <c r="AZ583">
        <v>0</v>
      </c>
      <c r="BA583">
        <v>565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Y583*Source!I269</f>
        <v>81.143999999999991</v>
      </c>
      <c r="CY583">
        <f>AD583</f>
        <v>64.67</v>
      </c>
      <c r="CZ583">
        <f>AH583</f>
        <v>9.07</v>
      </c>
      <c r="DA583">
        <f>AL583</f>
        <v>7.13</v>
      </c>
      <c r="DB583">
        <f>ROUND((ROUND(AT583*CZ583,2)*1.15),2)</f>
        <v>15.33</v>
      </c>
      <c r="DC583">
        <f>ROUND((ROUND(AT583*AG583,2)*1.15),2)</f>
        <v>0</v>
      </c>
    </row>
    <row r="584" spans="1:107" x14ac:dyDescent="0.2">
      <c r="A584">
        <f>ROW(Source!A269)</f>
        <v>269</v>
      </c>
      <c r="B584">
        <v>16630606</v>
      </c>
      <c r="C584">
        <v>16632423</v>
      </c>
      <c r="D584">
        <v>15430395</v>
      </c>
      <c r="E584">
        <v>1</v>
      </c>
      <c r="F584">
        <v>1</v>
      </c>
      <c r="G584">
        <v>1</v>
      </c>
      <c r="H584">
        <v>1</v>
      </c>
      <c r="I584" t="s">
        <v>1149</v>
      </c>
      <c r="J584" t="s">
        <v>6</v>
      </c>
      <c r="K584" t="s">
        <v>1150</v>
      </c>
      <c r="L584">
        <v>1191</v>
      </c>
      <c r="N584">
        <v>1013</v>
      </c>
      <c r="O584" t="s">
        <v>1148</v>
      </c>
      <c r="P584" t="s">
        <v>1148</v>
      </c>
      <c r="Q584">
        <v>1</v>
      </c>
      <c r="W584">
        <v>0</v>
      </c>
      <c r="X584">
        <v>-1417349443</v>
      </c>
      <c r="Y584">
        <v>0.01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1</v>
      </c>
      <c r="AJ584">
        <v>1</v>
      </c>
      <c r="AK584">
        <v>7.13</v>
      </c>
      <c r="AL584">
        <v>1</v>
      </c>
      <c r="AN584">
        <v>0</v>
      </c>
      <c r="AO584">
        <v>1</v>
      </c>
      <c r="AP584">
        <v>0</v>
      </c>
      <c r="AQ584">
        <v>0</v>
      </c>
      <c r="AR584">
        <v>0</v>
      </c>
      <c r="AS584" t="s">
        <v>6</v>
      </c>
      <c r="AT584">
        <v>0.01</v>
      </c>
      <c r="AU584" t="s">
        <v>6</v>
      </c>
      <c r="AV584">
        <v>2</v>
      </c>
      <c r="AW584">
        <v>2</v>
      </c>
      <c r="AX584">
        <v>16632435</v>
      </c>
      <c r="AY584">
        <v>1</v>
      </c>
      <c r="AZ584">
        <v>2048</v>
      </c>
      <c r="BA584">
        <v>566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Y584*Source!I269</f>
        <v>0.48</v>
      </c>
      <c r="CY584">
        <f>AD584</f>
        <v>0</v>
      </c>
      <c r="CZ584">
        <f>AH584</f>
        <v>0</v>
      </c>
      <c r="DA584">
        <f>AL584</f>
        <v>1</v>
      </c>
      <c r="DB584">
        <f>ROUND(ROUND(AT584*CZ584,2),2)</f>
        <v>0</v>
      </c>
      <c r="DC584">
        <f>ROUND(ROUND(AT584*AG584,2),2)</f>
        <v>0</v>
      </c>
    </row>
    <row r="585" spans="1:107" x14ac:dyDescent="0.2">
      <c r="A585">
        <f>ROW(Source!A269)</f>
        <v>269</v>
      </c>
      <c r="B585">
        <v>16630606</v>
      </c>
      <c r="C585">
        <v>16632423</v>
      </c>
      <c r="D585">
        <v>15249073</v>
      </c>
      <c r="E585">
        <v>1</v>
      </c>
      <c r="F585">
        <v>1</v>
      </c>
      <c r="G585">
        <v>1</v>
      </c>
      <c r="H585">
        <v>2</v>
      </c>
      <c r="I585" t="s">
        <v>1157</v>
      </c>
      <c r="J585" t="s">
        <v>1158</v>
      </c>
      <c r="K585" t="s">
        <v>1159</v>
      </c>
      <c r="L585">
        <v>1368</v>
      </c>
      <c r="N585">
        <v>1011</v>
      </c>
      <c r="O585" t="s">
        <v>1154</v>
      </c>
      <c r="P585" t="s">
        <v>1154</v>
      </c>
      <c r="Q585">
        <v>1</v>
      </c>
      <c r="W585">
        <v>0</v>
      </c>
      <c r="X585">
        <v>1372534845</v>
      </c>
      <c r="Y585">
        <v>1.2500000000000001E-2</v>
      </c>
      <c r="AA585">
        <v>0</v>
      </c>
      <c r="AB585">
        <v>468.51</v>
      </c>
      <c r="AC585">
        <v>11.6</v>
      </c>
      <c r="AD585">
        <v>0</v>
      </c>
      <c r="AE585">
        <v>0</v>
      </c>
      <c r="AF585">
        <v>65.709999999999994</v>
      </c>
      <c r="AG585">
        <v>11.6</v>
      </c>
      <c r="AH585">
        <v>0</v>
      </c>
      <c r="AI585">
        <v>1</v>
      </c>
      <c r="AJ585">
        <v>7.13</v>
      </c>
      <c r="AK585">
        <v>1</v>
      </c>
      <c r="AL585">
        <v>1</v>
      </c>
      <c r="AN585">
        <v>0</v>
      </c>
      <c r="AO585">
        <v>1</v>
      </c>
      <c r="AP585">
        <v>1</v>
      </c>
      <c r="AQ585">
        <v>0</v>
      </c>
      <c r="AR585">
        <v>0</v>
      </c>
      <c r="AS585" t="s">
        <v>6</v>
      </c>
      <c r="AT585">
        <v>0.01</v>
      </c>
      <c r="AU585" t="s">
        <v>81</v>
      </c>
      <c r="AV585">
        <v>0</v>
      </c>
      <c r="AW585">
        <v>2</v>
      </c>
      <c r="AX585">
        <v>16632436</v>
      </c>
      <c r="AY585">
        <v>1</v>
      </c>
      <c r="AZ585">
        <v>0</v>
      </c>
      <c r="BA585">
        <v>567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Y585*Source!I269</f>
        <v>0.60000000000000009</v>
      </c>
      <c r="CY585">
        <f>AB585</f>
        <v>468.51</v>
      </c>
      <c r="CZ585">
        <f>AF585</f>
        <v>65.709999999999994</v>
      </c>
      <c r="DA585">
        <f>AJ585</f>
        <v>7.13</v>
      </c>
      <c r="DB585">
        <f>ROUND((ROUND(AT585*CZ585,2)*1.25),2)</f>
        <v>0.83</v>
      </c>
      <c r="DC585">
        <f>ROUND((ROUND(AT585*AG585,2)*1.25),2)</f>
        <v>0.15</v>
      </c>
    </row>
    <row r="586" spans="1:107" x14ac:dyDescent="0.2">
      <c r="A586">
        <f>ROW(Source!A269)</f>
        <v>269</v>
      </c>
      <c r="B586">
        <v>16630606</v>
      </c>
      <c r="C586">
        <v>16632423</v>
      </c>
      <c r="D586">
        <v>15249377</v>
      </c>
      <c r="E586">
        <v>1</v>
      </c>
      <c r="F586">
        <v>1</v>
      </c>
      <c r="G586">
        <v>1</v>
      </c>
      <c r="H586">
        <v>2</v>
      </c>
      <c r="I586" t="s">
        <v>1222</v>
      </c>
      <c r="J586" t="s">
        <v>1223</v>
      </c>
      <c r="K586" t="s">
        <v>1224</v>
      </c>
      <c r="L586">
        <v>1368</v>
      </c>
      <c r="N586">
        <v>1011</v>
      </c>
      <c r="O586" t="s">
        <v>1154</v>
      </c>
      <c r="P586" t="s">
        <v>1154</v>
      </c>
      <c r="Q586">
        <v>1</v>
      </c>
      <c r="W586">
        <v>0</v>
      </c>
      <c r="X586">
        <v>-353815937</v>
      </c>
      <c r="Y586">
        <v>0.4375</v>
      </c>
      <c r="AA586">
        <v>0</v>
      </c>
      <c r="AB586">
        <v>57.75</v>
      </c>
      <c r="AC586">
        <v>0</v>
      </c>
      <c r="AD586">
        <v>0</v>
      </c>
      <c r="AE586">
        <v>0</v>
      </c>
      <c r="AF586">
        <v>8.1</v>
      </c>
      <c r="AG586">
        <v>0</v>
      </c>
      <c r="AH586">
        <v>0</v>
      </c>
      <c r="AI586">
        <v>1</v>
      </c>
      <c r="AJ586">
        <v>7.13</v>
      </c>
      <c r="AK586">
        <v>1</v>
      </c>
      <c r="AL586">
        <v>1</v>
      </c>
      <c r="AN586">
        <v>0</v>
      </c>
      <c r="AO586">
        <v>1</v>
      </c>
      <c r="AP586">
        <v>1</v>
      </c>
      <c r="AQ586">
        <v>0</v>
      </c>
      <c r="AR586">
        <v>0</v>
      </c>
      <c r="AS586" t="s">
        <v>6</v>
      </c>
      <c r="AT586">
        <v>0.35</v>
      </c>
      <c r="AU586" t="s">
        <v>81</v>
      </c>
      <c r="AV586">
        <v>0</v>
      </c>
      <c r="AW586">
        <v>2</v>
      </c>
      <c r="AX586">
        <v>16632437</v>
      </c>
      <c r="AY586">
        <v>1</v>
      </c>
      <c r="AZ586">
        <v>0</v>
      </c>
      <c r="BA586">
        <v>568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Y586*Source!I269</f>
        <v>21</v>
      </c>
      <c r="CY586">
        <f>AB586</f>
        <v>57.75</v>
      </c>
      <c r="CZ586">
        <f>AF586</f>
        <v>8.1</v>
      </c>
      <c r="DA586">
        <f>AJ586</f>
        <v>7.13</v>
      </c>
      <c r="DB586">
        <f>ROUND((ROUND(AT586*CZ586,2)*1.25),2)</f>
        <v>3.55</v>
      </c>
      <c r="DC586">
        <f>ROUND((ROUND(AT586*AG586,2)*1.25),2)</f>
        <v>0</v>
      </c>
    </row>
    <row r="587" spans="1:107" x14ac:dyDescent="0.2">
      <c r="A587">
        <f>ROW(Source!A269)</f>
        <v>269</v>
      </c>
      <c r="B587">
        <v>16630606</v>
      </c>
      <c r="C587">
        <v>16632423</v>
      </c>
      <c r="D587">
        <v>15165267</v>
      </c>
      <c r="E587">
        <v>1</v>
      </c>
      <c r="F587">
        <v>1</v>
      </c>
      <c r="G587">
        <v>1</v>
      </c>
      <c r="H587">
        <v>3</v>
      </c>
      <c r="I587" t="s">
        <v>1557</v>
      </c>
      <c r="J587" t="s">
        <v>1558</v>
      </c>
      <c r="K587" t="s">
        <v>1559</v>
      </c>
      <c r="L587">
        <v>1356</v>
      </c>
      <c r="N587">
        <v>1010</v>
      </c>
      <c r="O587" t="s">
        <v>278</v>
      </c>
      <c r="P587" t="s">
        <v>278</v>
      </c>
      <c r="Q587">
        <v>1000</v>
      </c>
      <c r="W587">
        <v>0</v>
      </c>
      <c r="X587">
        <v>-1705143825</v>
      </c>
      <c r="Y587">
        <v>2E-3</v>
      </c>
      <c r="AA587">
        <v>24598.5</v>
      </c>
      <c r="AB587">
        <v>0</v>
      </c>
      <c r="AC587">
        <v>0</v>
      </c>
      <c r="AD587">
        <v>0</v>
      </c>
      <c r="AE587">
        <v>3450</v>
      </c>
      <c r="AF587">
        <v>0</v>
      </c>
      <c r="AG587">
        <v>0</v>
      </c>
      <c r="AH587">
        <v>0</v>
      </c>
      <c r="AI587">
        <v>7.13</v>
      </c>
      <c r="AJ587">
        <v>1</v>
      </c>
      <c r="AK587">
        <v>1</v>
      </c>
      <c r="AL587">
        <v>1</v>
      </c>
      <c r="AN587">
        <v>0</v>
      </c>
      <c r="AO587">
        <v>1</v>
      </c>
      <c r="AP587">
        <v>0</v>
      </c>
      <c r="AQ587">
        <v>0</v>
      </c>
      <c r="AR587">
        <v>0</v>
      </c>
      <c r="AS587" t="s">
        <v>6</v>
      </c>
      <c r="AT587">
        <v>2E-3</v>
      </c>
      <c r="AU587" t="s">
        <v>6</v>
      </c>
      <c r="AV587">
        <v>0</v>
      </c>
      <c r="AW587">
        <v>2</v>
      </c>
      <c r="AX587">
        <v>16632438</v>
      </c>
      <c r="AY587">
        <v>1</v>
      </c>
      <c r="AZ587">
        <v>0</v>
      </c>
      <c r="BA587">
        <v>569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Y587*Source!I269</f>
        <v>9.6000000000000002E-2</v>
      </c>
      <c r="CY587">
        <f t="shared" ref="CY587:CY592" si="103">AA587</f>
        <v>24598.5</v>
      </c>
      <c r="CZ587">
        <f t="shared" ref="CZ587:CZ592" si="104">AE587</f>
        <v>3450</v>
      </c>
      <c r="DA587">
        <f t="shared" ref="DA587:DA592" si="105">AI587</f>
        <v>7.13</v>
      </c>
      <c r="DB587">
        <f t="shared" ref="DB587:DB592" si="106">ROUND(ROUND(AT587*CZ587,2),2)</f>
        <v>6.9</v>
      </c>
      <c r="DC587">
        <f t="shared" ref="DC587:DC592" si="107">ROUND(ROUND(AT587*AG587,2),2)</f>
        <v>0</v>
      </c>
    </row>
    <row r="588" spans="1:107" x14ac:dyDescent="0.2">
      <c r="A588">
        <f>ROW(Source!A269)</f>
        <v>269</v>
      </c>
      <c r="B588">
        <v>16630606</v>
      </c>
      <c r="C588">
        <v>16632423</v>
      </c>
      <c r="D588">
        <v>15168763</v>
      </c>
      <c r="E588">
        <v>1</v>
      </c>
      <c r="F588">
        <v>1</v>
      </c>
      <c r="G588">
        <v>1</v>
      </c>
      <c r="H588">
        <v>3</v>
      </c>
      <c r="I588" t="s">
        <v>1560</v>
      </c>
      <c r="J588" t="s">
        <v>1561</v>
      </c>
      <c r="K588" t="s">
        <v>1562</v>
      </c>
      <c r="L588">
        <v>1348</v>
      </c>
      <c r="N588">
        <v>1009</v>
      </c>
      <c r="O588" t="s">
        <v>98</v>
      </c>
      <c r="P588" t="s">
        <v>98</v>
      </c>
      <c r="Q588">
        <v>1000</v>
      </c>
      <c r="W588">
        <v>0</v>
      </c>
      <c r="X588">
        <v>-1068056325</v>
      </c>
      <c r="Y588">
        <v>1.3999999999999999E-4</v>
      </c>
      <c r="AA588">
        <v>73881.06</v>
      </c>
      <c r="AB588">
        <v>0</v>
      </c>
      <c r="AC588">
        <v>0</v>
      </c>
      <c r="AD588">
        <v>0</v>
      </c>
      <c r="AE588">
        <v>10362</v>
      </c>
      <c r="AF588">
        <v>0</v>
      </c>
      <c r="AG588">
        <v>0</v>
      </c>
      <c r="AH588">
        <v>0</v>
      </c>
      <c r="AI588">
        <v>7.13</v>
      </c>
      <c r="AJ588">
        <v>1</v>
      </c>
      <c r="AK588">
        <v>1</v>
      </c>
      <c r="AL588">
        <v>1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6</v>
      </c>
      <c r="AT588">
        <v>1.3999999999999999E-4</v>
      </c>
      <c r="AU588" t="s">
        <v>6</v>
      </c>
      <c r="AV588">
        <v>0</v>
      </c>
      <c r="AW588">
        <v>2</v>
      </c>
      <c r="AX588">
        <v>16632439</v>
      </c>
      <c r="AY588">
        <v>1</v>
      </c>
      <c r="AZ588">
        <v>0</v>
      </c>
      <c r="BA588">
        <v>570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Y588*Source!I269</f>
        <v>6.7199999999999994E-3</v>
      </c>
      <c r="CY588">
        <f t="shared" si="103"/>
        <v>73881.06</v>
      </c>
      <c r="CZ588">
        <f t="shared" si="104"/>
        <v>10362</v>
      </c>
      <c r="DA588">
        <f t="shared" si="105"/>
        <v>7.13</v>
      </c>
      <c r="DB588">
        <f t="shared" si="106"/>
        <v>1.45</v>
      </c>
      <c r="DC588">
        <f t="shared" si="107"/>
        <v>0</v>
      </c>
    </row>
    <row r="589" spans="1:107" x14ac:dyDescent="0.2">
      <c r="A589">
        <f>ROW(Source!A269)</f>
        <v>269</v>
      </c>
      <c r="B589">
        <v>16630606</v>
      </c>
      <c r="C589">
        <v>16632423</v>
      </c>
      <c r="D589">
        <v>15169923</v>
      </c>
      <c r="E589">
        <v>1</v>
      </c>
      <c r="F589">
        <v>1</v>
      </c>
      <c r="G589">
        <v>1</v>
      </c>
      <c r="H589">
        <v>3</v>
      </c>
      <c r="I589" t="s">
        <v>1563</v>
      </c>
      <c r="J589" t="s">
        <v>1564</v>
      </c>
      <c r="K589" t="s">
        <v>1565</v>
      </c>
      <c r="L589">
        <v>1348</v>
      </c>
      <c r="N589">
        <v>1009</v>
      </c>
      <c r="O589" t="s">
        <v>98</v>
      </c>
      <c r="P589" t="s">
        <v>98</v>
      </c>
      <c r="Q589">
        <v>1000</v>
      </c>
      <c r="W589">
        <v>0</v>
      </c>
      <c r="X589">
        <v>56621460</v>
      </c>
      <c r="Y589">
        <v>1.1000000000000001E-3</v>
      </c>
      <c r="AA589">
        <v>109252.99</v>
      </c>
      <c r="AB589">
        <v>0</v>
      </c>
      <c r="AC589">
        <v>0</v>
      </c>
      <c r="AD589">
        <v>0</v>
      </c>
      <c r="AE589">
        <v>15323</v>
      </c>
      <c r="AF589">
        <v>0</v>
      </c>
      <c r="AG589">
        <v>0</v>
      </c>
      <c r="AH589">
        <v>0</v>
      </c>
      <c r="AI589">
        <v>7.13</v>
      </c>
      <c r="AJ589">
        <v>1</v>
      </c>
      <c r="AK589">
        <v>1</v>
      </c>
      <c r="AL589">
        <v>1</v>
      </c>
      <c r="AN589">
        <v>0</v>
      </c>
      <c r="AO589">
        <v>1</v>
      </c>
      <c r="AP589">
        <v>0</v>
      </c>
      <c r="AQ589">
        <v>0</v>
      </c>
      <c r="AR589">
        <v>0</v>
      </c>
      <c r="AS589" t="s">
        <v>6</v>
      </c>
      <c r="AT589">
        <v>1.1000000000000001E-3</v>
      </c>
      <c r="AU589" t="s">
        <v>6</v>
      </c>
      <c r="AV589">
        <v>0</v>
      </c>
      <c r="AW589">
        <v>2</v>
      </c>
      <c r="AX589">
        <v>16632440</v>
      </c>
      <c r="AY589">
        <v>1</v>
      </c>
      <c r="AZ589">
        <v>0</v>
      </c>
      <c r="BA589">
        <v>571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Y589*Source!I269</f>
        <v>5.28E-2</v>
      </c>
      <c r="CY589">
        <f t="shared" si="103"/>
        <v>109252.99</v>
      </c>
      <c r="CZ589">
        <f t="shared" si="104"/>
        <v>15323</v>
      </c>
      <c r="DA589">
        <f t="shared" si="105"/>
        <v>7.13</v>
      </c>
      <c r="DB589">
        <f t="shared" si="106"/>
        <v>16.86</v>
      </c>
      <c r="DC589">
        <f t="shared" si="107"/>
        <v>0</v>
      </c>
    </row>
    <row r="590" spans="1:107" x14ac:dyDescent="0.2">
      <c r="A590">
        <f>ROW(Source!A269)</f>
        <v>269</v>
      </c>
      <c r="B590">
        <v>16630606</v>
      </c>
      <c r="C590">
        <v>16632423</v>
      </c>
      <c r="D590">
        <v>15210745</v>
      </c>
      <c r="E590">
        <v>1</v>
      </c>
      <c r="F590">
        <v>1</v>
      </c>
      <c r="G590">
        <v>1</v>
      </c>
      <c r="H590">
        <v>3</v>
      </c>
      <c r="I590" t="s">
        <v>801</v>
      </c>
      <c r="J590" t="s">
        <v>803</v>
      </c>
      <c r="K590" t="s">
        <v>802</v>
      </c>
      <c r="L590">
        <v>1354</v>
      </c>
      <c r="N590">
        <v>1010</v>
      </c>
      <c r="O590" t="s">
        <v>132</v>
      </c>
      <c r="P590" t="s">
        <v>132</v>
      </c>
      <c r="Q590">
        <v>1</v>
      </c>
      <c r="W590">
        <v>0</v>
      </c>
      <c r="X590">
        <v>-568885430</v>
      </c>
      <c r="Y590">
        <v>0.66666700000000001</v>
      </c>
      <c r="AA590">
        <v>2501.77</v>
      </c>
      <c r="AB590">
        <v>0</v>
      </c>
      <c r="AC590">
        <v>0</v>
      </c>
      <c r="AD590">
        <v>0</v>
      </c>
      <c r="AE590">
        <v>350.88</v>
      </c>
      <c r="AF590">
        <v>0</v>
      </c>
      <c r="AG590">
        <v>0</v>
      </c>
      <c r="AH590">
        <v>0</v>
      </c>
      <c r="AI590">
        <v>7.13</v>
      </c>
      <c r="AJ590">
        <v>1</v>
      </c>
      <c r="AK590">
        <v>1</v>
      </c>
      <c r="AL590">
        <v>1</v>
      </c>
      <c r="AN590">
        <v>0</v>
      </c>
      <c r="AO590">
        <v>0</v>
      </c>
      <c r="AP590">
        <v>0</v>
      </c>
      <c r="AQ590">
        <v>0</v>
      </c>
      <c r="AR590">
        <v>0</v>
      </c>
      <c r="AS590" t="s">
        <v>6</v>
      </c>
      <c r="AT590">
        <v>0.66666700000000001</v>
      </c>
      <c r="AU590" t="s">
        <v>6</v>
      </c>
      <c r="AV590">
        <v>0</v>
      </c>
      <c r="AW590">
        <v>1</v>
      </c>
      <c r="AX590">
        <v>-1</v>
      </c>
      <c r="AY590">
        <v>0</v>
      </c>
      <c r="AZ590">
        <v>0</v>
      </c>
      <c r="BA590" t="s">
        <v>6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Y590*Source!I269</f>
        <v>32.000016000000002</v>
      </c>
      <c r="CY590">
        <f t="shared" si="103"/>
        <v>2501.77</v>
      </c>
      <c r="CZ590">
        <f t="shared" si="104"/>
        <v>350.88</v>
      </c>
      <c r="DA590">
        <f t="shared" si="105"/>
        <v>7.13</v>
      </c>
      <c r="DB590">
        <f t="shared" si="106"/>
        <v>233.92</v>
      </c>
      <c r="DC590">
        <f t="shared" si="107"/>
        <v>0</v>
      </c>
    </row>
    <row r="591" spans="1:107" x14ac:dyDescent="0.2">
      <c r="A591">
        <f>ROW(Source!A269)</f>
        <v>269</v>
      </c>
      <c r="B591">
        <v>16630606</v>
      </c>
      <c r="C591">
        <v>16632423</v>
      </c>
      <c r="D591">
        <v>15211253</v>
      </c>
      <c r="E591">
        <v>1</v>
      </c>
      <c r="F591">
        <v>1</v>
      </c>
      <c r="G591">
        <v>1</v>
      </c>
      <c r="H591">
        <v>3</v>
      </c>
      <c r="I591" t="s">
        <v>805</v>
      </c>
      <c r="J591" t="s">
        <v>807</v>
      </c>
      <c r="K591" t="s">
        <v>806</v>
      </c>
      <c r="L591">
        <v>1354</v>
      </c>
      <c r="N591">
        <v>1010</v>
      </c>
      <c r="O591" t="s">
        <v>132</v>
      </c>
      <c r="P591" t="s">
        <v>132</v>
      </c>
      <c r="Q591">
        <v>1</v>
      </c>
      <c r="W591">
        <v>0</v>
      </c>
      <c r="X591">
        <v>-1303595031</v>
      </c>
      <c r="Y591">
        <v>0.33333299999999999</v>
      </c>
      <c r="AA591">
        <v>1022.66</v>
      </c>
      <c r="AB591">
        <v>0</v>
      </c>
      <c r="AC591">
        <v>0</v>
      </c>
      <c r="AD591">
        <v>0</v>
      </c>
      <c r="AE591">
        <v>143.43</v>
      </c>
      <c r="AF591">
        <v>0</v>
      </c>
      <c r="AG591">
        <v>0</v>
      </c>
      <c r="AH591">
        <v>0</v>
      </c>
      <c r="AI591">
        <v>7.13</v>
      </c>
      <c r="AJ591">
        <v>1</v>
      </c>
      <c r="AK591">
        <v>1</v>
      </c>
      <c r="AL591">
        <v>1</v>
      </c>
      <c r="AN591">
        <v>0</v>
      </c>
      <c r="AO591">
        <v>0</v>
      </c>
      <c r="AP591">
        <v>0</v>
      </c>
      <c r="AQ591">
        <v>0</v>
      </c>
      <c r="AR591">
        <v>0</v>
      </c>
      <c r="AS591" t="s">
        <v>6</v>
      </c>
      <c r="AT591">
        <v>0.33333299999999999</v>
      </c>
      <c r="AU591" t="s">
        <v>6</v>
      </c>
      <c r="AV591">
        <v>0</v>
      </c>
      <c r="AW591">
        <v>1</v>
      </c>
      <c r="AX591">
        <v>-1</v>
      </c>
      <c r="AY591">
        <v>0</v>
      </c>
      <c r="AZ591">
        <v>0</v>
      </c>
      <c r="BA591" t="s">
        <v>6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Y591*Source!I269</f>
        <v>15.999984</v>
      </c>
      <c r="CY591">
        <f t="shared" si="103"/>
        <v>1022.66</v>
      </c>
      <c r="CZ591">
        <f t="shared" si="104"/>
        <v>143.43</v>
      </c>
      <c r="DA591">
        <f t="shared" si="105"/>
        <v>7.13</v>
      </c>
      <c r="DB591">
        <f t="shared" si="106"/>
        <v>47.81</v>
      </c>
      <c r="DC591">
        <f t="shared" si="107"/>
        <v>0</v>
      </c>
    </row>
    <row r="592" spans="1:107" x14ac:dyDescent="0.2">
      <c r="A592">
        <f>ROW(Source!A269)</f>
        <v>269</v>
      </c>
      <c r="B592">
        <v>16630606</v>
      </c>
      <c r="C592">
        <v>16632423</v>
      </c>
      <c r="D592">
        <v>15213448</v>
      </c>
      <c r="E592">
        <v>1</v>
      </c>
      <c r="F592">
        <v>1</v>
      </c>
      <c r="G592">
        <v>1</v>
      </c>
      <c r="H592">
        <v>3</v>
      </c>
      <c r="I592" t="s">
        <v>809</v>
      </c>
      <c r="J592" t="s">
        <v>811</v>
      </c>
      <c r="K592" t="s">
        <v>810</v>
      </c>
      <c r="L592">
        <v>1354</v>
      </c>
      <c r="N592">
        <v>1010</v>
      </c>
      <c r="O592" t="s">
        <v>132</v>
      </c>
      <c r="P592" t="s">
        <v>132</v>
      </c>
      <c r="Q592">
        <v>1</v>
      </c>
      <c r="W592">
        <v>0</v>
      </c>
      <c r="X592">
        <v>-2133425999</v>
      </c>
      <c r="Y592">
        <v>0.33333299999999999</v>
      </c>
      <c r="AA592">
        <v>919.34</v>
      </c>
      <c r="AB592">
        <v>0</v>
      </c>
      <c r="AC592">
        <v>0</v>
      </c>
      <c r="AD592">
        <v>0</v>
      </c>
      <c r="AE592">
        <v>128.94</v>
      </c>
      <c r="AF592">
        <v>0</v>
      </c>
      <c r="AG592">
        <v>0</v>
      </c>
      <c r="AH592">
        <v>0</v>
      </c>
      <c r="AI592">
        <v>7.13</v>
      </c>
      <c r="AJ592">
        <v>1</v>
      </c>
      <c r="AK592">
        <v>1</v>
      </c>
      <c r="AL592">
        <v>1</v>
      </c>
      <c r="AN592">
        <v>0</v>
      </c>
      <c r="AO592">
        <v>0</v>
      </c>
      <c r="AP592">
        <v>0</v>
      </c>
      <c r="AQ592">
        <v>0</v>
      </c>
      <c r="AR592">
        <v>0</v>
      </c>
      <c r="AS592" t="s">
        <v>6</v>
      </c>
      <c r="AT592">
        <v>0.33333299999999999</v>
      </c>
      <c r="AU592" t="s">
        <v>6</v>
      </c>
      <c r="AV592">
        <v>0</v>
      </c>
      <c r="AW592">
        <v>1</v>
      </c>
      <c r="AX592">
        <v>-1</v>
      </c>
      <c r="AY592">
        <v>0</v>
      </c>
      <c r="AZ592">
        <v>0</v>
      </c>
      <c r="BA592" t="s">
        <v>6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Y592*Source!I269</f>
        <v>15.999984</v>
      </c>
      <c r="CY592">
        <f t="shared" si="103"/>
        <v>919.34</v>
      </c>
      <c r="CZ592">
        <f t="shared" si="104"/>
        <v>128.94</v>
      </c>
      <c r="DA592">
        <f t="shared" si="105"/>
        <v>7.13</v>
      </c>
      <c r="DB592">
        <f t="shared" si="106"/>
        <v>42.98</v>
      </c>
      <c r="DC592">
        <f t="shared" si="107"/>
        <v>0</v>
      </c>
    </row>
    <row r="593" spans="1:107" x14ac:dyDescent="0.2">
      <c r="A593">
        <f>ROW(Source!A273)</f>
        <v>273</v>
      </c>
      <c r="B593">
        <v>16630606</v>
      </c>
      <c r="C593">
        <v>16632446</v>
      </c>
      <c r="D593">
        <v>15435721</v>
      </c>
      <c r="E593">
        <v>1</v>
      </c>
      <c r="F593">
        <v>1</v>
      </c>
      <c r="G593">
        <v>1</v>
      </c>
      <c r="H593">
        <v>1</v>
      </c>
      <c r="I593" t="s">
        <v>1311</v>
      </c>
      <c r="J593" t="s">
        <v>6</v>
      </c>
      <c r="K593" t="s">
        <v>1312</v>
      </c>
      <c r="L593">
        <v>1191</v>
      </c>
      <c r="N593">
        <v>1013</v>
      </c>
      <c r="O593" t="s">
        <v>1148</v>
      </c>
      <c r="P593" t="s">
        <v>1148</v>
      </c>
      <c r="Q593">
        <v>1</v>
      </c>
      <c r="W593">
        <v>0</v>
      </c>
      <c r="X593">
        <v>1983201532</v>
      </c>
      <c r="Y593">
        <v>1.9089999999999998</v>
      </c>
      <c r="AA593">
        <v>0</v>
      </c>
      <c r="AB593">
        <v>0</v>
      </c>
      <c r="AC593">
        <v>0</v>
      </c>
      <c r="AD593">
        <v>67.81</v>
      </c>
      <c r="AE593">
        <v>0</v>
      </c>
      <c r="AF593">
        <v>0</v>
      </c>
      <c r="AG593">
        <v>0</v>
      </c>
      <c r="AH593">
        <v>9.51</v>
      </c>
      <c r="AI593">
        <v>1</v>
      </c>
      <c r="AJ593">
        <v>1</v>
      </c>
      <c r="AK593">
        <v>1</v>
      </c>
      <c r="AL593">
        <v>7.13</v>
      </c>
      <c r="AN593">
        <v>0</v>
      </c>
      <c r="AO593">
        <v>1</v>
      </c>
      <c r="AP593">
        <v>1</v>
      </c>
      <c r="AQ593">
        <v>0</v>
      </c>
      <c r="AR593">
        <v>0</v>
      </c>
      <c r="AS593" t="s">
        <v>6</v>
      </c>
      <c r="AT593">
        <v>1.66</v>
      </c>
      <c r="AU593" t="s">
        <v>82</v>
      </c>
      <c r="AV593">
        <v>1</v>
      </c>
      <c r="AW593">
        <v>2</v>
      </c>
      <c r="AX593">
        <v>16632456</v>
      </c>
      <c r="AY593">
        <v>1</v>
      </c>
      <c r="AZ593">
        <v>0</v>
      </c>
      <c r="BA593">
        <v>574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Y593*Source!I273</f>
        <v>30.543999999999997</v>
      </c>
      <c r="CY593">
        <f>AD593</f>
        <v>67.81</v>
      </c>
      <c r="CZ593">
        <f>AH593</f>
        <v>9.51</v>
      </c>
      <c r="DA593">
        <f>AL593</f>
        <v>7.13</v>
      </c>
      <c r="DB593">
        <f>ROUND((ROUND(AT593*CZ593,2)*1.15),2)</f>
        <v>18.16</v>
      </c>
      <c r="DC593">
        <f>ROUND((ROUND(AT593*AG593,2)*1.15),2)</f>
        <v>0</v>
      </c>
    </row>
    <row r="594" spans="1:107" x14ac:dyDescent="0.2">
      <c r="A594">
        <f>ROW(Source!A273)</f>
        <v>273</v>
      </c>
      <c r="B594">
        <v>16630606</v>
      </c>
      <c r="C594">
        <v>16632446</v>
      </c>
      <c r="D594">
        <v>15430395</v>
      </c>
      <c r="E594">
        <v>1</v>
      </c>
      <c r="F594">
        <v>1</v>
      </c>
      <c r="G594">
        <v>1</v>
      </c>
      <c r="H594">
        <v>1</v>
      </c>
      <c r="I594" t="s">
        <v>1149</v>
      </c>
      <c r="J594" t="s">
        <v>6</v>
      </c>
      <c r="K594" t="s">
        <v>1150</v>
      </c>
      <c r="L594">
        <v>1191</v>
      </c>
      <c r="N594">
        <v>1013</v>
      </c>
      <c r="O594" t="s">
        <v>1148</v>
      </c>
      <c r="P594" t="s">
        <v>1148</v>
      </c>
      <c r="Q594">
        <v>1</v>
      </c>
      <c r="W594">
        <v>0</v>
      </c>
      <c r="X594">
        <v>-1417349443</v>
      </c>
      <c r="Y594">
        <v>0.09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1</v>
      </c>
      <c r="AJ594">
        <v>1</v>
      </c>
      <c r="AK594">
        <v>7.13</v>
      </c>
      <c r="AL594">
        <v>1</v>
      </c>
      <c r="AN594">
        <v>0</v>
      </c>
      <c r="AO594">
        <v>1</v>
      </c>
      <c r="AP594">
        <v>0</v>
      </c>
      <c r="AQ594">
        <v>0</v>
      </c>
      <c r="AR594">
        <v>0</v>
      </c>
      <c r="AS594" t="s">
        <v>6</v>
      </c>
      <c r="AT594">
        <v>0.09</v>
      </c>
      <c r="AU594" t="s">
        <v>6</v>
      </c>
      <c r="AV594">
        <v>2</v>
      </c>
      <c r="AW594">
        <v>2</v>
      </c>
      <c r="AX594">
        <v>16632457</v>
      </c>
      <c r="AY594">
        <v>1</v>
      </c>
      <c r="AZ594">
        <v>2048</v>
      </c>
      <c r="BA594">
        <v>575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Y594*Source!I273</f>
        <v>1.44</v>
      </c>
      <c r="CY594">
        <f>AD594</f>
        <v>0</v>
      </c>
      <c r="CZ594">
        <f>AH594</f>
        <v>0</v>
      </c>
      <c r="DA594">
        <f>AL594</f>
        <v>1</v>
      </c>
      <c r="DB594">
        <f>ROUND(ROUND(AT594*CZ594,2),2)</f>
        <v>0</v>
      </c>
      <c r="DC594">
        <f>ROUND(ROUND(AT594*AG594,2),2)</f>
        <v>0</v>
      </c>
    </row>
    <row r="595" spans="1:107" x14ac:dyDescent="0.2">
      <c r="A595">
        <f>ROW(Source!A273)</f>
        <v>273</v>
      </c>
      <c r="B595">
        <v>16630606</v>
      </c>
      <c r="C595">
        <v>16632446</v>
      </c>
      <c r="D595">
        <v>15247680</v>
      </c>
      <c r="E595">
        <v>1</v>
      </c>
      <c r="F595">
        <v>1</v>
      </c>
      <c r="G595">
        <v>1</v>
      </c>
      <c r="H595">
        <v>2</v>
      </c>
      <c r="I595" t="s">
        <v>1419</v>
      </c>
      <c r="J595" t="s">
        <v>1420</v>
      </c>
      <c r="K595" t="s">
        <v>1421</v>
      </c>
      <c r="L595">
        <v>1368</v>
      </c>
      <c r="N595">
        <v>1011</v>
      </c>
      <c r="O595" t="s">
        <v>1154</v>
      </c>
      <c r="P595" t="s">
        <v>1154</v>
      </c>
      <c r="Q595">
        <v>1</v>
      </c>
      <c r="W595">
        <v>0</v>
      </c>
      <c r="X595">
        <v>-1718674368</v>
      </c>
      <c r="Y595">
        <v>2.5000000000000001E-2</v>
      </c>
      <c r="AA595">
        <v>0</v>
      </c>
      <c r="AB595">
        <v>798.49</v>
      </c>
      <c r="AC595">
        <v>13.5</v>
      </c>
      <c r="AD595">
        <v>0</v>
      </c>
      <c r="AE595">
        <v>0</v>
      </c>
      <c r="AF595">
        <v>111.99</v>
      </c>
      <c r="AG595">
        <v>13.5</v>
      </c>
      <c r="AH595">
        <v>0</v>
      </c>
      <c r="AI595">
        <v>1</v>
      </c>
      <c r="AJ595">
        <v>7.13</v>
      </c>
      <c r="AK595">
        <v>1</v>
      </c>
      <c r="AL595">
        <v>1</v>
      </c>
      <c r="AN595">
        <v>0</v>
      </c>
      <c r="AO595">
        <v>1</v>
      </c>
      <c r="AP595">
        <v>1</v>
      </c>
      <c r="AQ595">
        <v>0</v>
      </c>
      <c r="AR595">
        <v>0</v>
      </c>
      <c r="AS595" t="s">
        <v>6</v>
      </c>
      <c r="AT595">
        <v>0.02</v>
      </c>
      <c r="AU595" t="s">
        <v>81</v>
      </c>
      <c r="AV595">
        <v>0</v>
      </c>
      <c r="AW595">
        <v>2</v>
      </c>
      <c r="AX595">
        <v>16632458</v>
      </c>
      <c r="AY595">
        <v>1</v>
      </c>
      <c r="AZ595">
        <v>0</v>
      </c>
      <c r="BA595">
        <v>576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Y595*Source!I273</f>
        <v>0.4</v>
      </c>
      <c r="CY595">
        <f>AB595</f>
        <v>798.49</v>
      </c>
      <c r="CZ595">
        <f>AF595</f>
        <v>111.99</v>
      </c>
      <c r="DA595">
        <f>AJ595</f>
        <v>7.13</v>
      </c>
      <c r="DB595">
        <f>ROUND((ROUND(AT595*CZ595,2)*1.25),2)</f>
        <v>2.8</v>
      </c>
      <c r="DC595">
        <f>ROUND((ROUND(AT595*AG595,2)*1.25),2)</f>
        <v>0.34</v>
      </c>
    </row>
    <row r="596" spans="1:107" x14ac:dyDescent="0.2">
      <c r="A596">
        <f>ROW(Source!A273)</f>
        <v>273</v>
      </c>
      <c r="B596">
        <v>16630606</v>
      </c>
      <c r="C596">
        <v>16632446</v>
      </c>
      <c r="D596">
        <v>15249073</v>
      </c>
      <c r="E596">
        <v>1</v>
      </c>
      <c r="F596">
        <v>1</v>
      </c>
      <c r="G596">
        <v>1</v>
      </c>
      <c r="H596">
        <v>2</v>
      </c>
      <c r="I596" t="s">
        <v>1157</v>
      </c>
      <c r="J596" t="s">
        <v>1158</v>
      </c>
      <c r="K596" t="s">
        <v>1159</v>
      </c>
      <c r="L596">
        <v>1368</v>
      </c>
      <c r="N596">
        <v>1011</v>
      </c>
      <c r="O596" t="s">
        <v>1154</v>
      </c>
      <c r="P596" t="s">
        <v>1154</v>
      </c>
      <c r="Q596">
        <v>1</v>
      </c>
      <c r="W596">
        <v>0</v>
      </c>
      <c r="X596">
        <v>1372534845</v>
      </c>
      <c r="Y596">
        <v>8.7500000000000008E-2</v>
      </c>
      <c r="AA596">
        <v>0</v>
      </c>
      <c r="AB596">
        <v>468.51</v>
      </c>
      <c r="AC596">
        <v>11.6</v>
      </c>
      <c r="AD596">
        <v>0</v>
      </c>
      <c r="AE596">
        <v>0</v>
      </c>
      <c r="AF596">
        <v>65.709999999999994</v>
      </c>
      <c r="AG596">
        <v>11.6</v>
      </c>
      <c r="AH596">
        <v>0</v>
      </c>
      <c r="AI596">
        <v>1</v>
      </c>
      <c r="AJ596">
        <v>7.13</v>
      </c>
      <c r="AK596">
        <v>1</v>
      </c>
      <c r="AL596">
        <v>1</v>
      </c>
      <c r="AN596">
        <v>0</v>
      </c>
      <c r="AO596">
        <v>1</v>
      </c>
      <c r="AP596">
        <v>1</v>
      </c>
      <c r="AQ596">
        <v>0</v>
      </c>
      <c r="AR596">
        <v>0</v>
      </c>
      <c r="AS596" t="s">
        <v>6</v>
      </c>
      <c r="AT596">
        <v>7.0000000000000007E-2</v>
      </c>
      <c r="AU596" t="s">
        <v>81</v>
      </c>
      <c r="AV596">
        <v>0</v>
      </c>
      <c r="AW596">
        <v>2</v>
      </c>
      <c r="AX596">
        <v>16632459</v>
      </c>
      <c r="AY596">
        <v>1</v>
      </c>
      <c r="AZ596">
        <v>0</v>
      </c>
      <c r="BA596">
        <v>577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Y596*Source!I273</f>
        <v>1.4000000000000001</v>
      </c>
      <c r="CY596">
        <f>AB596</f>
        <v>468.51</v>
      </c>
      <c r="CZ596">
        <f>AF596</f>
        <v>65.709999999999994</v>
      </c>
      <c r="DA596">
        <f>AJ596</f>
        <v>7.13</v>
      </c>
      <c r="DB596">
        <f>ROUND((ROUND(AT596*CZ596,2)*1.25),2)</f>
        <v>5.75</v>
      </c>
      <c r="DC596">
        <f>ROUND((ROUND(AT596*AG596,2)*1.25),2)</f>
        <v>1.01</v>
      </c>
    </row>
    <row r="597" spans="1:107" x14ac:dyDescent="0.2">
      <c r="A597">
        <f>ROW(Source!A273)</f>
        <v>273</v>
      </c>
      <c r="B597">
        <v>16630606</v>
      </c>
      <c r="C597">
        <v>16632446</v>
      </c>
      <c r="D597">
        <v>15165268</v>
      </c>
      <c r="E597">
        <v>1</v>
      </c>
      <c r="F597">
        <v>1</v>
      </c>
      <c r="G597">
        <v>1</v>
      </c>
      <c r="H597">
        <v>3</v>
      </c>
      <c r="I597" t="s">
        <v>1566</v>
      </c>
      <c r="J597" t="s">
        <v>1567</v>
      </c>
      <c r="K597" t="s">
        <v>1568</v>
      </c>
      <c r="L597">
        <v>1356</v>
      </c>
      <c r="N597">
        <v>1010</v>
      </c>
      <c r="O597" t="s">
        <v>278</v>
      </c>
      <c r="P597" t="s">
        <v>278</v>
      </c>
      <c r="Q597">
        <v>1000</v>
      </c>
      <c r="W597">
        <v>0</v>
      </c>
      <c r="X597">
        <v>329091235</v>
      </c>
      <c r="Y597">
        <v>1E-3</v>
      </c>
      <c r="AA597">
        <v>40284.5</v>
      </c>
      <c r="AB597">
        <v>0</v>
      </c>
      <c r="AC597">
        <v>0</v>
      </c>
      <c r="AD597">
        <v>0</v>
      </c>
      <c r="AE597">
        <v>5650</v>
      </c>
      <c r="AF597">
        <v>0</v>
      </c>
      <c r="AG597">
        <v>0</v>
      </c>
      <c r="AH597">
        <v>0</v>
      </c>
      <c r="AI597">
        <v>7.13</v>
      </c>
      <c r="AJ597">
        <v>1</v>
      </c>
      <c r="AK597">
        <v>1</v>
      </c>
      <c r="AL597">
        <v>1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6</v>
      </c>
      <c r="AT597">
        <v>1E-3</v>
      </c>
      <c r="AU597" t="s">
        <v>6</v>
      </c>
      <c r="AV597">
        <v>0</v>
      </c>
      <c r="AW597">
        <v>2</v>
      </c>
      <c r="AX597">
        <v>16632460</v>
      </c>
      <c r="AY597">
        <v>1</v>
      </c>
      <c r="AZ597">
        <v>0</v>
      </c>
      <c r="BA597">
        <v>578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Y597*Source!I273</f>
        <v>1.6E-2</v>
      </c>
      <c r="CY597">
        <f>AA597</f>
        <v>40284.5</v>
      </c>
      <c r="CZ597">
        <f>AE597</f>
        <v>5650</v>
      </c>
      <c r="DA597">
        <f>AI597</f>
        <v>7.13</v>
      </c>
      <c r="DB597">
        <f>ROUND(ROUND(AT597*CZ597,2),2)</f>
        <v>5.65</v>
      </c>
      <c r="DC597">
        <f>ROUND(ROUND(AT597*AG597,2),2)</f>
        <v>0</v>
      </c>
    </row>
    <row r="598" spans="1:107" x14ac:dyDescent="0.2">
      <c r="A598">
        <f>ROW(Source!A273)</f>
        <v>273</v>
      </c>
      <c r="B598">
        <v>16630606</v>
      </c>
      <c r="C598">
        <v>16632446</v>
      </c>
      <c r="D598">
        <v>15167963</v>
      </c>
      <c r="E598">
        <v>1</v>
      </c>
      <c r="F598">
        <v>1</v>
      </c>
      <c r="G598">
        <v>1</v>
      </c>
      <c r="H598">
        <v>3</v>
      </c>
      <c r="I598" t="s">
        <v>1533</v>
      </c>
      <c r="J598" t="s">
        <v>1534</v>
      </c>
      <c r="K598" t="s">
        <v>1535</v>
      </c>
      <c r="L598">
        <v>1346</v>
      </c>
      <c r="N598">
        <v>1009</v>
      </c>
      <c r="O598" t="s">
        <v>102</v>
      </c>
      <c r="P598" t="s">
        <v>102</v>
      </c>
      <c r="Q598">
        <v>1</v>
      </c>
      <c r="W598">
        <v>0</v>
      </c>
      <c r="X598">
        <v>-490687590</v>
      </c>
      <c r="Y598">
        <v>0.04</v>
      </c>
      <c r="AA598">
        <v>265.88</v>
      </c>
      <c r="AB598">
        <v>0</v>
      </c>
      <c r="AC598">
        <v>0</v>
      </c>
      <c r="AD598">
        <v>0</v>
      </c>
      <c r="AE598">
        <v>37.29</v>
      </c>
      <c r="AF598">
        <v>0</v>
      </c>
      <c r="AG598">
        <v>0</v>
      </c>
      <c r="AH598">
        <v>0</v>
      </c>
      <c r="AI598">
        <v>7.13</v>
      </c>
      <c r="AJ598">
        <v>1</v>
      </c>
      <c r="AK598">
        <v>1</v>
      </c>
      <c r="AL598">
        <v>1</v>
      </c>
      <c r="AN598">
        <v>0</v>
      </c>
      <c r="AO598">
        <v>1</v>
      </c>
      <c r="AP598">
        <v>0</v>
      </c>
      <c r="AQ598">
        <v>0</v>
      </c>
      <c r="AR598">
        <v>0</v>
      </c>
      <c r="AS598" t="s">
        <v>6</v>
      </c>
      <c r="AT598">
        <v>0.04</v>
      </c>
      <c r="AU598" t="s">
        <v>6</v>
      </c>
      <c r="AV598">
        <v>0</v>
      </c>
      <c r="AW598">
        <v>2</v>
      </c>
      <c r="AX598">
        <v>16632461</v>
      </c>
      <c r="AY598">
        <v>1</v>
      </c>
      <c r="AZ598">
        <v>0</v>
      </c>
      <c r="BA598">
        <v>579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Y598*Source!I273</f>
        <v>0.64</v>
      </c>
      <c r="CY598">
        <f>AA598</f>
        <v>265.88</v>
      </c>
      <c r="CZ598">
        <f>AE598</f>
        <v>37.29</v>
      </c>
      <c r="DA598">
        <f>AI598</f>
        <v>7.13</v>
      </c>
      <c r="DB598">
        <f>ROUND(ROUND(AT598*CZ598,2),2)</f>
        <v>1.49</v>
      </c>
      <c r="DC598">
        <f>ROUND(ROUND(AT598*AG598,2),2)</f>
        <v>0</v>
      </c>
    </row>
    <row r="599" spans="1:107" x14ac:dyDescent="0.2">
      <c r="A599">
        <f>ROW(Source!A273)</f>
        <v>273</v>
      </c>
      <c r="B599">
        <v>16630606</v>
      </c>
      <c r="C599">
        <v>16632446</v>
      </c>
      <c r="D599">
        <v>15203740</v>
      </c>
      <c r="E599">
        <v>1</v>
      </c>
      <c r="F599">
        <v>1</v>
      </c>
      <c r="G599">
        <v>1</v>
      </c>
      <c r="H599">
        <v>3</v>
      </c>
      <c r="I599" t="s">
        <v>1542</v>
      </c>
      <c r="J599" t="s">
        <v>1543</v>
      </c>
      <c r="K599" t="s">
        <v>1544</v>
      </c>
      <c r="L599">
        <v>1348</v>
      </c>
      <c r="N599">
        <v>1009</v>
      </c>
      <c r="O599" t="s">
        <v>98</v>
      </c>
      <c r="P599" t="s">
        <v>98</v>
      </c>
      <c r="Q599">
        <v>1000</v>
      </c>
      <c r="W599">
        <v>0</v>
      </c>
      <c r="X599">
        <v>570223526</v>
      </c>
      <c r="Y599">
        <v>6.9999999999999994E-5</v>
      </c>
      <c r="AA599">
        <v>107798.47</v>
      </c>
      <c r="AB599">
        <v>0</v>
      </c>
      <c r="AC599">
        <v>0</v>
      </c>
      <c r="AD599">
        <v>0</v>
      </c>
      <c r="AE599">
        <v>15119</v>
      </c>
      <c r="AF599">
        <v>0</v>
      </c>
      <c r="AG599">
        <v>0</v>
      </c>
      <c r="AH599">
        <v>0</v>
      </c>
      <c r="AI599">
        <v>7.13</v>
      </c>
      <c r="AJ599">
        <v>1</v>
      </c>
      <c r="AK599">
        <v>1</v>
      </c>
      <c r="AL599">
        <v>1</v>
      </c>
      <c r="AN599">
        <v>0</v>
      </c>
      <c r="AO599">
        <v>1</v>
      </c>
      <c r="AP599">
        <v>0</v>
      </c>
      <c r="AQ599">
        <v>0</v>
      </c>
      <c r="AR599">
        <v>0</v>
      </c>
      <c r="AS599" t="s">
        <v>6</v>
      </c>
      <c r="AT599">
        <v>6.9999999999999994E-5</v>
      </c>
      <c r="AU599" t="s">
        <v>6</v>
      </c>
      <c r="AV599">
        <v>0</v>
      </c>
      <c r="AW599">
        <v>2</v>
      </c>
      <c r="AX599">
        <v>16632462</v>
      </c>
      <c r="AY599">
        <v>1</v>
      </c>
      <c r="AZ599">
        <v>0</v>
      </c>
      <c r="BA599">
        <v>580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Y599*Source!I273</f>
        <v>1.1199999999999999E-3</v>
      </c>
      <c r="CY599">
        <f>AA599</f>
        <v>107798.47</v>
      </c>
      <c r="CZ599">
        <f>AE599</f>
        <v>15119</v>
      </c>
      <c r="DA599">
        <f>AI599</f>
        <v>7.13</v>
      </c>
      <c r="DB599">
        <f>ROUND(ROUND(AT599*CZ599,2),2)</f>
        <v>1.06</v>
      </c>
      <c r="DC599">
        <f>ROUND(ROUND(AT599*AG599,2),2)</f>
        <v>0</v>
      </c>
    </row>
    <row r="600" spans="1:107" x14ac:dyDescent="0.2">
      <c r="A600">
        <f>ROW(Source!A273)</f>
        <v>273</v>
      </c>
      <c r="B600">
        <v>16630606</v>
      </c>
      <c r="C600">
        <v>16632446</v>
      </c>
      <c r="D600">
        <v>15204468</v>
      </c>
      <c r="E600">
        <v>1</v>
      </c>
      <c r="F600">
        <v>1</v>
      </c>
      <c r="G600">
        <v>1</v>
      </c>
      <c r="H600">
        <v>3</v>
      </c>
      <c r="I600" t="s">
        <v>1545</v>
      </c>
      <c r="J600" t="s">
        <v>1546</v>
      </c>
      <c r="K600" t="s">
        <v>1547</v>
      </c>
      <c r="L600">
        <v>1348</v>
      </c>
      <c r="N600">
        <v>1009</v>
      </c>
      <c r="O600" t="s">
        <v>98</v>
      </c>
      <c r="P600" t="s">
        <v>98</v>
      </c>
      <c r="Q600">
        <v>1000</v>
      </c>
      <c r="W600">
        <v>0</v>
      </c>
      <c r="X600">
        <v>-909021926</v>
      </c>
      <c r="Y600">
        <v>4.0000000000000003E-5</v>
      </c>
      <c r="AA600">
        <v>120853.5</v>
      </c>
      <c r="AB600">
        <v>0</v>
      </c>
      <c r="AC600">
        <v>0</v>
      </c>
      <c r="AD600">
        <v>0</v>
      </c>
      <c r="AE600">
        <v>16950</v>
      </c>
      <c r="AF600">
        <v>0</v>
      </c>
      <c r="AG600">
        <v>0</v>
      </c>
      <c r="AH600">
        <v>0</v>
      </c>
      <c r="AI600">
        <v>7.13</v>
      </c>
      <c r="AJ600">
        <v>1</v>
      </c>
      <c r="AK600">
        <v>1</v>
      </c>
      <c r="AL600">
        <v>1</v>
      </c>
      <c r="AN600">
        <v>0</v>
      </c>
      <c r="AO600">
        <v>1</v>
      </c>
      <c r="AP600">
        <v>0</v>
      </c>
      <c r="AQ600">
        <v>0</v>
      </c>
      <c r="AR600">
        <v>0</v>
      </c>
      <c r="AS600" t="s">
        <v>6</v>
      </c>
      <c r="AT600">
        <v>4.0000000000000003E-5</v>
      </c>
      <c r="AU600" t="s">
        <v>6</v>
      </c>
      <c r="AV600">
        <v>0</v>
      </c>
      <c r="AW600">
        <v>2</v>
      </c>
      <c r="AX600">
        <v>16632463</v>
      </c>
      <c r="AY600">
        <v>1</v>
      </c>
      <c r="AZ600">
        <v>0</v>
      </c>
      <c r="BA600">
        <v>581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Y600*Source!I273</f>
        <v>6.4000000000000005E-4</v>
      </c>
      <c r="CY600">
        <f>AA600</f>
        <v>120853.5</v>
      </c>
      <c r="CZ600">
        <f>AE600</f>
        <v>16950</v>
      </c>
      <c r="DA600">
        <f>AI600</f>
        <v>7.13</v>
      </c>
      <c r="DB600">
        <f>ROUND(ROUND(AT600*CZ600,2),2)</f>
        <v>0.68</v>
      </c>
      <c r="DC600">
        <f>ROUND(ROUND(AT600*AG600,2),2)</f>
        <v>0</v>
      </c>
    </row>
    <row r="601" spans="1:107" x14ac:dyDescent="0.2">
      <c r="A601">
        <f>ROW(Source!A273)</f>
        <v>273</v>
      </c>
      <c r="B601">
        <v>16630606</v>
      </c>
      <c r="C601">
        <v>16632446</v>
      </c>
      <c r="D601">
        <v>15214131</v>
      </c>
      <c r="E601">
        <v>1</v>
      </c>
      <c r="F601">
        <v>1</v>
      </c>
      <c r="G601">
        <v>1</v>
      </c>
      <c r="H601">
        <v>3</v>
      </c>
      <c r="I601" t="s">
        <v>817</v>
      </c>
      <c r="J601" t="s">
        <v>819</v>
      </c>
      <c r="K601" t="s">
        <v>818</v>
      </c>
      <c r="L601">
        <v>1354</v>
      </c>
      <c r="N601">
        <v>1010</v>
      </c>
      <c r="O601" t="s">
        <v>132</v>
      </c>
      <c r="P601" t="s">
        <v>132</v>
      </c>
      <c r="Q601">
        <v>1</v>
      </c>
      <c r="W601">
        <v>0</v>
      </c>
      <c r="X601">
        <v>450256495</v>
      </c>
      <c r="Y601">
        <v>1</v>
      </c>
      <c r="AA601">
        <v>432.79</v>
      </c>
      <c r="AB601">
        <v>0</v>
      </c>
      <c r="AC601">
        <v>0</v>
      </c>
      <c r="AD601">
        <v>0</v>
      </c>
      <c r="AE601">
        <v>60.7</v>
      </c>
      <c r="AF601">
        <v>0</v>
      </c>
      <c r="AG601">
        <v>0</v>
      </c>
      <c r="AH601">
        <v>0</v>
      </c>
      <c r="AI601">
        <v>7.13</v>
      </c>
      <c r="AJ601">
        <v>1</v>
      </c>
      <c r="AK601">
        <v>1</v>
      </c>
      <c r="AL601">
        <v>1</v>
      </c>
      <c r="AN601">
        <v>0</v>
      </c>
      <c r="AO601">
        <v>0</v>
      </c>
      <c r="AP601">
        <v>0</v>
      </c>
      <c r="AQ601">
        <v>0</v>
      </c>
      <c r="AR601">
        <v>0</v>
      </c>
      <c r="AS601" t="s">
        <v>6</v>
      </c>
      <c r="AT601">
        <v>1</v>
      </c>
      <c r="AU601" t="s">
        <v>6</v>
      </c>
      <c r="AV601">
        <v>0</v>
      </c>
      <c r="AW601">
        <v>1</v>
      </c>
      <c r="AX601">
        <v>-1</v>
      </c>
      <c r="AY601">
        <v>0</v>
      </c>
      <c r="AZ601">
        <v>0</v>
      </c>
      <c r="BA601" t="s">
        <v>6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Y601*Source!I273</f>
        <v>16</v>
      </c>
      <c r="CY601">
        <f>AA601</f>
        <v>432.79</v>
      </c>
      <c r="CZ601">
        <f>AE601</f>
        <v>60.7</v>
      </c>
      <c r="DA601">
        <f>AI601</f>
        <v>7.13</v>
      </c>
      <c r="DB601">
        <f>ROUND(ROUND(AT601*CZ601,2),2)</f>
        <v>60.7</v>
      </c>
      <c r="DC601">
        <f>ROUND(ROUND(AT601*AG601,2),2)</f>
        <v>0</v>
      </c>
    </row>
    <row r="602" spans="1:107" x14ac:dyDescent="0.2">
      <c r="A602">
        <f>ROW(Source!A275)</f>
        <v>275</v>
      </c>
      <c r="B602">
        <v>16630606</v>
      </c>
      <c r="C602">
        <v>16632467</v>
      </c>
      <c r="D602">
        <v>15446300</v>
      </c>
      <c r="E602">
        <v>1</v>
      </c>
      <c r="F602">
        <v>1</v>
      </c>
      <c r="G602">
        <v>1</v>
      </c>
      <c r="H602">
        <v>1</v>
      </c>
      <c r="I602" t="s">
        <v>1220</v>
      </c>
      <c r="J602" t="s">
        <v>6</v>
      </c>
      <c r="K602" t="s">
        <v>1221</v>
      </c>
      <c r="L602">
        <v>1191</v>
      </c>
      <c r="N602">
        <v>1013</v>
      </c>
      <c r="O602" t="s">
        <v>1148</v>
      </c>
      <c r="P602" t="s">
        <v>1148</v>
      </c>
      <c r="Q602">
        <v>1</v>
      </c>
      <c r="W602">
        <v>0</v>
      </c>
      <c r="X602">
        <v>912892513</v>
      </c>
      <c r="Y602">
        <v>5.1289999999999996</v>
      </c>
      <c r="AA602">
        <v>0</v>
      </c>
      <c r="AB602">
        <v>0</v>
      </c>
      <c r="AC602">
        <v>0</v>
      </c>
      <c r="AD602">
        <v>70.73</v>
      </c>
      <c r="AE602">
        <v>0</v>
      </c>
      <c r="AF602">
        <v>0</v>
      </c>
      <c r="AG602">
        <v>0</v>
      </c>
      <c r="AH602">
        <v>9.92</v>
      </c>
      <c r="AI602">
        <v>1</v>
      </c>
      <c r="AJ602">
        <v>1</v>
      </c>
      <c r="AK602">
        <v>1</v>
      </c>
      <c r="AL602">
        <v>7.13</v>
      </c>
      <c r="AN602">
        <v>0</v>
      </c>
      <c r="AO602">
        <v>1</v>
      </c>
      <c r="AP602">
        <v>1</v>
      </c>
      <c r="AQ602">
        <v>0</v>
      </c>
      <c r="AR602">
        <v>0</v>
      </c>
      <c r="AS602" t="s">
        <v>6</v>
      </c>
      <c r="AT602">
        <v>4.46</v>
      </c>
      <c r="AU602" t="s">
        <v>82</v>
      </c>
      <c r="AV602">
        <v>1</v>
      </c>
      <c r="AW602">
        <v>2</v>
      </c>
      <c r="AX602">
        <v>16632477</v>
      </c>
      <c r="AY602">
        <v>1</v>
      </c>
      <c r="AZ602">
        <v>0</v>
      </c>
      <c r="BA602">
        <v>584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Y602*Source!I275</f>
        <v>82.063999999999993</v>
      </c>
      <c r="CY602">
        <f>AD602</f>
        <v>70.73</v>
      </c>
      <c r="CZ602">
        <f>AH602</f>
        <v>9.92</v>
      </c>
      <c r="DA602">
        <f>AL602</f>
        <v>7.13</v>
      </c>
      <c r="DB602">
        <f>ROUND((ROUND(AT602*CZ602,2)*1.15),2)</f>
        <v>50.88</v>
      </c>
      <c r="DC602">
        <f>ROUND((ROUND(AT602*AG602,2)*1.15),2)</f>
        <v>0</v>
      </c>
    </row>
    <row r="603" spans="1:107" x14ac:dyDescent="0.2">
      <c r="A603">
        <f>ROW(Source!A275)</f>
        <v>275</v>
      </c>
      <c r="B603">
        <v>16630606</v>
      </c>
      <c r="C603">
        <v>16632467</v>
      </c>
      <c r="D603">
        <v>15430395</v>
      </c>
      <c r="E603">
        <v>1</v>
      </c>
      <c r="F603">
        <v>1</v>
      </c>
      <c r="G603">
        <v>1</v>
      </c>
      <c r="H603">
        <v>1</v>
      </c>
      <c r="I603" t="s">
        <v>1149</v>
      </c>
      <c r="J603" t="s">
        <v>6</v>
      </c>
      <c r="K603" t="s">
        <v>1150</v>
      </c>
      <c r="L603">
        <v>1191</v>
      </c>
      <c r="N603">
        <v>1013</v>
      </c>
      <c r="O603" t="s">
        <v>1148</v>
      </c>
      <c r="P603" t="s">
        <v>1148</v>
      </c>
      <c r="Q603">
        <v>1</v>
      </c>
      <c r="W603">
        <v>0</v>
      </c>
      <c r="X603">
        <v>-1417349443</v>
      </c>
      <c r="Y603">
        <v>0.01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1</v>
      </c>
      <c r="AJ603">
        <v>1</v>
      </c>
      <c r="AK603">
        <v>7.13</v>
      </c>
      <c r="AL603">
        <v>1</v>
      </c>
      <c r="AN603">
        <v>0</v>
      </c>
      <c r="AO603">
        <v>1</v>
      </c>
      <c r="AP603">
        <v>0</v>
      </c>
      <c r="AQ603">
        <v>0</v>
      </c>
      <c r="AR603">
        <v>0</v>
      </c>
      <c r="AS603" t="s">
        <v>6</v>
      </c>
      <c r="AT603">
        <v>0.01</v>
      </c>
      <c r="AU603" t="s">
        <v>6</v>
      </c>
      <c r="AV603">
        <v>2</v>
      </c>
      <c r="AW603">
        <v>2</v>
      </c>
      <c r="AX603">
        <v>16632478</v>
      </c>
      <c r="AY603">
        <v>1</v>
      </c>
      <c r="AZ603">
        <v>2048</v>
      </c>
      <c r="BA603">
        <v>585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Y603*Source!I275</f>
        <v>0.16</v>
      </c>
      <c r="CY603">
        <f>AD603</f>
        <v>0</v>
      </c>
      <c r="CZ603">
        <f>AH603</f>
        <v>0</v>
      </c>
      <c r="DA603">
        <f>AL603</f>
        <v>1</v>
      </c>
      <c r="DB603">
        <f>ROUND(ROUND(AT603*CZ603,2),2)</f>
        <v>0</v>
      </c>
      <c r="DC603">
        <f>ROUND(ROUND(AT603*AG603,2),2)</f>
        <v>0</v>
      </c>
    </row>
    <row r="604" spans="1:107" x14ac:dyDescent="0.2">
      <c r="A604">
        <f>ROW(Source!A275)</f>
        <v>275</v>
      </c>
      <c r="B604">
        <v>16630606</v>
      </c>
      <c r="C604">
        <v>16632467</v>
      </c>
      <c r="D604">
        <v>15249073</v>
      </c>
      <c r="E604">
        <v>1</v>
      </c>
      <c r="F604">
        <v>1</v>
      </c>
      <c r="G604">
        <v>1</v>
      </c>
      <c r="H604">
        <v>2</v>
      </c>
      <c r="I604" t="s">
        <v>1157</v>
      </c>
      <c r="J604" t="s">
        <v>1158</v>
      </c>
      <c r="K604" t="s">
        <v>1159</v>
      </c>
      <c r="L604">
        <v>1368</v>
      </c>
      <c r="N604">
        <v>1011</v>
      </c>
      <c r="O604" t="s">
        <v>1154</v>
      </c>
      <c r="P604" t="s">
        <v>1154</v>
      </c>
      <c r="Q604">
        <v>1</v>
      </c>
      <c r="W604">
        <v>0</v>
      </c>
      <c r="X604">
        <v>1372534845</v>
      </c>
      <c r="Y604">
        <v>1.2500000000000001E-2</v>
      </c>
      <c r="AA604">
        <v>0</v>
      </c>
      <c r="AB604">
        <v>468.51</v>
      </c>
      <c r="AC604">
        <v>11.6</v>
      </c>
      <c r="AD604">
        <v>0</v>
      </c>
      <c r="AE604">
        <v>0</v>
      </c>
      <c r="AF604">
        <v>65.709999999999994</v>
      </c>
      <c r="AG604">
        <v>11.6</v>
      </c>
      <c r="AH604">
        <v>0</v>
      </c>
      <c r="AI604">
        <v>1</v>
      </c>
      <c r="AJ604">
        <v>7.13</v>
      </c>
      <c r="AK604">
        <v>1</v>
      </c>
      <c r="AL604">
        <v>1</v>
      </c>
      <c r="AN604">
        <v>0</v>
      </c>
      <c r="AO604">
        <v>1</v>
      </c>
      <c r="AP604">
        <v>1</v>
      </c>
      <c r="AQ604">
        <v>0</v>
      </c>
      <c r="AR604">
        <v>0</v>
      </c>
      <c r="AS604" t="s">
        <v>6</v>
      </c>
      <c r="AT604">
        <v>0.01</v>
      </c>
      <c r="AU604" t="s">
        <v>81</v>
      </c>
      <c r="AV604">
        <v>0</v>
      </c>
      <c r="AW604">
        <v>2</v>
      </c>
      <c r="AX604">
        <v>16632479</v>
      </c>
      <c r="AY604">
        <v>1</v>
      </c>
      <c r="AZ604">
        <v>0</v>
      </c>
      <c r="BA604">
        <v>586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Y604*Source!I275</f>
        <v>0.2</v>
      </c>
      <c r="CY604">
        <f>AB604</f>
        <v>468.51</v>
      </c>
      <c r="CZ604">
        <f>AF604</f>
        <v>65.709999999999994</v>
      </c>
      <c r="DA604">
        <f>AJ604</f>
        <v>7.13</v>
      </c>
      <c r="DB604">
        <f>ROUND((ROUND(AT604*CZ604,2)*1.25),2)</f>
        <v>0.83</v>
      </c>
      <c r="DC604">
        <f>ROUND((ROUND(AT604*AG604,2)*1.25),2)</f>
        <v>0.15</v>
      </c>
    </row>
    <row r="605" spans="1:107" x14ac:dyDescent="0.2">
      <c r="A605">
        <f>ROW(Source!A275)</f>
        <v>275</v>
      </c>
      <c r="B605">
        <v>16630606</v>
      </c>
      <c r="C605">
        <v>16632467</v>
      </c>
      <c r="D605">
        <v>15249308</v>
      </c>
      <c r="E605">
        <v>1</v>
      </c>
      <c r="F605">
        <v>1</v>
      </c>
      <c r="G605">
        <v>1</v>
      </c>
      <c r="H605">
        <v>2</v>
      </c>
      <c r="I605" t="s">
        <v>1521</v>
      </c>
      <c r="J605" t="s">
        <v>1522</v>
      </c>
      <c r="K605" t="s">
        <v>1523</v>
      </c>
      <c r="L605">
        <v>1368</v>
      </c>
      <c r="N605">
        <v>1011</v>
      </c>
      <c r="O605" t="s">
        <v>1154</v>
      </c>
      <c r="P605" t="s">
        <v>1154</v>
      </c>
      <c r="Q605">
        <v>1</v>
      </c>
      <c r="W605">
        <v>0</v>
      </c>
      <c r="X605">
        <v>792402865</v>
      </c>
      <c r="Y605">
        <v>0.61250000000000004</v>
      </c>
      <c r="AA605">
        <v>0</v>
      </c>
      <c r="AB605">
        <v>8.56</v>
      </c>
      <c r="AC605">
        <v>0</v>
      </c>
      <c r="AD605">
        <v>0</v>
      </c>
      <c r="AE605">
        <v>0</v>
      </c>
      <c r="AF605">
        <v>1.2</v>
      </c>
      <c r="AG605">
        <v>0</v>
      </c>
      <c r="AH605">
        <v>0</v>
      </c>
      <c r="AI605">
        <v>1</v>
      </c>
      <c r="AJ605">
        <v>7.13</v>
      </c>
      <c r="AK605">
        <v>1</v>
      </c>
      <c r="AL605">
        <v>1</v>
      </c>
      <c r="AN605">
        <v>0</v>
      </c>
      <c r="AO605">
        <v>1</v>
      </c>
      <c r="AP605">
        <v>1</v>
      </c>
      <c r="AQ605">
        <v>0</v>
      </c>
      <c r="AR605">
        <v>0</v>
      </c>
      <c r="AS605" t="s">
        <v>6</v>
      </c>
      <c r="AT605">
        <v>0.49</v>
      </c>
      <c r="AU605" t="s">
        <v>81</v>
      </c>
      <c r="AV605">
        <v>0</v>
      </c>
      <c r="AW605">
        <v>2</v>
      </c>
      <c r="AX605">
        <v>16632480</v>
      </c>
      <c r="AY605">
        <v>1</v>
      </c>
      <c r="AZ605">
        <v>0</v>
      </c>
      <c r="BA605">
        <v>587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Y605*Source!I275</f>
        <v>9.8000000000000007</v>
      </c>
      <c r="CY605">
        <f>AB605</f>
        <v>8.56</v>
      </c>
      <c r="CZ605">
        <f>AF605</f>
        <v>1.2</v>
      </c>
      <c r="DA605">
        <f>AJ605</f>
        <v>7.13</v>
      </c>
      <c r="DB605">
        <f>ROUND((ROUND(AT605*CZ605,2)*1.25),2)</f>
        <v>0.74</v>
      </c>
      <c r="DC605">
        <f>ROUND((ROUND(AT605*AG605,2)*1.25),2)</f>
        <v>0</v>
      </c>
    </row>
    <row r="606" spans="1:107" x14ac:dyDescent="0.2">
      <c r="A606">
        <f>ROW(Source!A275)</f>
        <v>275</v>
      </c>
      <c r="B606">
        <v>16630606</v>
      </c>
      <c r="C606">
        <v>16632467</v>
      </c>
      <c r="D606">
        <v>15249377</v>
      </c>
      <c r="E606">
        <v>1</v>
      </c>
      <c r="F606">
        <v>1</v>
      </c>
      <c r="G606">
        <v>1</v>
      </c>
      <c r="H606">
        <v>2</v>
      </c>
      <c r="I606" t="s">
        <v>1222</v>
      </c>
      <c r="J606" t="s">
        <v>1223</v>
      </c>
      <c r="K606" t="s">
        <v>1224</v>
      </c>
      <c r="L606">
        <v>1368</v>
      </c>
      <c r="N606">
        <v>1011</v>
      </c>
      <c r="O606" t="s">
        <v>1154</v>
      </c>
      <c r="P606" t="s">
        <v>1154</v>
      </c>
      <c r="Q606">
        <v>1</v>
      </c>
      <c r="W606">
        <v>0</v>
      </c>
      <c r="X606">
        <v>-353815937</v>
      </c>
      <c r="Y606">
        <v>0.53749999999999998</v>
      </c>
      <c r="AA606">
        <v>0</v>
      </c>
      <c r="AB606">
        <v>57.75</v>
      </c>
      <c r="AC606">
        <v>0</v>
      </c>
      <c r="AD606">
        <v>0</v>
      </c>
      <c r="AE606">
        <v>0</v>
      </c>
      <c r="AF606">
        <v>8.1</v>
      </c>
      <c r="AG606">
        <v>0</v>
      </c>
      <c r="AH606">
        <v>0</v>
      </c>
      <c r="AI606">
        <v>1</v>
      </c>
      <c r="AJ606">
        <v>7.13</v>
      </c>
      <c r="AK606">
        <v>1</v>
      </c>
      <c r="AL606">
        <v>1</v>
      </c>
      <c r="AN606">
        <v>0</v>
      </c>
      <c r="AO606">
        <v>1</v>
      </c>
      <c r="AP606">
        <v>1</v>
      </c>
      <c r="AQ606">
        <v>0</v>
      </c>
      <c r="AR606">
        <v>0</v>
      </c>
      <c r="AS606" t="s">
        <v>6</v>
      </c>
      <c r="AT606">
        <v>0.43</v>
      </c>
      <c r="AU606" t="s">
        <v>81</v>
      </c>
      <c r="AV606">
        <v>0</v>
      </c>
      <c r="AW606">
        <v>2</v>
      </c>
      <c r="AX606">
        <v>16632481</v>
      </c>
      <c r="AY606">
        <v>1</v>
      </c>
      <c r="AZ606">
        <v>0</v>
      </c>
      <c r="BA606">
        <v>588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Y606*Source!I275</f>
        <v>8.6</v>
      </c>
      <c r="CY606">
        <f>AB606</f>
        <v>57.75</v>
      </c>
      <c r="CZ606">
        <f>AF606</f>
        <v>8.1</v>
      </c>
      <c r="DA606">
        <f>AJ606</f>
        <v>7.13</v>
      </c>
      <c r="DB606">
        <f>ROUND((ROUND(AT606*CZ606,2)*1.25),2)</f>
        <v>4.3499999999999996</v>
      </c>
      <c r="DC606">
        <f>ROUND((ROUND(AT606*AG606,2)*1.25),2)</f>
        <v>0</v>
      </c>
    </row>
    <row r="607" spans="1:107" x14ac:dyDescent="0.2">
      <c r="A607">
        <f>ROW(Source!A275)</f>
        <v>275</v>
      </c>
      <c r="B607">
        <v>16630606</v>
      </c>
      <c r="C607">
        <v>16632467</v>
      </c>
      <c r="D607">
        <v>15165634</v>
      </c>
      <c r="E607">
        <v>1</v>
      </c>
      <c r="F607">
        <v>1</v>
      </c>
      <c r="G607">
        <v>1</v>
      </c>
      <c r="H607">
        <v>3</v>
      </c>
      <c r="I607" t="s">
        <v>1524</v>
      </c>
      <c r="J607" t="s">
        <v>1525</v>
      </c>
      <c r="K607" t="s">
        <v>1526</v>
      </c>
      <c r="L607">
        <v>1339</v>
      </c>
      <c r="N607">
        <v>1007</v>
      </c>
      <c r="O607" t="s">
        <v>203</v>
      </c>
      <c r="P607" t="s">
        <v>203</v>
      </c>
      <c r="Q607">
        <v>1</v>
      </c>
      <c r="W607">
        <v>0</v>
      </c>
      <c r="X607">
        <v>1706747518</v>
      </c>
      <c r="Y607">
        <v>8.3999999999999995E-3</v>
      </c>
      <c r="AA607">
        <v>274.58</v>
      </c>
      <c r="AB607">
        <v>0</v>
      </c>
      <c r="AC607">
        <v>0</v>
      </c>
      <c r="AD607">
        <v>0</v>
      </c>
      <c r="AE607">
        <v>38.51</v>
      </c>
      <c r="AF607">
        <v>0</v>
      </c>
      <c r="AG607">
        <v>0</v>
      </c>
      <c r="AH607">
        <v>0</v>
      </c>
      <c r="AI607">
        <v>7.13</v>
      </c>
      <c r="AJ607">
        <v>1</v>
      </c>
      <c r="AK607">
        <v>1</v>
      </c>
      <c r="AL607">
        <v>1</v>
      </c>
      <c r="AN607">
        <v>0</v>
      </c>
      <c r="AO607">
        <v>1</v>
      </c>
      <c r="AP607">
        <v>0</v>
      </c>
      <c r="AQ607">
        <v>0</v>
      </c>
      <c r="AR607">
        <v>0</v>
      </c>
      <c r="AS607" t="s">
        <v>6</v>
      </c>
      <c r="AT607">
        <v>8.3999999999999995E-3</v>
      </c>
      <c r="AU607" t="s">
        <v>6</v>
      </c>
      <c r="AV607">
        <v>0</v>
      </c>
      <c r="AW607">
        <v>2</v>
      </c>
      <c r="AX607">
        <v>16632482</v>
      </c>
      <c r="AY607">
        <v>1</v>
      </c>
      <c r="AZ607">
        <v>0</v>
      </c>
      <c r="BA607">
        <v>589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Y607*Source!I275</f>
        <v>0.13439999999999999</v>
      </c>
      <c r="CY607">
        <f>AA607</f>
        <v>274.58</v>
      </c>
      <c r="CZ607">
        <f>AE607</f>
        <v>38.51</v>
      </c>
      <c r="DA607">
        <f>AI607</f>
        <v>7.13</v>
      </c>
      <c r="DB607">
        <f>ROUND(ROUND(AT607*CZ607,2),2)</f>
        <v>0.32</v>
      </c>
      <c r="DC607">
        <f>ROUND(ROUND(AT607*AG607,2),2)</f>
        <v>0</v>
      </c>
    </row>
    <row r="608" spans="1:107" x14ac:dyDescent="0.2">
      <c r="A608">
        <f>ROW(Source!A275)</f>
        <v>275</v>
      </c>
      <c r="B608">
        <v>16630606</v>
      </c>
      <c r="C608">
        <v>16632467</v>
      </c>
      <c r="D608">
        <v>15165653</v>
      </c>
      <c r="E608">
        <v>1</v>
      </c>
      <c r="F608">
        <v>1</v>
      </c>
      <c r="G608">
        <v>1</v>
      </c>
      <c r="H608">
        <v>3</v>
      </c>
      <c r="I608" t="s">
        <v>1527</v>
      </c>
      <c r="J608" t="s">
        <v>1528</v>
      </c>
      <c r="K608" t="s">
        <v>1529</v>
      </c>
      <c r="L608">
        <v>1339</v>
      </c>
      <c r="N608">
        <v>1007</v>
      </c>
      <c r="O608" t="s">
        <v>203</v>
      </c>
      <c r="P608" t="s">
        <v>203</v>
      </c>
      <c r="Q608">
        <v>1</v>
      </c>
      <c r="W608">
        <v>0</v>
      </c>
      <c r="X608">
        <v>1262771840</v>
      </c>
      <c r="Y608">
        <v>3.6999999999999998E-2</v>
      </c>
      <c r="AA608">
        <v>44.35</v>
      </c>
      <c r="AB608">
        <v>0</v>
      </c>
      <c r="AC608">
        <v>0</v>
      </c>
      <c r="AD608">
        <v>0</v>
      </c>
      <c r="AE608">
        <v>6.22</v>
      </c>
      <c r="AF608">
        <v>0</v>
      </c>
      <c r="AG608">
        <v>0</v>
      </c>
      <c r="AH608">
        <v>0</v>
      </c>
      <c r="AI608">
        <v>7.13</v>
      </c>
      <c r="AJ608">
        <v>1</v>
      </c>
      <c r="AK608">
        <v>1</v>
      </c>
      <c r="AL608">
        <v>1</v>
      </c>
      <c r="AN608">
        <v>0</v>
      </c>
      <c r="AO608">
        <v>1</v>
      </c>
      <c r="AP608">
        <v>0</v>
      </c>
      <c r="AQ608">
        <v>0</v>
      </c>
      <c r="AR608">
        <v>0</v>
      </c>
      <c r="AS608" t="s">
        <v>6</v>
      </c>
      <c r="AT608">
        <v>3.6999999999999998E-2</v>
      </c>
      <c r="AU608" t="s">
        <v>6</v>
      </c>
      <c r="AV608">
        <v>0</v>
      </c>
      <c r="AW608">
        <v>2</v>
      </c>
      <c r="AX608">
        <v>16632483</v>
      </c>
      <c r="AY608">
        <v>1</v>
      </c>
      <c r="AZ608">
        <v>0</v>
      </c>
      <c r="BA608">
        <v>590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Y608*Source!I275</f>
        <v>0.59199999999999997</v>
      </c>
      <c r="CY608">
        <f>AA608</f>
        <v>44.35</v>
      </c>
      <c r="CZ608">
        <f>AE608</f>
        <v>6.22</v>
      </c>
      <c r="DA608">
        <f>AI608</f>
        <v>7.13</v>
      </c>
      <c r="DB608">
        <f>ROUND(ROUND(AT608*CZ608,2),2)</f>
        <v>0.23</v>
      </c>
      <c r="DC608">
        <f>ROUND(ROUND(AT608*AG608,2),2)</f>
        <v>0</v>
      </c>
    </row>
    <row r="609" spans="1:107" x14ac:dyDescent="0.2">
      <c r="A609">
        <f>ROW(Source!A275)</f>
        <v>275</v>
      </c>
      <c r="B609">
        <v>16630606</v>
      </c>
      <c r="C609">
        <v>16632467</v>
      </c>
      <c r="D609">
        <v>15168763</v>
      </c>
      <c r="E609">
        <v>1</v>
      </c>
      <c r="F609">
        <v>1</v>
      </c>
      <c r="G609">
        <v>1</v>
      </c>
      <c r="H609">
        <v>3</v>
      </c>
      <c r="I609" t="s">
        <v>1560</v>
      </c>
      <c r="J609" t="s">
        <v>1561</v>
      </c>
      <c r="K609" t="s">
        <v>1562</v>
      </c>
      <c r="L609">
        <v>1348</v>
      </c>
      <c r="N609">
        <v>1009</v>
      </c>
      <c r="O609" t="s">
        <v>98</v>
      </c>
      <c r="P609" t="s">
        <v>98</v>
      </c>
      <c r="Q609">
        <v>1000</v>
      </c>
      <c r="W609">
        <v>0</v>
      </c>
      <c r="X609">
        <v>-1068056325</v>
      </c>
      <c r="Y609">
        <v>1.4999999999999999E-4</v>
      </c>
      <c r="AA609">
        <v>73881.06</v>
      </c>
      <c r="AB609">
        <v>0</v>
      </c>
      <c r="AC609">
        <v>0</v>
      </c>
      <c r="AD609">
        <v>0</v>
      </c>
      <c r="AE609">
        <v>10362</v>
      </c>
      <c r="AF609">
        <v>0</v>
      </c>
      <c r="AG609">
        <v>0</v>
      </c>
      <c r="AH609">
        <v>0</v>
      </c>
      <c r="AI609">
        <v>7.13</v>
      </c>
      <c r="AJ609">
        <v>1</v>
      </c>
      <c r="AK609">
        <v>1</v>
      </c>
      <c r="AL609">
        <v>1</v>
      </c>
      <c r="AN609">
        <v>0</v>
      </c>
      <c r="AO609">
        <v>1</v>
      </c>
      <c r="AP609">
        <v>0</v>
      </c>
      <c r="AQ609">
        <v>0</v>
      </c>
      <c r="AR609">
        <v>0</v>
      </c>
      <c r="AS609" t="s">
        <v>6</v>
      </c>
      <c r="AT609">
        <v>1.4999999999999999E-4</v>
      </c>
      <c r="AU609" t="s">
        <v>6</v>
      </c>
      <c r="AV609">
        <v>0</v>
      </c>
      <c r="AW609">
        <v>2</v>
      </c>
      <c r="AX609">
        <v>16632484</v>
      </c>
      <c r="AY609">
        <v>1</v>
      </c>
      <c r="AZ609">
        <v>0</v>
      </c>
      <c r="BA609">
        <v>591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Y609*Source!I275</f>
        <v>2.3999999999999998E-3</v>
      </c>
      <c r="CY609">
        <f>AA609</f>
        <v>73881.06</v>
      </c>
      <c r="CZ609">
        <f>AE609</f>
        <v>10362</v>
      </c>
      <c r="DA609">
        <f>AI609</f>
        <v>7.13</v>
      </c>
      <c r="DB609">
        <f>ROUND(ROUND(AT609*CZ609,2),2)</f>
        <v>1.55</v>
      </c>
      <c r="DC609">
        <f>ROUND(ROUND(AT609*AG609,2),2)</f>
        <v>0</v>
      </c>
    </row>
    <row r="610" spans="1:107" x14ac:dyDescent="0.2">
      <c r="A610">
        <f>ROW(Source!A275)</f>
        <v>275</v>
      </c>
      <c r="B610">
        <v>16630606</v>
      </c>
      <c r="C610">
        <v>16632467</v>
      </c>
      <c r="D610">
        <v>15227602</v>
      </c>
      <c r="E610">
        <v>1</v>
      </c>
      <c r="F610">
        <v>1</v>
      </c>
      <c r="G610">
        <v>1</v>
      </c>
      <c r="H610">
        <v>3</v>
      </c>
      <c r="I610" t="s">
        <v>1569</v>
      </c>
      <c r="J610" t="s">
        <v>1570</v>
      </c>
      <c r="K610" t="s">
        <v>1571</v>
      </c>
      <c r="L610">
        <v>1301</v>
      </c>
      <c r="N610">
        <v>1003</v>
      </c>
      <c r="O610" t="s">
        <v>150</v>
      </c>
      <c r="P610" t="s">
        <v>150</v>
      </c>
      <c r="Q610">
        <v>1</v>
      </c>
      <c r="W610">
        <v>0</v>
      </c>
      <c r="X610">
        <v>730239627</v>
      </c>
      <c r="Y610">
        <v>0.4</v>
      </c>
      <c r="AA610">
        <v>222.46</v>
      </c>
      <c r="AB610">
        <v>0</v>
      </c>
      <c r="AC610">
        <v>0</v>
      </c>
      <c r="AD610">
        <v>0</v>
      </c>
      <c r="AE610">
        <v>31.2</v>
      </c>
      <c r="AF610">
        <v>0</v>
      </c>
      <c r="AG610">
        <v>0</v>
      </c>
      <c r="AH610">
        <v>0</v>
      </c>
      <c r="AI610">
        <v>7.13</v>
      </c>
      <c r="AJ610">
        <v>1</v>
      </c>
      <c r="AK610">
        <v>1</v>
      </c>
      <c r="AL610">
        <v>1</v>
      </c>
      <c r="AN610">
        <v>0</v>
      </c>
      <c r="AO610">
        <v>1</v>
      </c>
      <c r="AP610">
        <v>0</v>
      </c>
      <c r="AQ610">
        <v>0</v>
      </c>
      <c r="AR610">
        <v>0</v>
      </c>
      <c r="AS610" t="s">
        <v>6</v>
      </c>
      <c r="AT610">
        <v>0.4</v>
      </c>
      <c r="AU610" t="s">
        <v>6</v>
      </c>
      <c r="AV610">
        <v>0</v>
      </c>
      <c r="AW610">
        <v>2</v>
      </c>
      <c r="AX610">
        <v>16632486</v>
      </c>
      <c r="AY610">
        <v>1</v>
      </c>
      <c r="AZ610">
        <v>0</v>
      </c>
      <c r="BA610">
        <v>593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Y610*Source!I275</f>
        <v>6.4</v>
      </c>
      <c r="CY610">
        <f>AA610</f>
        <v>222.46</v>
      </c>
      <c r="CZ610">
        <f>AE610</f>
        <v>31.2</v>
      </c>
      <c r="DA610">
        <f>AI610</f>
        <v>7.13</v>
      </c>
      <c r="DB610">
        <f>ROUND(ROUND(AT610*CZ610,2),2)</f>
        <v>12.48</v>
      </c>
      <c r="DC610">
        <f>ROUND(ROUND(AT610*AG610,2),2)</f>
        <v>0</v>
      </c>
    </row>
    <row r="611" spans="1:107" x14ac:dyDescent="0.2">
      <c r="A611">
        <f>ROW(Source!A276)</f>
        <v>276</v>
      </c>
      <c r="B611">
        <v>16630606</v>
      </c>
      <c r="C611">
        <v>16632487</v>
      </c>
      <c r="D611">
        <v>15478831</v>
      </c>
      <c r="E611">
        <v>1</v>
      </c>
      <c r="F611">
        <v>1</v>
      </c>
      <c r="G611">
        <v>1</v>
      </c>
      <c r="H611">
        <v>1</v>
      </c>
      <c r="I611" t="s">
        <v>1572</v>
      </c>
      <c r="J611" t="s">
        <v>6</v>
      </c>
      <c r="K611" t="s">
        <v>1573</v>
      </c>
      <c r="L611">
        <v>1191</v>
      </c>
      <c r="N611">
        <v>1013</v>
      </c>
      <c r="O611" t="s">
        <v>1148</v>
      </c>
      <c r="P611" t="s">
        <v>1148</v>
      </c>
      <c r="Q611">
        <v>1</v>
      </c>
      <c r="W611">
        <v>0</v>
      </c>
      <c r="X611">
        <v>-1658069037</v>
      </c>
      <c r="Y611">
        <v>5.761499999999999</v>
      </c>
      <c r="AA611">
        <v>0</v>
      </c>
      <c r="AB611">
        <v>0</v>
      </c>
      <c r="AC611">
        <v>0</v>
      </c>
      <c r="AD611">
        <v>82.99</v>
      </c>
      <c r="AE611">
        <v>0</v>
      </c>
      <c r="AF611">
        <v>0</v>
      </c>
      <c r="AG611">
        <v>0</v>
      </c>
      <c r="AH611">
        <v>11.64</v>
      </c>
      <c r="AI611">
        <v>1</v>
      </c>
      <c r="AJ611">
        <v>1</v>
      </c>
      <c r="AK611">
        <v>1</v>
      </c>
      <c r="AL611">
        <v>7.13</v>
      </c>
      <c r="AN611">
        <v>0</v>
      </c>
      <c r="AO611">
        <v>1</v>
      </c>
      <c r="AP611">
        <v>1</v>
      </c>
      <c r="AQ611">
        <v>0</v>
      </c>
      <c r="AR611">
        <v>0</v>
      </c>
      <c r="AS611" t="s">
        <v>6</v>
      </c>
      <c r="AT611">
        <v>5.01</v>
      </c>
      <c r="AU611" t="s">
        <v>82</v>
      </c>
      <c r="AV611">
        <v>1</v>
      </c>
      <c r="AW611">
        <v>2</v>
      </c>
      <c r="AX611">
        <v>16632494</v>
      </c>
      <c r="AY611">
        <v>1</v>
      </c>
      <c r="AZ611">
        <v>0</v>
      </c>
      <c r="BA611">
        <v>594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Y611*Source!I276</f>
        <v>5.7845459999999989</v>
      </c>
      <c r="CY611">
        <f>AD611</f>
        <v>82.99</v>
      </c>
      <c r="CZ611">
        <f>AH611</f>
        <v>11.64</v>
      </c>
      <c r="DA611">
        <f>AL611</f>
        <v>7.13</v>
      </c>
      <c r="DB611">
        <f>ROUND((ROUND(AT611*CZ611,2)*1.15),2)</f>
        <v>67.069999999999993</v>
      </c>
      <c r="DC611">
        <f>ROUND((ROUND(AT611*AG611,2)*1.15),2)</f>
        <v>0</v>
      </c>
    </row>
    <row r="612" spans="1:107" x14ac:dyDescent="0.2">
      <c r="A612">
        <f>ROW(Source!A276)</f>
        <v>276</v>
      </c>
      <c r="B612">
        <v>16630606</v>
      </c>
      <c r="C612">
        <v>16632487</v>
      </c>
      <c r="D612">
        <v>15248793</v>
      </c>
      <c r="E612">
        <v>1</v>
      </c>
      <c r="F612">
        <v>1</v>
      </c>
      <c r="G612">
        <v>1</v>
      </c>
      <c r="H612">
        <v>2</v>
      </c>
      <c r="I612" t="s">
        <v>1548</v>
      </c>
      <c r="J612" t="s">
        <v>1549</v>
      </c>
      <c r="K612" t="s">
        <v>1550</v>
      </c>
      <c r="L612">
        <v>1368</v>
      </c>
      <c r="N612">
        <v>1011</v>
      </c>
      <c r="O612" t="s">
        <v>1154</v>
      </c>
      <c r="P612" t="s">
        <v>1154</v>
      </c>
      <c r="Q612">
        <v>1</v>
      </c>
      <c r="W612">
        <v>0</v>
      </c>
      <c r="X612">
        <v>-1347092713</v>
      </c>
      <c r="Y612">
        <v>1.875</v>
      </c>
      <c r="AA612">
        <v>0</v>
      </c>
      <c r="AB612">
        <v>211.55</v>
      </c>
      <c r="AC612">
        <v>0</v>
      </c>
      <c r="AD612">
        <v>0</v>
      </c>
      <c r="AE612">
        <v>0</v>
      </c>
      <c r="AF612">
        <v>29.67</v>
      </c>
      <c r="AG612">
        <v>0</v>
      </c>
      <c r="AH612">
        <v>0</v>
      </c>
      <c r="AI612">
        <v>1</v>
      </c>
      <c r="AJ612">
        <v>7.13</v>
      </c>
      <c r="AK612">
        <v>1</v>
      </c>
      <c r="AL612">
        <v>1</v>
      </c>
      <c r="AN612">
        <v>0</v>
      </c>
      <c r="AO612">
        <v>1</v>
      </c>
      <c r="AP612">
        <v>1</v>
      </c>
      <c r="AQ612">
        <v>0</v>
      </c>
      <c r="AR612">
        <v>0</v>
      </c>
      <c r="AS612" t="s">
        <v>6</v>
      </c>
      <c r="AT612">
        <v>1.5</v>
      </c>
      <c r="AU612" t="s">
        <v>81</v>
      </c>
      <c r="AV612">
        <v>0</v>
      </c>
      <c r="AW612">
        <v>2</v>
      </c>
      <c r="AX612">
        <v>16632495</v>
      </c>
      <c r="AY612">
        <v>1</v>
      </c>
      <c r="AZ612">
        <v>0</v>
      </c>
      <c r="BA612">
        <v>595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Y612*Source!I276</f>
        <v>1.8825000000000001</v>
      </c>
      <c r="CY612">
        <f>AB612</f>
        <v>211.55</v>
      </c>
      <c r="CZ612">
        <f>AF612</f>
        <v>29.67</v>
      </c>
      <c r="DA612">
        <f>AJ612</f>
        <v>7.13</v>
      </c>
      <c r="DB612">
        <f>ROUND((ROUND(AT612*CZ612,2)*1.25),2)</f>
        <v>55.64</v>
      </c>
      <c r="DC612">
        <f>ROUND((ROUND(AT612*AG612,2)*1.25),2)</f>
        <v>0</v>
      </c>
    </row>
    <row r="613" spans="1:107" x14ac:dyDescent="0.2">
      <c r="A613">
        <f>ROW(Source!A276)</f>
        <v>276</v>
      </c>
      <c r="B613">
        <v>16630606</v>
      </c>
      <c r="C613">
        <v>16632487</v>
      </c>
      <c r="D613">
        <v>15167286</v>
      </c>
      <c r="E613">
        <v>1</v>
      </c>
      <c r="F613">
        <v>1</v>
      </c>
      <c r="G613">
        <v>1</v>
      </c>
      <c r="H613">
        <v>3</v>
      </c>
      <c r="I613" t="s">
        <v>1265</v>
      </c>
      <c r="J613" t="s">
        <v>1266</v>
      </c>
      <c r="K613" t="s">
        <v>1267</v>
      </c>
      <c r="L613">
        <v>1339</v>
      </c>
      <c r="N613">
        <v>1007</v>
      </c>
      <c r="O613" t="s">
        <v>203</v>
      </c>
      <c r="P613" t="s">
        <v>203</v>
      </c>
      <c r="Q613">
        <v>1</v>
      </c>
      <c r="W613">
        <v>0</v>
      </c>
      <c r="X613">
        <v>-1660354250</v>
      </c>
      <c r="Y613">
        <v>1</v>
      </c>
      <c r="AA613">
        <v>17.399999999999999</v>
      </c>
      <c r="AB613">
        <v>0</v>
      </c>
      <c r="AC613">
        <v>0</v>
      </c>
      <c r="AD613">
        <v>0</v>
      </c>
      <c r="AE613">
        <v>2.44</v>
      </c>
      <c r="AF613">
        <v>0</v>
      </c>
      <c r="AG613">
        <v>0</v>
      </c>
      <c r="AH613">
        <v>0</v>
      </c>
      <c r="AI613">
        <v>7.13</v>
      </c>
      <c r="AJ613">
        <v>1</v>
      </c>
      <c r="AK613">
        <v>1</v>
      </c>
      <c r="AL613">
        <v>1</v>
      </c>
      <c r="AN613">
        <v>0</v>
      </c>
      <c r="AO613">
        <v>1</v>
      </c>
      <c r="AP613">
        <v>0</v>
      </c>
      <c r="AQ613">
        <v>0</v>
      </c>
      <c r="AR613">
        <v>0</v>
      </c>
      <c r="AS613" t="s">
        <v>6</v>
      </c>
      <c r="AT613">
        <v>1</v>
      </c>
      <c r="AU613" t="s">
        <v>6</v>
      </c>
      <c r="AV613">
        <v>0</v>
      </c>
      <c r="AW613">
        <v>2</v>
      </c>
      <c r="AX613">
        <v>16632496</v>
      </c>
      <c r="AY613">
        <v>1</v>
      </c>
      <c r="AZ613">
        <v>0</v>
      </c>
      <c r="BA613">
        <v>596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Y613*Source!I276</f>
        <v>1.004</v>
      </c>
      <c r="CY613">
        <f>AA613</f>
        <v>17.399999999999999</v>
      </c>
      <c r="CZ613">
        <f>AE613</f>
        <v>2.44</v>
      </c>
      <c r="DA613">
        <f>AI613</f>
        <v>7.13</v>
      </c>
      <c r="DB613">
        <f>ROUND(ROUND(AT613*CZ613,2),2)</f>
        <v>2.44</v>
      </c>
      <c r="DC613">
        <f>ROUND(ROUND(AT613*AG613,2),2)</f>
        <v>0</v>
      </c>
    </row>
    <row r="614" spans="1:107" x14ac:dyDescent="0.2">
      <c r="A614">
        <f>ROW(Source!A276)</f>
        <v>276</v>
      </c>
      <c r="B614">
        <v>16630606</v>
      </c>
      <c r="C614">
        <v>16632487</v>
      </c>
      <c r="D614">
        <v>15167963</v>
      </c>
      <c r="E614">
        <v>1</v>
      </c>
      <c r="F614">
        <v>1</v>
      </c>
      <c r="G614">
        <v>1</v>
      </c>
      <c r="H614">
        <v>3</v>
      </c>
      <c r="I614" t="s">
        <v>1533</v>
      </c>
      <c r="J614" t="s">
        <v>1534</v>
      </c>
      <c r="K614" t="s">
        <v>1535</v>
      </c>
      <c r="L614">
        <v>1346</v>
      </c>
      <c r="N614">
        <v>1009</v>
      </c>
      <c r="O614" t="s">
        <v>102</v>
      </c>
      <c r="P614" t="s">
        <v>102</v>
      </c>
      <c r="Q614">
        <v>1</v>
      </c>
      <c r="W614">
        <v>0</v>
      </c>
      <c r="X614">
        <v>-490687590</v>
      </c>
      <c r="Y614">
        <v>0.02</v>
      </c>
      <c r="AA614">
        <v>265.88</v>
      </c>
      <c r="AB614">
        <v>0</v>
      </c>
      <c r="AC614">
        <v>0</v>
      </c>
      <c r="AD614">
        <v>0</v>
      </c>
      <c r="AE614">
        <v>37.29</v>
      </c>
      <c r="AF614">
        <v>0</v>
      </c>
      <c r="AG614">
        <v>0</v>
      </c>
      <c r="AH614">
        <v>0</v>
      </c>
      <c r="AI614">
        <v>7.13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6</v>
      </c>
      <c r="AT614">
        <v>0.02</v>
      </c>
      <c r="AU614" t="s">
        <v>6</v>
      </c>
      <c r="AV614">
        <v>0</v>
      </c>
      <c r="AW614">
        <v>2</v>
      </c>
      <c r="AX614">
        <v>16632497</v>
      </c>
      <c r="AY614">
        <v>1</v>
      </c>
      <c r="AZ614">
        <v>0</v>
      </c>
      <c r="BA614">
        <v>597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Y614*Source!I276</f>
        <v>2.0080000000000001E-2</v>
      </c>
      <c r="CY614">
        <f>AA614</f>
        <v>265.88</v>
      </c>
      <c r="CZ614">
        <f>AE614</f>
        <v>37.29</v>
      </c>
      <c r="DA614">
        <f>AI614</f>
        <v>7.13</v>
      </c>
      <c r="DB614">
        <f>ROUND(ROUND(AT614*CZ614,2),2)</f>
        <v>0.75</v>
      </c>
      <c r="DC614">
        <f>ROUND(ROUND(AT614*AG614,2),2)</f>
        <v>0</v>
      </c>
    </row>
    <row r="615" spans="1:107" x14ac:dyDescent="0.2">
      <c r="A615">
        <f>ROW(Source!A276)</f>
        <v>276</v>
      </c>
      <c r="B615">
        <v>16630606</v>
      </c>
      <c r="C615">
        <v>16632487</v>
      </c>
      <c r="D615">
        <v>15203740</v>
      </c>
      <c r="E615">
        <v>1</v>
      </c>
      <c r="F615">
        <v>1</v>
      </c>
      <c r="G615">
        <v>1</v>
      </c>
      <c r="H615">
        <v>3</v>
      </c>
      <c r="I615" t="s">
        <v>1542</v>
      </c>
      <c r="J615" t="s">
        <v>1543</v>
      </c>
      <c r="K615" t="s">
        <v>1544</v>
      </c>
      <c r="L615">
        <v>1348</v>
      </c>
      <c r="N615">
        <v>1009</v>
      </c>
      <c r="O615" t="s">
        <v>98</v>
      </c>
      <c r="P615" t="s">
        <v>98</v>
      </c>
      <c r="Q615">
        <v>1000</v>
      </c>
      <c r="W615">
        <v>0</v>
      </c>
      <c r="X615">
        <v>570223526</v>
      </c>
      <c r="Y615">
        <v>5.0000000000000002E-5</v>
      </c>
      <c r="AA615">
        <v>107798.47</v>
      </c>
      <c r="AB615">
        <v>0</v>
      </c>
      <c r="AC615">
        <v>0</v>
      </c>
      <c r="AD615">
        <v>0</v>
      </c>
      <c r="AE615">
        <v>15119</v>
      </c>
      <c r="AF615">
        <v>0</v>
      </c>
      <c r="AG615">
        <v>0</v>
      </c>
      <c r="AH615">
        <v>0</v>
      </c>
      <c r="AI615">
        <v>7.13</v>
      </c>
      <c r="AJ615">
        <v>1</v>
      </c>
      <c r="AK615">
        <v>1</v>
      </c>
      <c r="AL615">
        <v>1</v>
      </c>
      <c r="AN615">
        <v>0</v>
      </c>
      <c r="AO615">
        <v>1</v>
      </c>
      <c r="AP615">
        <v>0</v>
      </c>
      <c r="AQ615">
        <v>0</v>
      </c>
      <c r="AR615">
        <v>0</v>
      </c>
      <c r="AS615" t="s">
        <v>6</v>
      </c>
      <c r="AT615">
        <v>5.0000000000000002E-5</v>
      </c>
      <c r="AU615" t="s">
        <v>6</v>
      </c>
      <c r="AV615">
        <v>0</v>
      </c>
      <c r="AW615">
        <v>2</v>
      </c>
      <c r="AX615">
        <v>16632498</v>
      </c>
      <c r="AY615">
        <v>1</v>
      </c>
      <c r="AZ615">
        <v>0</v>
      </c>
      <c r="BA615">
        <v>598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Y615*Source!I276</f>
        <v>5.02E-5</v>
      </c>
      <c r="CY615">
        <f>AA615</f>
        <v>107798.47</v>
      </c>
      <c r="CZ615">
        <f>AE615</f>
        <v>15119</v>
      </c>
      <c r="DA615">
        <f>AI615</f>
        <v>7.13</v>
      </c>
      <c r="DB615">
        <f>ROUND(ROUND(AT615*CZ615,2),2)</f>
        <v>0.76</v>
      </c>
      <c r="DC615">
        <f>ROUND(ROUND(AT615*AG615,2),2)</f>
        <v>0</v>
      </c>
    </row>
    <row r="616" spans="1:107" x14ac:dyDescent="0.2">
      <c r="A616">
        <f>ROW(Source!A276)</f>
        <v>276</v>
      </c>
      <c r="B616">
        <v>16630606</v>
      </c>
      <c r="C616">
        <v>16632487</v>
      </c>
      <c r="D616">
        <v>15204468</v>
      </c>
      <c r="E616">
        <v>1</v>
      </c>
      <c r="F616">
        <v>1</v>
      </c>
      <c r="G616">
        <v>1</v>
      </c>
      <c r="H616">
        <v>3</v>
      </c>
      <c r="I616" t="s">
        <v>1545</v>
      </c>
      <c r="J616" t="s">
        <v>1546</v>
      </c>
      <c r="K616" t="s">
        <v>1547</v>
      </c>
      <c r="L616">
        <v>1348</v>
      </c>
      <c r="N616">
        <v>1009</v>
      </c>
      <c r="O616" t="s">
        <v>98</v>
      </c>
      <c r="P616" t="s">
        <v>98</v>
      </c>
      <c r="Q616">
        <v>1000</v>
      </c>
      <c r="W616">
        <v>0</v>
      </c>
      <c r="X616">
        <v>-909021926</v>
      </c>
      <c r="Y616">
        <v>2.0000000000000002E-5</v>
      </c>
      <c r="AA616">
        <v>120853.5</v>
      </c>
      <c r="AB616">
        <v>0</v>
      </c>
      <c r="AC616">
        <v>0</v>
      </c>
      <c r="AD616">
        <v>0</v>
      </c>
      <c r="AE616">
        <v>16950</v>
      </c>
      <c r="AF616">
        <v>0</v>
      </c>
      <c r="AG616">
        <v>0</v>
      </c>
      <c r="AH616">
        <v>0</v>
      </c>
      <c r="AI616">
        <v>7.13</v>
      </c>
      <c r="AJ616">
        <v>1</v>
      </c>
      <c r="AK616">
        <v>1</v>
      </c>
      <c r="AL616">
        <v>1</v>
      </c>
      <c r="AN616">
        <v>0</v>
      </c>
      <c r="AO616">
        <v>1</v>
      </c>
      <c r="AP616">
        <v>0</v>
      </c>
      <c r="AQ616">
        <v>0</v>
      </c>
      <c r="AR616">
        <v>0</v>
      </c>
      <c r="AS616" t="s">
        <v>6</v>
      </c>
      <c r="AT616">
        <v>2.0000000000000002E-5</v>
      </c>
      <c r="AU616" t="s">
        <v>6</v>
      </c>
      <c r="AV616">
        <v>0</v>
      </c>
      <c r="AW616">
        <v>2</v>
      </c>
      <c r="AX616">
        <v>16632499</v>
      </c>
      <c r="AY616">
        <v>1</v>
      </c>
      <c r="AZ616">
        <v>0</v>
      </c>
      <c r="BA616">
        <v>599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Y616*Source!I276</f>
        <v>2.0080000000000001E-5</v>
      </c>
      <c r="CY616">
        <f>AA616</f>
        <v>120853.5</v>
      </c>
      <c r="CZ616">
        <f>AE616</f>
        <v>16950</v>
      </c>
      <c r="DA616">
        <f>AI616</f>
        <v>7.13</v>
      </c>
      <c r="DB616">
        <f>ROUND(ROUND(AT616*CZ616,2),2)</f>
        <v>0.34</v>
      </c>
      <c r="DC616">
        <f>ROUND(ROUND(AT616*AG616,2),2)</f>
        <v>0</v>
      </c>
    </row>
    <row r="617" spans="1:107" x14ac:dyDescent="0.2">
      <c r="A617">
        <f>ROW(Source!A277)</f>
        <v>277</v>
      </c>
      <c r="B617">
        <v>16630606</v>
      </c>
      <c r="C617">
        <v>16632500</v>
      </c>
      <c r="D617">
        <v>15436014</v>
      </c>
      <c r="E617">
        <v>1</v>
      </c>
      <c r="F617">
        <v>1</v>
      </c>
      <c r="G617">
        <v>1</v>
      </c>
      <c r="H617">
        <v>1</v>
      </c>
      <c r="I617" t="s">
        <v>1181</v>
      </c>
      <c r="J617" t="s">
        <v>6</v>
      </c>
      <c r="K617" t="s">
        <v>1182</v>
      </c>
      <c r="L617">
        <v>1191</v>
      </c>
      <c r="N617">
        <v>1013</v>
      </c>
      <c r="O617" t="s">
        <v>1148</v>
      </c>
      <c r="P617" t="s">
        <v>1148</v>
      </c>
      <c r="Q617">
        <v>1</v>
      </c>
      <c r="W617">
        <v>0</v>
      </c>
      <c r="X617">
        <v>-784637506</v>
      </c>
      <c r="Y617">
        <v>193.03899999999999</v>
      </c>
      <c r="AA617">
        <v>0</v>
      </c>
      <c r="AB617">
        <v>0</v>
      </c>
      <c r="AC617">
        <v>0</v>
      </c>
      <c r="AD617">
        <v>62.32</v>
      </c>
      <c r="AE617">
        <v>0</v>
      </c>
      <c r="AF617">
        <v>0</v>
      </c>
      <c r="AG617">
        <v>0</v>
      </c>
      <c r="AH617">
        <v>8.74</v>
      </c>
      <c r="AI617">
        <v>1</v>
      </c>
      <c r="AJ617">
        <v>1</v>
      </c>
      <c r="AK617">
        <v>1</v>
      </c>
      <c r="AL617">
        <v>7.13</v>
      </c>
      <c r="AN617">
        <v>0</v>
      </c>
      <c r="AO617">
        <v>1</v>
      </c>
      <c r="AP617">
        <v>1</v>
      </c>
      <c r="AQ617">
        <v>0</v>
      </c>
      <c r="AR617">
        <v>0</v>
      </c>
      <c r="AS617" t="s">
        <v>6</v>
      </c>
      <c r="AT617">
        <v>167.86</v>
      </c>
      <c r="AU617" t="s">
        <v>82</v>
      </c>
      <c r="AV617">
        <v>1</v>
      </c>
      <c r="AW617">
        <v>2</v>
      </c>
      <c r="AX617">
        <v>16632513</v>
      </c>
      <c r="AY617">
        <v>1</v>
      </c>
      <c r="AZ617">
        <v>0</v>
      </c>
      <c r="BA617">
        <v>600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Y617*Source!I277</f>
        <v>4.0924268000000001</v>
      </c>
      <c r="CY617">
        <f>AD617</f>
        <v>62.32</v>
      </c>
      <c r="CZ617">
        <f>AH617</f>
        <v>8.74</v>
      </c>
      <c r="DA617">
        <f>AL617</f>
        <v>7.13</v>
      </c>
      <c r="DB617">
        <f>ROUND((ROUND(AT617*CZ617,2)*1.15),2)</f>
        <v>1687.17</v>
      </c>
      <c r="DC617">
        <f>ROUND((ROUND(AT617*AG617,2)*1.15),2)</f>
        <v>0</v>
      </c>
    </row>
    <row r="618" spans="1:107" x14ac:dyDescent="0.2">
      <c r="A618">
        <f>ROW(Source!A277)</f>
        <v>277</v>
      </c>
      <c r="B618">
        <v>16630606</v>
      </c>
      <c r="C618">
        <v>16632500</v>
      </c>
      <c r="D618">
        <v>15430395</v>
      </c>
      <c r="E618">
        <v>1</v>
      </c>
      <c r="F618">
        <v>1</v>
      </c>
      <c r="G618">
        <v>1</v>
      </c>
      <c r="H618">
        <v>1</v>
      </c>
      <c r="I618" t="s">
        <v>1149</v>
      </c>
      <c r="J618" t="s">
        <v>6</v>
      </c>
      <c r="K618" t="s">
        <v>1150</v>
      </c>
      <c r="L618">
        <v>1191</v>
      </c>
      <c r="N618">
        <v>1013</v>
      </c>
      <c r="O618" t="s">
        <v>1148</v>
      </c>
      <c r="P618" t="s">
        <v>1148</v>
      </c>
      <c r="Q618">
        <v>1</v>
      </c>
      <c r="W618">
        <v>0</v>
      </c>
      <c r="X618">
        <v>-1417349443</v>
      </c>
      <c r="Y618">
        <v>1.3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1</v>
      </c>
      <c r="AJ618">
        <v>1</v>
      </c>
      <c r="AK618">
        <v>7.13</v>
      </c>
      <c r="AL618">
        <v>1</v>
      </c>
      <c r="AN618">
        <v>0</v>
      </c>
      <c r="AO618">
        <v>1</v>
      </c>
      <c r="AP618">
        <v>0</v>
      </c>
      <c r="AQ618">
        <v>0</v>
      </c>
      <c r="AR618">
        <v>0</v>
      </c>
      <c r="AS618" t="s">
        <v>6</v>
      </c>
      <c r="AT618">
        <v>1.3</v>
      </c>
      <c r="AU618" t="s">
        <v>6</v>
      </c>
      <c r="AV618">
        <v>2</v>
      </c>
      <c r="AW618">
        <v>2</v>
      </c>
      <c r="AX618">
        <v>16632514</v>
      </c>
      <c r="AY618">
        <v>1</v>
      </c>
      <c r="AZ618">
        <v>2048</v>
      </c>
      <c r="BA618">
        <v>601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Y618*Source!I277</f>
        <v>2.7560000000000001E-2</v>
      </c>
      <c r="CY618">
        <f>AD618</f>
        <v>0</v>
      </c>
      <c r="CZ618">
        <f>AH618</f>
        <v>0</v>
      </c>
      <c r="DA618">
        <f>AL618</f>
        <v>1</v>
      </c>
      <c r="DB618">
        <f>ROUND(ROUND(AT618*CZ618,2),2)</f>
        <v>0</v>
      </c>
      <c r="DC618">
        <f>ROUND(ROUND(AT618*AG618,2),2)</f>
        <v>0</v>
      </c>
    </row>
    <row r="619" spans="1:107" x14ac:dyDescent="0.2">
      <c r="A619">
        <f>ROW(Source!A277)</f>
        <v>277</v>
      </c>
      <c r="B619">
        <v>16630606</v>
      </c>
      <c r="C619">
        <v>16632500</v>
      </c>
      <c r="D619">
        <v>15247680</v>
      </c>
      <c r="E619">
        <v>1</v>
      </c>
      <c r="F619">
        <v>1</v>
      </c>
      <c r="G619">
        <v>1</v>
      </c>
      <c r="H619">
        <v>2</v>
      </c>
      <c r="I619" t="s">
        <v>1419</v>
      </c>
      <c r="J619" t="s">
        <v>1420</v>
      </c>
      <c r="K619" t="s">
        <v>1421</v>
      </c>
      <c r="L619">
        <v>1368</v>
      </c>
      <c r="N619">
        <v>1011</v>
      </c>
      <c r="O619" t="s">
        <v>1154</v>
      </c>
      <c r="P619" t="s">
        <v>1154</v>
      </c>
      <c r="Q619">
        <v>1</v>
      </c>
      <c r="W619">
        <v>0</v>
      </c>
      <c r="X619">
        <v>-1718674368</v>
      </c>
      <c r="Y619">
        <v>0.65</v>
      </c>
      <c r="AA619">
        <v>0</v>
      </c>
      <c r="AB619">
        <v>798.49</v>
      </c>
      <c r="AC619">
        <v>13.5</v>
      </c>
      <c r="AD619">
        <v>0</v>
      </c>
      <c r="AE619">
        <v>0</v>
      </c>
      <c r="AF619">
        <v>111.99</v>
      </c>
      <c r="AG619">
        <v>13.5</v>
      </c>
      <c r="AH619">
        <v>0</v>
      </c>
      <c r="AI619">
        <v>1</v>
      </c>
      <c r="AJ619">
        <v>7.13</v>
      </c>
      <c r="AK619">
        <v>1</v>
      </c>
      <c r="AL619">
        <v>1</v>
      </c>
      <c r="AN619">
        <v>0</v>
      </c>
      <c r="AO619">
        <v>1</v>
      </c>
      <c r="AP619">
        <v>1</v>
      </c>
      <c r="AQ619">
        <v>0</v>
      </c>
      <c r="AR619">
        <v>0</v>
      </c>
      <c r="AS619" t="s">
        <v>6</v>
      </c>
      <c r="AT619">
        <v>0.52</v>
      </c>
      <c r="AU619" t="s">
        <v>81</v>
      </c>
      <c r="AV619">
        <v>0</v>
      </c>
      <c r="AW619">
        <v>2</v>
      </c>
      <c r="AX619">
        <v>16632515</v>
      </c>
      <c r="AY619">
        <v>1</v>
      </c>
      <c r="AZ619">
        <v>0</v>
      </c>
      <c r="BA619">
        <v>602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Y619*Source!I277</f>
        <v>1.3780000000000001E-2</v>
      </c>
      <c r="CY619">
        <f>AB619</f>
        <v>798.49</v>
      </c>
      <c r="CZ619">
        <f>AF619</f>
        <v>111.99</v>
      </c>
      <c r="DA619">
        <f>AJ619</f>
        <v>7.13</v>
      </c>
      <c r="DB619">
        <f>ROUND((ROUND(AT619*CZ619,2)*1.25),2)</f>
        <v>72.790000000000006</v>
      </c>
      <c r="DC619">
        <f>ROUND((ROUND(AT619*AG619,2)*1.25),2)</f>
        <v>8.7799999999999994</v>
      </c>
    </row>
    <row r="620" spans="1:107" x14ac:dyDescent="0.2">
      <c r="A620">
        <f>ROW(Source!A277)</f>
        <v>277</v>
      </c>
      <c r="B620">
        <v>16630606</v>
      </c>
      <c r="C620">
        <v>16632500</v>
      </c>
      <c r="D620">
        <v>15247873</v>
      </c>
      <c r="E620">
        <v>1</v>
      </c>
      <c r="F620">
        <v>1</v>
      </c>
      <c r="G620">
        <v>1</v>
      </c>
      <c r="H620">
        <v>2</v>
      </c>
      <c r="I620" t="s">
        <v>1574</v>
      </c>
      <c r="J620" t="s">
        <v>1575</v>
      </c>
      <c r="K620" t="s">
        <v>1576</v>
      </c>
      <c r="L620">
        <v>1368</v>
      </c>
      <c r="N620">
        <v>1011</v>
      </c>
      <c r="O620" t="s">
        <v>1154</v>
      </c>
      <c r="P620" t="s">
        <v>1154</v>
      </c>
      <c r="Q620">
        <v>1</v>
      </c>
      <c r="W620">
        <v>0</v>
      </c>
      <c r="X620">
        <v>-1985289705</v>
      </c>
      <c r="Y620">
        <v>0.48750000000000004</v>
      </c>
      <c r="AA620">
        <v>0</v>
      </c>
      <c r="AB620">
        <v>47.49</v>
      </c>
      <c r="AC620">
        <v>0</v>
      </c>
      <c r="AD620">
        <v>0</v>
      </c>
      <c r="AE620">
        <v>0</v>
      </c>
      <c r="AF620">
        <v>6.66</v>
      </c>
      <c r="AG620">
        <v>0</v>
      </c>
      <c r="AH620">
        <v>0</v>
      </c>
      <c r="AI620">
        <v>1</v>
      </c>
      <c r="AJ620">
        <v>7.13</v>
      </c>
      <c r="AK620">
        <v>1</v>
      </c>
      <c r="AL620">
        <v>1</v>
      </c>
      <c r="AN620">
        <v>0</v>
      </c>
      <c r="AO620">
        <v>1</v>
      </c>
      <c r="AP620">
        <v>1</v>
      </c>
      <c r="AQ620">
        <v>0</v>
      </c>
      <c r="AR620">
        <v>0</v>
      </c>
      <c r="AS620" t="s">
        <v>6</v>
      </c>
      <c r="AT620">
        <v>0.39</v>
      </c>
      <c r="AU620" t="s">
        <v>81</v>
      </c>
      <c r="AV620">
        <v>0</v>
      </c>
      <c r="AW620">
        <v>2</v>
      </c>
      <c r="AX620">
        <v>16632516</v>
      </c>
      <c r="AY620">
        <v>1</v>
      </c>
      <c r="AZ620">
        <v>0</v>
      </c>
      <c r="BA620">
        <v>603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Y620*Source!I277</f>
        <v>1.0335E-2</v>
      </c>
      <c r="CY620">
        <f>AB620</f>
        <v>47.49</v>
      </c>
      <c r="CZ620">
        <f>AF620</f>
        <v>6.66</v>
      </c>
      <c r="DA620">
        <f>AJ620</f>
        <v>7.13</v>
      </c>
      <c r="DB620">
        <f>ROUND((ROUND(AT620*CZ620,2)*1.25),2)</f>
        <v>3.25</v>
      </c>
      <c r="DC620">
        <f>ROUND((ROUND(AT620*AG620,2)*1.25),2)</f>
        <v>0</v>
      </c>
    </row>
    <row r="621" spans="1:107" x14ac:dyDescent="0.2">
      <c r="A621">
        <f>ROW(Source!A277)</f>
        <v>277</v>
      </c>
      <c r="B621">
        <v>16630606</v>
      </c>
      <c r="C621">
        <v>16632500</v>
      </c>
      <c r="D621">
        <v>15249073</v>
      </c>
      <c r="E621">
        <v>1</v>
      </c>
      <c r="F621">
        <v>1</v>
      </c>
      <c r="G621">
        <v>1</v>
      </c>
      <c r="H621">
        <v>2</v>
      </c>
      <c r="I621" t="s">
        <v>1157</v>
      </c>
      <c r="J621" t="s">
        <v>1158</v>
      </c>
      <c r="K621" t="s">
        <v>1159</v>
      </c>
      <c r="L621">
        <v>1368</v>
      </c>
      <c r="N621">
        <v>1011</v>
      </c>
      <c r="O621" t="s">
        <v>1154</v>
      </c>
      <c r="P621" t="s">
        <v>1154</v>
      </c>
      <c r="Q621">
        <v>1</v>
      </c>
      <c r="W621">
        <v>0</v>
      </c>
      <c r="X621">
        <v>1372534845</v>
      </c>
      <c r="Y621">
        <v>0.97500000000000009</v>
      </c>
      <c r="AA621">
        <v>0</v>
      </c>
      <c r="AB621">
        <v>468.51</v>
      </c>
      <c r="AC621">
        <v>11.6</v>
      </c>
      <c r="AD621">
        <v>0</v>
      </c>
      <c r="AE621">
        <v>0</v>
      </c>
      <c r="AF621">
        <v>65.709999999999994</v>
      </c>
      <c r="AG621">
        <v>11.6</v>
      </c>
      <c r="AH621">
        <v>0</v>
      </c>
      <c r="AI621">
        <v>1</v>
      </c>
      <c r="AJ621">
        <v>7.13</v>
      </c>
      <c r="AK621">
        <v>1</v>
      </c>
      <c r="AL621">
        <v>1</v>
      </c>
      <c r="AN621">
        <v>0</v>
      </c>
      <c r="AO621">
        <v>1</v>
      </c>
      <c r="AP621">
        <v>1</v>
      </c>
      <c r="AQ621">
        <v>0</v>
      </c>
      <c r="AR621">
        <v>0</v>
      </c>
      <c r="AS621" t="s">
        <v>6</v>
      </c>
      <c r="AT621">
        <v>0.78</v>
      </c>
      <c r="AU621" t="s">
        <v>81</v>
      </c>
      <c r="AV621">
        <v>0</v>
      </c>
      <c r="AW621">
        <v>2</v>
      </c>
      <c r="AX621">
        <v>16632517</v>
      </c>
      <c r="AY621">
        <v>1</v>
      </c>
      <c r="AZ621">
        <v>0</v>
      </c>
      <c r="BA621">
        <v>604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Y621*Source!I277</f>
        <v>2.0670000000000001E-2</v>
      </c>
      <c r="CY621">
        <f>AB621</f>
        <v>468.51</v>
      </c>
      <c r="CZ621">
        <f>AF621</f>
        <v>65.709999999999994</v>
      </c>
      <c r="DA621">
        <f>AJ621</f>
        <v>7.13</v>
      </c>
      <c r="DB621">
        <f>ROUND((ROUND(AT621*CZ621,2)*1.25),2)</f>
        <v>64.06</v>
      </c>
      <c r="DC621">
        <f>ROUND((ROUND(AT621*AG621,2)*1.25),2)</f>
        <v>11.31</v>
      </c>
    </row>
    <row r="622" spans="1:107" x14ac:dyDescent="0.2">
      <c r="A622">
        <f>ROW(Source!A277)</f>
        <v>277</v>
      </c>
      <c r="B622">
        <v>16630606</v>
      </c>
      <c r="C622">
        <v>16632500</v>
      </c>
      <c r="D622">
        <v>15249377</v>
      </c>
      <c r="E622">
        <v>1</v>
      </c>
      <c r="F622">
        <v>1</v>
      </c>
      <c r="G622">
        <v>1</v>
      </c>
      <c r="H622">
        <v>2</v>
      </c>
      <c r="I622" t="s">
        <v>1222</v>
      </c>
      <c r="J622" t="s">
        <v>1223</v>
      </c>
      <c r="K622" t="s">
        <v>1224</v>
      </c>
      <c r="L622">
        <v>1368</v>
      </c>
      <c r="N622">
        <v>1011</v>
      </c>
      <c r="O622" t="s">
        <v>1154</v>
      </c>
      <c r="P622" t="s">
        <v>1154</v>
      </c>
      <c r="Q622">
        <v>1</v>
      </c>
      <c r="W622">
        <v>0</v>
      </c>
      <c r="X622">
        <v>-353815937</v>
      </c>
      <c r="Y622">
        <v>2.2374999999999998</v>
      </c>
      <c r="AA622">
        <v>0</v>
      </c>
      <c r="AB622">
        <v>57.75</v>
      </c>
      <c r="AC622">
        <v>0</v>
      </c>
      <c r="AD622">
        <v>0</v>
      </c>
      <c r="AE622">
        <v>0</v>
      </c>
      <c r="AF622">
        <v>8.1</v>
      </c>
      <c r="AG622">
        <v>0</v>
      </c>
      <c r="AH622">
        <v>0</v>
      </c>
      <c r="AI622">
        <v>1</v>
      </c>
      <c r="AJ622">
        <v>7.13</v>
      </c>
      <c r="AK622">
        <v>1</v>
      </c>
      <c r="AL622">
        <v>1</v>
      </c>
      <c r="AN622">
        <v>0</v>
      </c>
      <c r="AO622">
        <v>1</v>
      </c>
      <c r="AP622">
        <v>1</v>
      </c>
      <c r="AQ622">
        <v>0</v>
      </c>
      <c r="AR622">
        <v>0</v>
      </c>
      <c r="AS622" t="s">
        <v>6</v>
      </c>
      <c r="AT622">
        <v>1.79</v>
      </c>
      <c r="AU622" t="s">
        <v>81</v>
      </c>
      <c r="AV622">
        <v>0</v>
      </c>
      <c r="AW622">
        <v>2</v>
      </c>
      <c r="AX622">
        <v>16632518</v>
      </c>
      <c r="AY622">
        <v>1</v>
      </c>
      <c r="AZ622">
        <v>0</v>
      </c>
      <c r="BA622">
        <v>605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Y622*Source!I277</f>
        <v>4.7434999999999998E-2</v>
      </c>
      <c r="CY622">
        <f>AB622</f>
        <v>57.75</v>
      </c>
      <c r="CZ622">
        <f>AF622</f>
        <v>8.1</v>
      </c>
      <c r="DA622">
        <f>AJ622</f>
        <v>7.13</v>
      </c>
      <c r="DB622">
        <f>ROUND((ROUND(AT622*CZ622,2)*1.25),2)</f>
        <v>18.13</v>
      </c>
      <c r="DC622">
        <f>ROUND((ROUND(AT622*AG622,2)*1.25),2)</f>
        <v>0</v>
      </c>
    </row>
    <row r="623" spans="1:107" x14ac:dyDescent="0.2">
      <c r="A623">
        <f>ROW(Source!A277)</f>
        <v>277</v>
      </c>
      <c r="B623">
        <v>16630606</v>
      </c>
      <c r="C623">
        <v>16632500</v>
      </c>
      <c r="D623">
        <v>15165170</v>
      </c>
      <c r="E623">
        <v>1</v>
      </c>
      <c r="F623">
        <v>1</v>
      </c>
      <c r="G623">
        <v>1</v>
      </c>
      <c r="H623">
        <v>3</v>
      </c>
      <c r="I623" t="s">
        <v>1577</v>
      </c>
      <c r="J623" t="s">
        <v>1578</v>
      </c>
      <c r="K623" t="s">
        <v>1579</v>
      </c>
      <c r="L623">
        <v>1348</v>
      </c>
      <c r="N623">
        <v>1009</v>
      </c>
      <c r="O623" t="s">
        <v>98</v>
      </c>
      <c r="P623" t="s">
        <v>98</v>
      </c>
      <c r="Q623">
        <v>1000</v>
      </c>
      <c r="W623">
        <v>0</v>
      </c>
      <c r="X623">
        <v>731670393</v>
      </c>
      <c r="Y623">
        <v>8.8999999999999995E-4</v>
      </c>
      <c r="AA623">
        <v>188937.87</v>
      </c>
      <c r="AB623">
        <v>0</v>
      </c>
      <c r="AC623">
        <v>0</v>
      </c>
      <c r="AD623">
        <v>0</v>
      </c>
      <c r="AE623">
        <v>26499</v>
      </c>
      <c r="AF623">
        <v>0</v>
      </c>
      <c r="AG623">
        <v>0</v>
      </c>
      <c r="AH623">
        <v>0</v>
      </c>
      <c r="AI623">
        <v>7.13</v>
      </c>
      <c r="AJ623">
        <v>1</v>
      </c>
      <c r="AK623">
        <v>1</v>
      </c>
      <c r="AL623">
        <v>1</v>
      </c>
      <c r="AN623">
        <v>0</v>
      </c>
      <c r="AO623">
        <v>1</v>
      </c>
      <c r="AP623">
        <v>0</v>
      </c>
      <c r="AQ623">
        <v>0</v>
      </c>
      <c r="AR623">
        <v>0</v>
      </c>
      <c r="AS623" t="s">
        <v>6</v>
      </c>
      <c r="AT623">
        <v>8.8999999999999995E-4</v>
      </c>
      <c r="AU623" t="s">
        <v>6</v>
      </c>
      <c r="AV623">
        <v>0</v>
      </c>
      <c r="AW623">
        <v>2</v>
      </c>
      <c r="AX623">
        <v>16632519</v>
      </c>
      <c r="AY623">
        <v>1</v>
      </c>
      <c r="AZ623">
        <v>0</v>
      </c>
      <c r="BA623">
        <v>606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Y623*Source!I277</f>
        <v>1.8868E-5</v>
      </c>
      <c r="CY623">
        <f t="shared" ref="CY623:CY628" si="108">AA623</f>
        <v>188937.87</v>
      </c>
      <c r="CZ623">
        <f t="shared" ref="CZ623:CZ628" si="109">AE623</f>
        <v>26499</v>
      </c>
      <c r="DA623">
        <f t="shared" ref="DA623:DA628" si="110">AI623</f>
        <v>7.13</v>
      </c>
      <c r="DB623">
        <f t="shared" ref="DB623:DB628" si="111">ROUND(ROUND(AT623*CZ623,2),2)</f>
        <v>23.58</v>
      </c>
      <c r="DC623">
        <f t="shared" ref="DC623:DC628" si="112">ROUND(ROUND(AT623*AG623,2),2)</f>
        <v>0</v>
      </c>
    </row>
    <row r="624" spans="1:107" x14ac:dyDescent="0.2">
      <c r="A624">
        <f>ROW(Source!A277)</f>
        <v>277</v>
      </c>
      <c r="B624">
        <v>16630606</v>
      </c>
      <c r="C624">
        <v>16632500</v>
      </c>
      <c r="D624">
        <v>15168763</v>
      </c>
      <c r="E624">
        <v>1</v>
      </c>
      <c r="F624">
        <v>1</v>
      </c>
      <c r="G624">
        <v>1</v>
      </c>
      <c r="H624">
        <v>3</v>
      </c>
      <c r="I624" t="s">
        <v>1560</v>
      </c>
      <c r="J624" t="s">
        <v>1561</v>
      </c>
      <c r="K624" t="s">
        <v>1562</v>
      </c>
      <c r="L624">
        <v>1348</v>
      </c>
      <c r="N624">
        <v>1009</v>
      </c>
      <c r="O624" t="s">
        <v>98</v>
      </c>
      <c r="P624" t="s">
        <v>98</v>
      </c>
      <c r="Q624">
        <v>1000</v>
      </c>
      <c r="W624">
        <v>0</v>
      </c>
      <c r="X624">
        <v>-1068056325</v>
      </c>
      <c r="Y624">
        <v>4.4999999999999999E-4</v>
      </c>
      <c r="AA624">
        <v>73881.06</v>
      </c>
      <c r="AB624">
        <v>0</v>
      </c>
      <c r="AC624">
        <v>0</v>
      </c>
      <c r="AD624">
        <v>0</v>
      </c>
      <c r="AE624">
        <v>10362</v>
      </c>
      <c r="AF624">
        <v>0</v>
      </c>
      <c r="AG624">
        <v>0</v>
      </c>
      <c r="AH624">
        <v>0</v>
      </c>
      <c r="AI624">
        <v>7.13</v>
      </c>
      <c r="AJ624">
        <v>1</v>
      </c>
      <c r="AK624">
        <v>1</v>
      </c>
      <c r="AL624">
        <v>1</v>
      </c>
      <c r="AN624">
        <v>0</v>
      </c>
      <c r="AO624">
        <v>1</v>
      </c>
      <c r="AP624">
        <v>0</v>
      </c>
      <c r="AQ624">
        <v>0</v>
      </c>
      <c r="AR624">
        <v>0</v>
      </c>
      <c r="AS624" t="s">
        <v>6</v>
      </c>
      <c r="AT624">
        <v>4.4999999999999999E-4</v>
      </c>
      <c r="AU624" t="s">
        <v>6</v>
      </c>
      <c r="AV624">
        <v>0</v>
      </c>
      <c r="AW624">
        <v>2</v>
      </c>
      <c r="AX624">
        <v>16632520</v>
      </c>
      <c r="AY624">
        <v>1</v>
      </c>
      <c r="AZ624">
        <v>0</v>
      </c>
      <c r="BA624">
        <v>607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Y624*Source!I277</f>
        <v>9.5400000000000001E-6</v>
      </c>
      <c r="CY624">
        <f t="shared" si="108"/>
        <v>73881.06</v>
      </c>
      <c r="CZ624">
        <f t="shared" si="109"/>
        <v>10362</v>
      </c>
      <c r="DA624">
        <f t="shared" si="110"/>
        <v>7.13</v>
      </c>
      <c r="DB624">
        <f t="shared" si="111"/>
        <v>4.66</v>
      </c>
      <c r="DC624">
        <f t="shared" si="112"/>
        <v>0</v>
      </c>
    </row>
    <row r="625" spans="1:107" x14ac:dyDescent="0.2">
      <c r="A625">
        <f>ROW(Source!A277)</f>
        <v>277</v>
      </c>
      <c r="B625">
        <v>16630606</v>
      </c>
      <c r="C625">
        <v>16632500</v>
      </c>
      <c r="D625">
        <v>15169941</v>
      </c>
      <c r="E625">
        <v>1</v>
      </c>
      <c r="F625">
        <v>1</v>
      </c>
      <c r="G625">
        <v>1</v>
      </c>
      <c r="H625">
        <v>3</v>
      </c>
      <c r="I625" t="s">
        <v>1580</v>
      </c>
      <c r="J625" t="s">
        <v>1581</v>
      </c>
      <c r="K625" t="s">
        <v>1427</v>
      </c>
      <c r="L625">
        <v>1348</v>
      </c>
      <c r="N625">
        <v>1009</v>
      </c>
      <c r="O625" t="s">
        <v>98</v>
      </c>
      <c r="P625" t="s">
        <v>98</v>
      </c>
      <c r="Q625">
        <v>1000</v>
      </c>
      <c r="W625">
        <v>0</v>
      </c>
      <c r="X625">
        <v>-437906794</v>
      </c>
      <c r="Y625">
        <v>1.4999999999999999E-2</v>
      </c>
      <c r="AA625">
        <v>64455.27</v>
      </c>
      <c r="AB625">
        <v>0</v>
      </c>
      <c r="AC625">
        <v>0</v>
      </c>
      <c r="AD625">
        <v>0</v>
      </c>
      <c r="AE625">
        <v>9040.01</v>
      </c>
      <c r="AF625">
        <v>0</v>
      </c>
      <c r="AG625">
        <v>0</v>
      </c>
      <c r="AH625">
        <v>0</v>
      </c>
      <c r="AI625">
        <v>7.13</v>
      </c>
      <c r="AJ625">
        <v>1</v>
      </c>
      <c r="AK625">
        <v>1</v>
      </c>
      <c r="AL625">
        <v>1</v>
      </c>
      <c r="AN625">
        <v>0</v>
      </c>
      <c r="AO625">
        <v>1</v>
      </c>
      <c r="AP625">
        <v>0</v>
      </c>
      <c r="AQ625">
        <v>0</v>
      </c>
      <c r="AR625">
        <v>0</v>
      </c>
      <c r="AS625" t="s">
        <v>6</v>
      </c>
      <c r="AT625">
        <v>1.4999999999999999E-2</v>
      </c>
      <c r="AU625" t="s">
        <v>6</v>
      </c>
      <c r="AV625">
        <v>0</v>
      </c>
      <c r="AW625">
        <v>2</v>
      </c>
      <c r="AX625">
        <v>16632521</v>
      </c>
      <c r="AY625">
        <v>1</v>
      </c>
      <c r="AZ625">
        <v>0</v>
      </c>
      <c r="BA625">
        <v>608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Y625*Source!I277</f>
        <v>3.1799999999999998E-4</v>
      </c>
      <c r="CY625">
        <f t="shared" si="108"/>
        <v>64455.27</v>
      </c>
      <c r="CZ625">
        <f t="shared" si="109"/>
        <v>9040.01</v>
      </c>
      <c r="DA625">
        <f t="shared" si="110"/>
        <v>7.13</v>
      </c>
      <c r="DB625">
        <f t="shared" si="111"/>
        <v>135.6</v>
      </c>
      <c r="DC625">
        <f t="shared" si="112"/>
        <v>0</v>
      </c>
    </row>
    <row r="626" spans="1:107" x14ac:dyDescent="0.2">
      <c r="A626">
        <f>ROW(Source!A277)</f>
        <v>277</v>
      </c>
      <c r="B626">
        <v>16630606</v>
      </c>
      <c r="C626">
        <v>16632500</v>
      </c>
      <c r="D626">
        <v>15170824</v>
      </c>
      <c r="E626">
        <v>1</v>
      </c>
      <c r="F626">
        <v>1</v>
      </c>
      <c r="G626">
        <v>1</v>
      </c>
      <c r="H626">
        <v>3</v>
      </c>
      <c r="I626" t="s">
        <v>1582</v>
      </c>
      <c r="J626" t="s">
        <v>1583</v>
      </c>
      <c r="K626" t="s">
        <v>1584</v>
      </c>
      <c r="L626">
        <v>1346</v>
      </c>
      <c r="N626">
        <v>1009</v>
      </c>
      <c r="O626" t="s">
        <v>102</v>
      </c>
      <c r="P626" t="s">
        <v>102</v>
      </c>
      <c r="Q626">
        <v>1</v>
      </c>
      <c r="W626">
        <v>0</v>
      </c>
      <c r="X626">
        <v>-731615568</v>
      </c>
      <c r="Y626">
        <v>8</v>
      </c>
      <c r="AA626">
        <v>164.63</v>
      </c>
      <c r="AB626">
        <v>0</v>
      </c>
      <c r="AC626">
        <v>0</v>
      </c>
      <c r="AD626">
        <v>0</v>
      </c>
      <c r="AE626">
        <v>23.09</v>
      </c>
      <c r="AF626">
        <v>0</v>
      </c>
      <c r="AG626">
        <v>0</v>
      </c>
      <c r="AH626">
        <v>0</v>
      </c>
      <c r="AI626">
        <v>7.13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0</v>
      </c>
      <c r="AQ626">
        <v>0</v>
      </c>
      <c r="AR626">
        <v>0</v>
      </c>
      <c r="AS626" t="s">
        <v>6</v>
      </c>
      <c r="AT626">
        <v>8</v>
      </c>
      <c r="AU626" t="s">
        <v>6</v>
      </c>
      <c r="AV626">
        <v>0</v>
      </c>
      <c r="AW626">
        <v>2</v>
      </c>
      <c r="AX626">
        <v>16632522</v>
      </c>
      <c r="AY626">
        <v>1</v>
      </c>
      <c r="AZ626">
        <v>0</v>
      </c>
      <c r="BA626">
        <v>609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Y626*Source!I277</f>
        <v>0.1696</v>
      </c>
      <c r="CY626">
        <f t="shared" si="108"/>
        <v>164.63</v>
      </c>
      <c r="CZ626">
        <f t="shared" si="109"/>
        <v>23.09</v>
      </c>
      <c r="DA626">
        <f t="shared" si="110"/>
        <v>7.13</v>
      </c>
      <c r="DB626">
        <f t="shared" si="111"/>
        <v>184.72</v>
      </c>
      <c r="DC626">
        <f t="shared" si="112"/>
        <v>0</v>
      </c>
    </row>
    <row r="627" spans="1:107" x14ac:dyDescent="0.2">
      <c r="A627">
        <f>ROW(Source!A277)</f>
        <v>277</v>
      </c>
      <c r="B627">
        <v>16630606</v>
      </c>
      <c r="C627">
        <v>16632500</v>
      </c>
      <c r="D627">
        <v>15204408</v>
      </c>
      <c r="E627">
        <v>1</v>
      </c>
      <c r="F627">
        <v>1</v>
      </c>
      <c r="G627">
        <v>1</v>
      </c>
      <c r="H627">
        <v>3</v>
      </c>
      <c r="I627" t="s">
        <v>1585</v>
      </c>
      <c r="J627" t="s">
        <v>1586</v>
      </c>
      <c r="K627" t="s">
        <v>1587</v>
      </c>
      <c r="L627">
        <v>1348</v>
      </c>
      <c r="N627">
        <v>1009</v>
      </c>
      <c r="O627" t="s">
        <v>98</v>
      </c>
      <c r="P627" t="s">
        <v>98</v>
      </c>
      <c r="Q627">
        <v>1000</v>
      </c>
      <c r="W627">
        <v>0</v>
      </c>
      <c r="X627">
        <v>-1445734866</v>
      </c>
      <c r="Y627">
        <v>5.0099999999999997E-3</v>
      </c>
      <c r="AA627">
        <v>122514.79</v>
      </c>
      <c r="AB627">
        <v>0</v>
      </c>
      <c r="AC627">
        <v>0</v>
      </c>
      <c r="AD627">
        <v>0</v>
      </c>
      <c r="AE627">
        <v>17183</v>
      </c>
      <c r="AF627">
        <v>0</v>
      </c>
      <c r="AG627">
        <v>0</v>
      </c>
      <c r="AH627">
        <v>0</v>
      </c>
      <c r="AI627">
        <v>7.13</v>
      </c>
      <c r="AJ627">
        <v>1</v>
      </c>
      <c r="AK627">
        <v>1</v>
      </c>
      <c r="AL627">
        <v>1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6</v>
      </c>
      <c r="AT627">
        <v>5.0099999999999997E-3</v>
      </c>
      <c r="AU627" t="s">
        <v>6</v>
      </c>
      <c r="AV627">
        <v>0</v>
      </c>
      <c r="AW627">
        <v>2</v>
      </c>
      <c r="AX627">
        <v>16632524</v>
      </c>
      <c r="AY627">
        <v>1</v>
      </c>
      <c r="AZ627">
        <v>0</v>
      </c>
      <c r="BA627">
        <v>611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Y627*Source!I277</f>
        <v>1.0621199999999999E-4</v>
      </c>
      <c r="CY627">
        <f t="shared" si="108"/>
        <v>122514.79</v>
      </c>
      <c r="CZ627">
        <f t="shared" si="109"/>
        <v>17183</v>
      </c>
      <c r="DA627">
        <f t="shared" si="110"/>
        <v>7.13</v>
      </c>
      <c r="DB627">
        <f t="shared" si="111"/>
        <v>86.09</v>
      </c>
      <c r="DC627">
        <f t="shared" si="112"/>
        <v>0</v>
      </c>
    </row>
    <row r="628" spans="1:107" x14ac:dyDescent="0.2">
      <c r="A628">
        <f>ROW(Source!A277)</f>
        <v>277</v>
      </c>
      <c r="B628">
        <v>16630606</v>
      </c>
      <c r="C628">
        <v>16632500</v>
      </c>
      <c r="D628">
        <v>15213643</v>
      </c>
      <c r="E628">
        <v>1</v>
      </c>
      <c r="F628">
        <v>1</v>
      </c>
      <c r="G628">
        <v>1</v>
      </c>
      <c r="H628">
        <v>3</v>
      </c>
      <c r="I628" t="s">
        <v>835</v>
      </c>
      <c r="J628" t="s">
        <v>837</v>
      </c>
      <c r="K628" t="s">
        <v>836</v>
      </c>
      <c r="L628">
        <v>1327</v>
      </c>
      <c r="N628">
        <v>1005</v>
      </c>
      <c r="O628" t="s">
        <v>87</v>
      </c>
      <c r="P628" t="s">
        <v>87</v>
      </c>
      <c r="Q628">
        <v>1</v>
      </c>
      <c r="W628">
        <v>0</v>
      </c>
      <c r="X628">
        <v>1081152192</v>
      </c>
      <c r="Y628">
        <v>100</v>
      </c>
      <c r="AA628">
        <v>472.79</v>
      </c>
      <c r="AB628">
        <v>0</v>
      </c>
      <c r="AC628">
        <v>0</v>
      </c>
      <c r="AD628">
        <v>0</v>
      </c>
      <c r="AE628">
        <v>66.31</v>
      </c>
      <c r="AF628">
        <v>0</v>
      </c>
      <c r="AG628">
        <v>0</v>
      </c>
      <c r="AH628">
        <v>0</v>
      </c>
      <c r="AI628">
        <v>7.13</v>
      </c>
      <c r="AJ628">
        <v>1</v>
      </c>
      <c r="AK628">
        <v>1</v>
      </c>
      <c r="AL628">
        <v>1</v>
      </c>
      <c r="AN628">
        <v>0</v>
      </c>
      <c r="AO628">
        <v>0</v>
      </c>
      <c r="AP628">
        <v>0</v>
      </c>
      <c r="AQ628">
        <v>0</v>
      </c>
      <c r="AR628">
        <v>0</v>
      </c>
      <c r="AS628" t="s">
        <v>6</v>
      </c>
      <c r="AT628">
        <v>100</v>
      </c>
      <c r="AU628" t="s">
        <v>6</v>
      </c>
      <c r="AV628">
        <v>0</v>
      </c>
      <c r="AW628">
        <v>1</v>
      </c>
      <c r="AX628">
        <v>-1</v>
      </c>
      <c r="AY628">
        <v>0</v>
      </c>
      <c r="AZ628">
        <v>0</v>
      </c>
      <c r="BA628" t="s">
        <v>6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Y628*Source!I277</f>
        <v>2.12</v>
      </c>
      <c r="CY628">
        <f t="shared" si="108"/>
        <v>472.79</v>
      </c>
      <c r="CZ628">
        <f t="shared" si="109"/>
        <v>66.31</v>
      </c>
      <c r="DA628">
        <f t="shared" si="110"/>
        <v>7.13</v>
      </c>
      <c r="DB628">
        <f t="shared" si="111"/>
        <v>6631</v>
      </c>
      <c r="DC628">
        <f t="shared" si="112"/>
        <v>0</v>
      </c>
    </row>
    <row r="629" spans="1:107" x14ac:dyDescent="0.2">
      <c r="A629">
        <f>ROW(Source!A279)</f>
        <v>279</v>
      </c>
      <c r="B629">
        <v>16630606</v>
      </c>
      <c r="C629">
        <v>16632531</v>
      </c>
      <c r="D629">
        <v>15430767</v>
      </c>
      <c r="E629">
        <v>1</v>
      </c>
      <c r="F629">
        <v>1</v>
      </c>
      <c r="G629">
        <v>1</v>
      </c>
      <c r="H629">
        <v>1</v>
      </c>
      <c r="I629" t="s">
        <v>1171</v>
      </c>
      <c r="J629" t="s">
        <v>6</v>
      </c>
      <c r="K629" t="s">
        <v>1172</v>
      </c>
      <c r="L629">
        <v>1191</v>
      </c>
      <c r="N629">
        <v>1013</v>
      </c>
      <c r="O629" t="s">
        <v>1148</v>
      </c>
      <c r="P629" t="s">
        <v>1148</v>
      </c>
      <c r="Q629">
        <v>1</v>
      </c>
      <c r="W629">
        <v>0</v>
      </c>
      <c r="X629">
        <v>-400197608</v>
      </c>
      <c r="Y629">
        <v>3.3579999999999997</v>
      </c>
      <c r="AA629">
        <v>0</v>
      </c>
      <c r="AB629">
        <v>0</v>
      </c>
      <c r="AC629">
        <v>0</v>
      </c>
      <c r="AD629">
        <v>60.82</v>
      </c>
      <c r="AE629">
        <v>0</v>
      </c>
      <c r="AF629">
        <v>0</v>
      </c>
      <c r="AG629">
        <v>0</v>
      </c>
      <c r="AH629">
        <v>8.5299999999999994</v>
      </c>
      <c r="AI629">
        <v>1</v>
      </c>
      <c r="AJ629">
        <v>1</v>
      </c>
      <c r="AK629">
        <v>1</v>
      </c>
      <c r="AL629">
        <v>7.13</v>
      </c>
      <c r="AN629">
        <v>0</v>
      </c>
      <c r="AO629">
        <v>1</v>
      </c>
      <c r="AP629">
        <v>1</v>
      </c>
      <c r="AQ629">
        <v>0</v>
      </c>
      <c r="AR629">
        <v>0</v>
      </c>
      <c r="AS629" t="s">
        <v>6</v>
      </c>
      <c r="AT629">
        <v>2.92</v>
      </c>
      <c r="AU629" t="s">
        <v>82</v>
      </c>
      <c r="AV629">
        <v>1</v>
      </c>
      <c r="AW629">
        <v>2</v>
      </c>
      <c r="AX629">
        <v>16632540</v>
      </c>
      <c r="AY629">
        <v>1</v>
      </c>
      <c r="AZ629">
        <v>0</v>
      </c>
      <c r="BA629">
        <v>617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Y629*Source!I279</f>
        <v>20.147999999999996</v>
      </c>
      <c r="CY629">
        <f>AD629</f>
        <v>60.82</v>
      </c>
      <c r="CZ629">
        <f>AH629</f>
        <v>8.5299999999999994</v>
      </c>
      <c r="DA629">
        <f>AL629</f>
        <v>7.13</v>
      </c>
      <c r="DB629">
        <f>ROUND((ROUND(AT629*CZ629,2)*1.15),2)</f>
        <v>28.65</v>
      </c>
      <c r="DC629">
        <f>ROUND((ROUND(AT629*AG629,2)*1.15),2)</f>
        <v>0</v>
      </c>
    </row>
    <row r="630" spans="1:107" x14ac:dyDescent="0.2">
      <c r="A630">
        <f>ROW(Source!A279)</f>
        <v>279</v>
      </c>
      <c r="B630">
        <v>16630606</v>
      </c>
      <c r="C630">
        <v>16632531</v>
      </c>
      <c r="D630">
        <v>15430395</v>
      </c>
      <c r="E630">
        <v>1</v>
      </c>
      <c r="F630">
        <v>1</v>
      </c>
      <c r="G630">
        <v>1</v>
      </c>
      <c r="H630">
        <v>1</v>
      </c>
      <c r="I630" t="s">
        <v>1149</v>
      </c>
      <c r="J630" t="s">
        <v>6</v>
      </c>
      <c r="K630" t="s">
        <v>1150</v>
      </c>
      <c r="L630">
        <v>1191</v>
      </c>
      <c r="N630">
        <v>1013</v>
      </c>
      <c r="O630" t="s">
        <v>1148</v>
      </c>
      <c r="P630" t="s">
        <v>1148</v>
      </c>
      <c r="Q630">
        <v>1</v>
      </c>
      <c r="W630">
        <v>0</v>
      </c>
      <c r="X630">
        <v>-1417349443</v>
      </c>
      <c r="Y630">
        <v>0.01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1</v>
      </c>
      <c r="AJ630">
        <v>1</v>
      </c>
      <c r="AK630">
        <v>7.13</v>
      </c>
      <c r="AL630">
        <v>1</v>
      </c>
      <c r="AN630">
        <v>0</v>
      </c>
      <c r="AO630">
        <v>1</v>
      </c>
      <c r="AP630">
        <v>0</v>
      </c>
      <c r="AQ630">
        <v>0</v>
      </c>
      <c r="AR630">
        <v>0</v>
      </c>
      <c r="AS630" t="s">
        <v>6</v>
      </c>
      <c r="AT630">
        <v>0.01</v>
      </c>
      <c r="AU630" t="s">
        <v>6</v>
      </c>
      <c r="AV630">
        <v>2</v>
      </c>
      <c r="AW630">
        <v>2</v>
      </c>
      <c r="AX630">
        <v>16632541</v>
      </c>
      <c r="AY630">
        <v>1</v>
      </c>
      <c r="AZ630">
        <v>2048</v>
      </c>
      <c r="BA630">
        <v>618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Y630*Source!I279</f>
        <v>0.06</v>
      </c>
      <c r="CY630">
        <f>AD630</f>
        <v>0</v>
      </c>
      <c r="CZ630">
        <f>AH630</f>
        <v>0</v>
      </c>
      <c r="DA630">
        <f>AL630</f>
        <v>1</v>
      </c>
      <c r="DB630">
        <f>ROUND(ROUND(AT630*CZ630,2),2)</f>
        <v>0</v>
      </c>
      <c r="DC630">
        <f>ROUND(ROUND(AT630*AG630,2),2)</f>
        <v>0</v>
      </c>
    </row>
    <row r="631" spans="1:107" x14ac:dyDescent="0.2">
      <c r="A631">
        <f>ROW(Source!A279)</f>
        <v>279</v>
      </c>
      <c r="B631">
        <v>16630606</v>
      </c>
      <c r="C631">
        <v>16632531</v>
      </c>
      <c r="D631">
        <v>15247860</v>
      </c>
      <c r="E631">
        <v>1</v>
      </c>
      <c r="F631">
        <v>1</v>
      </c>
      <c r="G631">
        <v>1</v>
      </c>
      <c r="H631">
        <v>2</v>
      </c>
      <c r="I631" t="s">
        <v>1588</v>
      </c>
      <c r="J631" t="s">
        <v>1589</v>
      </c>
      <c r="K631" t="s">
        <v>1590</v>
      </c>
      <c r="L631">
        <v>1368</v>
      </c>
      <c r="N631">
        <v>1011</v>
      </c>
      <c r="O631" t="s">
        <v>1154</v>
      </c>
      <c r="P631" t="s">
        <v>1154</v>
      </c>
      <c r="Q631">
        <v>1</v>
      </c>
      <c r="W631">
        <v>0</v>
      </c>
      <c r="X631">
        <v>1373224040</v>
      </c>
      <c r="Y631">
        <v>0.82500000000000007</v>
      </c>
      <c r="AA631">
        <v>0</v>
      </c>
      <c r="AB631">
        <v>22.25</v>
      </c>
      <c r="AC631">
        <v>0</v>
      </c>
      <c r="AD631">
        <v>0</v>
      </c>
      <c r="AE631">
        <v>0</v>
      </c>
      <c r="AF631">
        <v>3.12</v>
      </c>
      <c r="AG631">
        <v>0</v>
      </c>
      <c r="AH631">
        <v>0</v>
      </c>
      <c r="AI631">
        <v>1</v>
      </c>
      <c r="AJ631">
        <v>7.13</v>
      </c>
      <c r="AK631">
        <v>1</v>
      </c>
      <c r="AL631">
        <v>1</v>
      </c>
      <c r="AN631">
        <v>0</v>
      </c>
      <c r="AO631">
        <v>1</v>
      </c>
      <c r="AP631">
        <v>1</v>
      </c>
      <c r="AQ631">
        <v>0</v>
      </c>
      <c r="AR631">
        <v>0</v>
      </c>
      <c r="AS631" t="s">
        <v>6</v>
      </c>
      <c r="AT631">
        <v>0.66</v>
      </c>
      <c r="AU631" t="s">
        <v>81</v>
      </c>
      <c r="AV631">
        <v>0</v>
      </c>
      <c r="AW631">
        <v>2</v>
      </c>
      <c r="AX631">
        <v>16632542</v>
      </c>
      <c r="AY631">
        <v>1</v>
      </c>
      <c r="AZ631">
        <v>0</v>
      </c>
      <c r="BA631">
        <v>619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Y631*Source!I279</f>
        <v>4.95</v>
      </c>
      <c r="CY631">
        <f>AB631</f>
        <v>22.25</v>
      </c>
      <c r="CZ631">
        <f>AF631</f>
        <v>3.12</v>
      </c>
      <c r="DA631">
        <f>AJ631</f>
        <v>7.13</v>
      </c>
      <c r="DB631">
        <f>ROUND((ROUND(AT631*CZ631,2)*1.25),2)</f>
        <v>2.58</v>
      </c>
      <c r="DC631">
        <f>ROUND((ROUND(AT631*AG631,2)*1.25),2)</f>
        <v>0</v>
      </c>
    </row>
    <row r="632" spans="1:107" x14ac:dyDescent="0.2">
      <c r="A632">
        <f>ROW(Source!A279)</f>
        <v>279</v>
      </c>
      <c r="B632">
        <v>16630606</v>
      </c>
      <c r="C632">
        <v>16632531</v>
      </c>
      <c r="D632">
        <v>15249073</v>
      </c>
      <c r="E632">
        <v>1</v>
      </c>
      <c r="F632">
        <v>1</v>
      </c>
      <c r="G632">
        <v>1</v>
      </c>
      <c r="H632">
        <v>2</v>
      </c>
      <c r="I632" t="s">
        <v>1157</v>
      </c>
      <c r="J632" t="s">
        <v>1158</v>
      </c>
      <c r="K632" t="s">
        <v>1159</v>
      </c>
      <c r="L632">
        <v>1368</v>
      </c>
      <c r="N632">
        <v>1011</v>
      </c>
      <c r="O632" t="s">
        <v>1154</v>
      </c>
      <c r="P632" t="s">
        <v>1154</v>
      </c>
      <c r="Q632">
        <v>1</v>
      </c>
      <c r="W632">
        <v>0</v>
      </c>
      <c r="X632">
        <v>1372534845</v>
      </c>
      <c r="Y632">
        <v>1.2500000000000001E-2</v>
      </c>
      <c r="AA632">
        <v>0</v>
      </c>
      <c r="AB632">
        <v>468.51</v>
      </c>
      <c r="AC632">
        <v>11.6</v>
      </c>
      <c r="AD632">
        <v>0</v>
      </c>
      <c r="AE632">
        <v>0</v>
      </c>
      <c r="AF632">
        <v>65.709999999999994</v>
      </c>
      <c r="AG632">
        <v>11.6</v>
      </c>
      <c r="AH632">
        <v>0</v>
      </c>
      <c r="AI632">
        <v>1</v>
      </c>
      <c r="AJ632">
        <v>7.13</v>
      </c>
      <c r="AK632">
        <v>1</v>
      </c>
      <c r="AL632">
        <v>1</v>
      </c>
      <c r="AN632">
        <v>0</v>
      </c>
      <c r="AO632">
        <v>1</v>
      </c>
      <c r="AP632">
        <v>1</v>
      </c>
      <c r="AQ632">
        <v>0</v>
      </c>
      <c r="AR632">
        <v>0</v>
      </c>
      <c r="AS632" t="s">
        <v>6</v>
      </c>
      <c r="AT632">
        <v>0.01</v>
      </c>
      <c r="AU632" t="s">
        <v>81</v>
      </c>
      <c r="AV632">
        <v>0</v>
      </c>
      <c r="AW632">
        <v>2</v>
      </c>
      <c r="AX632">
        <v>16632543</v>
      </c>
      <c r="AY632">
        <v>1</v>
      </c>
      <c r="AZ632">
        <v>0</v>
      </c>
      <c r="BA632">
        <v>620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Y632*Source!I279</f>
        <v>7.5000000000000011E-2</v>
      </c>
      <c r="CY632">
        <f>AB632</f>
        <v>468.51</v>
      </c>
      <c r="CZ632">
        <f>AF632</f>
        <v>65.709999999999994</v>
      </c>
      <c r="DA632">
        <f>AJ632</f>
        <v>7.13</v>
      </c>
      <c r="DB632">
        <f>ROUND((ROUND(AT632*CZ632,2)*1.25),2)</f>
        <v>0.83</v>
      </c>
      <c r="DC632">
        <f>ROUND((ROUND(AT632*AG632,2)*1.25),2)</f>
        <v>0.15</v>
      </c>
    </row>
    <row r="633" spans="1:107" x14ac:dyDescent="0.2">
      <c r="A633">
        <f>ROW(Source!A279)</f>
        <v>279</v>
      </c>
      <c r="B633">
        <v>16630606</v>
      </c>
      <c r="C633">
        <v>16632531</v>
      </c>
      <c r="D633">
        <v>15165170</v>
      </c>
      <c r="E633">
        <v>1</v>
      </c>
      <c r="F633">
        <v>1</v>
      </c>
      <c r="G633">
        <v>1</v>
      </c>
      <c r="H633">
        <v>3</v>
      </c>
      <c r="I633" t="s">
        <v>1577</v>
      </c>
      <c r="J633" t="s">
        <v>1578</v>
      </c>
      <c r="K633" t="s">
        <v>1579</v>
      </c>
      <c r="L633">
        <v>1348</v>
      </c>
      <c r="N633">
        <v>1009</v>
      </c>
      <c r="O633" t="s">
        <v>98</v>
      </c>
      <c r="P633" t="s">
        <v>98</v>
      </c>
      <c r="Q633">
        <v>1000</v>
      </c>
      <c r="W633">
        <v>0</v>
      </c>
      <c r="X633">
        <v>731670393</v>
      </c>
      <c r="Y633">
        <v>5.0000000000000002E-5</v>
      </c>
      <c r="AA633">
        <v>188937.87</v>
      </c>
      <c r="AB633">
        <v>0</v>
      </c>
      <c r="AC633">
        <v>0</v>
      </c>
      <c r="AD633">
        <v>0</v>
      </c>
      <c r="AE633">
        <v>26499</v>
      </c>
      <c r="AF633">
        <v>0</v>
      </c>
      <c r="AG633">
        <v>0</v>
      </c>
      <c r="AH633">
        <v>0</v>
      </c>
      <c r="AI633">
        <v>7.13</v>
      </c>
      <c r="AJ633">
        <v>1</v>
      </c>
      <c r="AK633">
        <v>1</v>
      </c>
      <c r="AL633">
        <v>1</v>
      </c>
      <c r="AN633">
        <v>0</v>
      </c>
      <c r="AO633">
        <v>1</v>
      </c>
      <c r="AP633">
        <v>0</v>
      </c>
      <c r="AQ633">
        <v>0</v>
      </c>
      <c r="AR633">
        <v>0</v>
      </c>
      <c r="AS633" t="s">
        <v>6</v>
      </c>
      <c r="AT633">
        <v>5.0000000000000002E-5</v>
      </c>
      <c r="AU633" t="s">
        <v>6</v>
      </c>
      <c r="AV633">
        <v>0</v>
      </c>
      <c r="AW633">
        <v>2</v>
      </c>
      <c r="AX633">
        <v>16632544</v>
      </c>
      <c r="AY633">
        <v>1</v>
      </c>
      <c r="AZ633">
        <v>0</v>
      </c>
      <c r="BA633">
        <v>621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Y633*Source!I279</f>
        <v>3.0000000000000003E-4</v>
      </c>
      <c r="CY633">
        <f>AA633</f>
        <v>188937.87</v>
      </c>
      <c r="CZ633">
        <f>AE633</f>
        <v>26499</v>
      </c>
      <c r="DA633">
        <f>AI633</f>
        <v>7.13</v>
      </c>
      <c r="DB633">
        <f>ROUND(ROUND(AT633*CZ633,2),2)</f>
        <v>1.32</v>
      </c>
      <c r="DC633">
        <f>ROUND(ROUND(AT633*AG633,2),2)</f>
        <v>0</v>
      </c>
    </row>
    <row r="634" spans="1:107" x14ac:dyDescent="0.2">
      <c r="A634">
        <f>ROW(Source!A279)</f>
        <v>279</v>
      </c>
      <c r="B634">
        <v>16630606</v>
      </c>
      <c r="C634">
        <v>16632531</v>
      </c>
      <c r="D634">
        <v>15169941</v>
      </c>
      <c r="E634">
        <v>1</v>
      </c>
      <c r="F634">
        <v>1</v>
      </c>
      <c r="G634">
        <v>1</v>
      </c>
      <c r="H634">
        <v>3</v>
      </c>
      <c r="I634" t="s">
        <v>1580</v>
      </c>
      <c r="J634" t="s">
        <v>1581</v>
      </c>
      <c r="K634" t="s">
        <v>1427</v>
      </c>
      <c r="L634">
        <v>1348</v>
      </c>
      <c r="N634">
        <v>1009</v>
      </c>
      <c r="O634" t="s">
        <v>98</v>
      </c>
      <c r="P634" t="s">
        <v>98</v>
      </c>
      <c r="Q634">
        <v>1000</v>
      </c>
      <c r="W634">
        <v>0</v>
      </c>
      <c r="X634">
        <v>-437906794</v>
      </c>
      <c r="Y634">
        <v>3.0000000000000001E-5</v>
      </c>
      <c r="AA634">
        <v>64455.27</v>
      </c>
      <c r="AB634">
        <v>0</v>
      </c>
      <c r="AC634">
        <v>0</v>
      </c>
      <c r="AD634">
        <v>0</v>
      </c>
      <c r="AE634">
        <v>9040.01</v>
      </c>
      <c r="AF634">
        <v>0</v>
      </c>
      <c r="AG634">
        <v>0</v>
      </c>
      <c r="AH634">
        <v>0</v>
      </c>
      <c r="AI634">
        <v>7.13</v>
      </c>
      <c r="AJ634">
        <v>1</v>
      </c>
      <c r="AK634">
        <v>1</v>
      </c>
      <c r="AL634">
        <v>1</v>
      </c>
      <c r="AN634">
        <v>0</v>
      </c>
      <c r="AO634">
        <v>1</v>
      </c>
      <c r="AP634">
        <v>0</v>
      </c>
      <c r="AQ634">
        <v>0</v>
      </c>
      <c r="AR634">
        <v>0</v>
      </c>
      <c r="AS634" t="s">
        <v>6</v>
      </c>
      <c r="AT634">
        <v>3.0000000000000001E-5</v>
      </c>
      <c r="AU634" t="s">
        <v>6</v>
      </c>
      <c r="AV634">
        <v>0</v>
      </c>
      <c r="AW634">
        <v>2</v>
      </c>
      <c r="AX634">
        <v>16632545</v>
      </c>
      <c r="AY634">
        <v>1</v>
      </c>
      <c r="AZ634">
        <v>0</v>
      </c>
      <c r="BA634">
        <v>622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Y634*Source!I279</f>
        <v>1.8000000000000001E-4</v>
      </c>
      <c r="CY634">
        <f>AA634</f>
        <v>64455.27</v>
      </c>
      <c r="CZ634">
        <f>AE634</f>
        <v>9040.01</v>
      </c>
      <c r="DA634">
        <f>AI634</f>
        <v>7.13</v>
      </c>
      <c r="DB634">
        <f>ROUND(ROUND(AT634*CZ634,2),2)</f>
        <v>0.27</v>
      </c>
      <c r="DC634">
        <f>ROUND(ROUND(AT634*AG634,2),2)</f>
        <v>0</v>
      </c>
    </row>
    <row r="635" spans="1:107" x14ac:dyDescent="0.2">
      <c r="A635">
        <f>ROW(Source!A279)</f>
        <v>279</v>
      </c>
      <c r="B635">
        <v>16630606</v>
      </c>
      <c r="C635">
        <v>16632531</v>
      </c>
      <c r="D635">
        <v>15170824</v>
      </c>
      <c r="E635">
        <v>1</v>
      </c>
      <c r="F635">
        <v>1</v>
      </c>
      <c r="G635">
        <v>1</v>
      </c>
      <c r="H635">
        <v>3</v>
      </c>
      <c r="I635" t="s">
        <v>1582</v>
      </c>
      <c r="J635" t="s">
        <v>1583</v>
      </c>
      <c r="K635" t="s">
        <v>1584</v>
      </c>
      <c r="L635">
        <v>1346</v>
      </c>
      <c r="N635">
        <v>1009</v>
      </c>
      <c r="O635" t="s">
        <v>102</v>
      </c>
      <c r="P635" t="s">
        <v>102</v>
      </c>
      <c r="Q635">
        <v>1</v>
      </c>
      <c r="W635">
        <v>0</v>
      </c>
      <c r="X635">
        <v>-731615568</v>
      </c>
      <c r="Y635">
        <v>0.115</v>
      </c>
      <c r="AA635">
        <v>164.63</v>
      </c>
      <c r="AB635">
        <v>0</v>
      </c>
      <c r="AC635">
        <v>0</v>
      </c>
      <c r="AD635">
        <v>0</v>
      </c>
      <c r="AE635">
        <v>23.09</v>
      </c>
      <c r="AF635">
        <v>0</v>
      </c>
      <c r="AG635">
        <v>0</v>
      </c>
      <c r="AH635">
        <v>0</v>
      </c>
      <c r="AI635">
        <v>7.13</v>
      </c>
      <c r="AJ635">
        <v>1</v>
      </c>
      <c r="AK635">
        <v>1</v>
      </c>
      <c r="AL635">
        <v>1</v>
      </c>
      <c r="AN635">
        <v>0</v>
      </c>
      <c r="AO635">
        <v>1</v>
      </c>
      <c r="AP635">
        <v>0</v>
      </c>
      <c r="AQ635">
        <v>0</v>
      </c>
      <c r="AR635">
        <v>0</v>
      </c>
      <c r="AS635" t="s">
        <v>6</v>
      </c>
      <c r="AT635">
        <v>0.115</v>
      </c>
      <c r="AU635" t="s">
        <v>6</v>
      </c>
      <c r="AV635">
        <v>0</v>
      </c>
      <c r="AW635">
        <v>2</v>
      </c>
      <c r="AX635">
        <v>16632546</v>
      </c>
      <c r="AY635">
        <v>1</v>
      </c>
      <c r="AZ635">
        <v>0</v>
      </c>
      <c r="BA635">
        <v>623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Y635*Source!I279</f>
        <v>0.69000000000000006</v>
      </c>
      <c r="CY635">
        <f>AA635</f>
        <v>164.63</v>
      </c>
      <c r="CZ635">
        <f>AE635</f>
        <v>23.09</v>
      </c>
      <c r="DA635">
        <f>AI635</f>
        <v>7.13</v>
      </c>
      <c r="DB635">
        <f>ROUND(ROUND(AT635*CZ635,2),2)</f>
        <v>2.66</v>
      </c>
      <c r="DC635">
        <f>ROUND(ROUND(AT635*AG635,2),2)</f>
        <v>0</v>
      </c>
    </row>
    <row r="636" spans="1:107" x14ac:dyDescent="0.2">
      <c r="A636">
        <f>ROW(Source!A279)</f>
        <v>279</v>
      </c>
      <c r="B636">
        <v>16630606</v>
      </c>
      <c r="C636">
        <v>16632531</v>
      </c>
      <c r="D636">
        <v>15214242</v>
      </c>
      <c r="E636">
        <v>1</v>
      </c>
      <c r="F636">
        <v>1</v>
      </c>
      <c r="G636">
        <v>1</v>
      </c>
      <c r="H636">
        <v>3</v>
      </c>
      <c r="I636" t="s">
        <v>843</v>
      </c>
      <c r="J636" t="s">
        <v>845</v>
      </c>
      <c r="K636" t="s">
        <v>844</v>
      </c>
      <c r="L636">
        <v>1354</v>
      </c>
      <c r="N636">
        <v>1010</v>
      </c>
      <c r="O636" t="s">
        <v>132</v>
      </c>
      <c r="P636" t="s">
        <v>132</v>
      </c>
      <c r="Q636">
        <v>1</v>
      </c>
      <c r="W636">
        <v>0</v>
      </c>
      <c r="X636">
        <v>-490399019</v>
      </c>
      <c r="Y636">
        <v>1</v>
      </c>
      <c r="AA636">
        <v>2982.48</v>
      </c>
      <c r="AB636">
        <v>0</v>
      </c>
      <c r="AC636">
        <v>0</v>
      </c>
      <c r="AD636">
        <v>0</v>
      </c>
      <c r="AE636">
        <v>418.3</v>
      </c>
      <c r="AF636">
        <v>0</v>
      </c>
      <c r="AG636">
        <v>0</v>
      </c>
      <c r="AH636">
        <v>0</v>
      </c>
      <c r="AI636">
        <v>7.13</v>
      </c>
      <c r="AJ636">
        <v>1</v>
      </c>
      <c r="AK636">
        <v>1</v>
      </c>
      <c r="AL636">
        <v>1</v>
      </c>
      <c r="AN636">
        <v>0</v>
      </c>
      <c r="AO636">
        <v>0</v>
      </c>
      <c r="AP636">
        <v>0</v>
      </c>
      <c r="AQ636">
        <v>0</v>
      </c>
      <c r="AR636">
        <v>0</v>
      </c>
      <c r="AS636" t="s">
        <v>6</v>
      </c>
      <c r="AT636">
        <v>1</v>
      </c>
      <c r="AU636" t="s">
        <v>6</v>
      </c>
      <c r="AV636">
        <v>0</v>
      </c>
      <c r="AW636">
        <v>1</v>
      </c>
      <c r="AX636">
        <v>-1</v>
      </c>
      <c r="AY636">
        <v>0</v>
      </c>
      <c r="AZ636">
        <v>0</v>
      </c>
      <c r="BA636" t="s">
        <v>6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Y636*Source!I279</f>
        <v>6</v>
      </c>
      <c r="CY636">
        <f>AA636</f>
        <v>2982.48</v>
      </c>
      <c r="CZ636">
        <f>AE636</f>
        <v>418.3</v>
      </c>
      <c r="DA636">
        <f>AI636</f>
        <v>7.13</v>
      </c>
      <c r="DB636">
        <f>ROUND(ROUND(AT636*CZ636,2),2)</f>
        <v>418.3</v>
      </c>
      <c r="DC636">
        <f>ROUND(ROUND(AT636*AG636,2),2)</f>
        <v>0</v>
      </c>
    </row>
    <row r="637" spans="1:107" x14ac:dyDescent="0.2">
      <c r="A637">
        <f>ROW(Source!A281)</f>
        <v>281</v>
      </c>
      <c r="B637">
        <v>16630606</v>
      </c>
      <c r="C637">
        <v>16632550</v>
      </c>
      <c r="D637">
        <v>15436556</v>
      </c>
      <c r="E637">
        <v>1</v>
      </c>
      <c r="F637">
        <v>1</v>
      </c>
      <c r="G637">
        <v>1</v>
      </c>
      <c r="H637">
        <v>1</v>
      </c>
      <c r="I637" t="s">
        <v>1354</v>
      </c>
      <c r="J637" t="s">
        <v>6</v>
      </c>
      <c r="K637" t="s">
        <v>1355</v>
      </c>
      <c r="L637">
        <v>1191</v>
      </c>
      <c r="N637">
        <v>1013</v>
      </c>
      <c r="O637" t="s">
        <v>1148</v>
      </c>
      <c r="P637" t="s">
        <v>1148</v>
      </c>
      <c r="Q637">
        <v>1</v>
      </c>
      <c r="W637">
        <v>0</v>
      </c>
      <c r="X637">
        <v>1069510174</v>
      </c>
      <c r="Y637">
        <v>11.925499999999998</v>
      </c>
      <c r="AA637">
        <v>0</v>
      </c>
      <c r="AB637">
        <v>0</v>
      </c>
      <c r="AC637">
        <v>0</v>
      </c>
      <c r="AD637">
        <v>68.59</v>
      </c>
      <c r="AE637">
        <v>0</v>
      </c>
      <c r="AF637">
        <v>0</v>
      </c>
      <c r="AG637">
        <v>0</v>
      </c>
      <c r="AH637">
        <v>9.6199999999999992</v>
      </c>
      <c r="AI637">
        <v>1</v>
      </c>
      <c r="AJ637">
        <v>1</v>
      </c>
      <c r="AK637">
        <v>1</v>
      </c>
      <c r="AL637">
        <v>7.13</v>
      </c>
      <c r="AN637">
        <v>0</v>
      </c>
      <c r="AO637">
        <v>1</v>
      </c>
      <c r="AP637">
        <v>1</v>
      </c>
      <c r="AQ637">
        <v>0</v>
      </c>
      <c r="AR637">
        <v>0</v>
      </c>
      <c r="AS637" t="s">
        <v>6</v>
      </c>
      <c r="AT637">
        <v>10.37</v>
      </c>
      <c r="AU637" t="s">
        <v>82</v>
      </c>
      <c r="AV637">
        <v>1</v>
      </c>
      <c r="AW637">
        <v>2</v>
      </c>
      <c r="AX637">
        <v>16632559</v>
      </c>
      <c r="AY637">
        <v>1</v>
      </c>
      <c r="AZ637">
        <v>0</v>
      </c>
      <c r="BA637">
        <v>626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Y637*Source!I281</f>
        <v>23.850999999999996</v>
      </c>
      <c r="CY637">
        <f>AD637</f>
        <v>68.59</v>
      </c>
      <c r="CZ637">
        <f>AH637</f>
        <v>9.6199999999999992</v>
      </c>
      <c r="DA637">
        <f>AL637</f>
        <v>7.13</v>
      </c>
      <c r="DB637">
        <f>ROUND((ROUND(AT637*CZ637,2)*1.15),2)</f>
        <v>114.72</v>
      </c>
      <c r="DC637">
        <f>ROUND((ROUND(AT637*AG637,2)*1.15),2)</f>
        <v>0</v>
      </c>
    </row>
    <row r="638" spans="1:107" x14ac:dyDescent="0.2">
      <c r="A638">
        <f>ROW(Source!A281)</f>
        <v>281</v>
      </c>
      <c r="B638">
        <v>16630606</v>
      </c>
      <c r="C638">
        <v>16632550</v>
      </c>
      <c r="D638">
        <v>15430395</v>
      </c>
      <c r="E638">
        <v>1</v>
      </c>
      <c r="F638">
        <v>1</v>
      </c>
      <c r="G638">
        <v>1</v>
      </c>
      <c r="H638">
        <v>1</v>
      </c>
      <c r="I638" t="s">
        <v>1149</v>
      </c>
      <c r="J638" t="s">
        <v>6</v>
      </c>
      <c r="K638" t="s">
        <v>1150</v>
      </c>
      <c r="L638">
        <v>1191</v>
      </c>
      <c r="N638">
        <v>1013</v>
      </c>
      <c r="O638" t="s">
        <v>1148</v>
      </c>
      <c r="P638" t="s">
        <v>1148</v>
      </c>
      <c r="Q638">
        <v>1</v>
      </c>
      <c r="W638">
        <v>0</v>
      </c>
      <c r="X638">
        <v>-1417349443</v>
      </c>
      <c r="Y638">
        <v>0.19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1</v>
      </c>
      <c r="AJ638">
        <v>1</v>
      </c>
      <c r="AK638">
        <v>7.13</v>
      </c>
      <c r="AL638">
        <v>1</v>
      </c>
      <c r="AN638">
        <v>0</v>
      </c>
      <c r="AO638">
        <v>1</v>
      </c>
      <c r="AP638">
        <v>0</v>
      </c>
      <c r="AQ638">
        <v>0</v>
      </c>
      <c r="AR638">
        <v>0</v>
      </c>
      <c r="AS638" t="s">
        <v>6</v>
      </c>
      <c r="AT638">
        <v>0.19</v>
      </c>
      <c r="AU638" t="s">
        <v>6</v>
      </c>
      <c r="AV638">
        <v>2</v>
      </c>
      <c r="AW638">
        <v>2</v>
      </c>
      <c r="AX638">
        <v>16632560</v>
      </c>
      <c r="AY638">
        <v>1</v>
      </c>
      <c r="AZ638">
        <v>2048</v>
      </c>
      <c r="BA638">
        <v>627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Y638*Source!I281</f>
        <v>0.38</v>
      </c>
      <c r="CY638">
        <f>AD638</f>
        <v>0</v>
      </c>
      <c r="CZ638">
        <f>AH638</f>
        <v>0</v>
      </c>
      <c r="DA638">
        <f>AL638</f>
        <v>1</v>
      </c>
      <c r="DB638">
        <f>ROUND(ROUND(AT638*CZ638,2),2)</f>
        <v>0</v>
      </c>
      <c r="DC638">
        <f>ROUND(ROUND(AT638*AG638,2),2)</f>
        <v>0</v>
      </c>
    </row>
    <row r="639" spans="1:107" x14ac:dyDescent="0.2">
      <c r="A639">
        <f>ROW(Source!A281)</f>
        <v>281</v>
      </c>
      <c r="B639">
        <v>16630606</v>
      </c>
      <c r="C639">
        <v>16632550</v>
      </c>
      <c r="D639">
        <v>15247680</v>
      </c>
      <c r="E639">
        <v>1</v>
      </c>
      <c r="F639">
        <v>1</v>
      </c>
      <c r="G639">
        <v>1</v>
      </c>
      <c r="H639">
        <v>2</v>
      </c>
      <c r="I639" t="s">
        <v>1419</v>
      </c>
      <c r="J639" t="s">
        <v>1420</v>
      </c>
      <c r="K639" t="s">
        <v>1421</v>
      </c>
      <c r="L639">
        <v>1368</v>
      </c>
      <c r="N639">
        <v>1011</v>
      </c>
      <c r="O639" t="s">
        <v>1154</v>
      </c>
      <c r="P639" t="s">
        <v>1154</v>
      </c>
      <c r="Q639">
        <v>1</v>
      </c>
      <c r="W639">
        <v>0</v>
      </c>
      <c r="X639">
        <v>-1718674368</v>
      </c>
      <c r="Y639">
        <v>2.5000000000000001E-2</v>
      </c>
      <c r="AA639">
        <v>0</v>
      </c>
      <c r="AB639">
        <v>798.49</v>
      </c>
      <c r="AC639">
        <v>13.5</v>
      </c>
      <c r="AD639">
        <v>0</v>
      </c>
      <c r="AE639">
        <v>0</v>
      </c>
      <c r="AF639">
        <v>111.99</v>
      </c>
      <c r="AG639">
        <v>13.5</v>
      </c>
      <c r="AH639">
        <v>0</v>
      </c>
      <c r="AI639">
        <v>1</v>
      </c>
      <c r="AJ639">
        <v>7.13</v>
      </c>
      <c r="AK639">
        <v>1</v>
      </c>
      <c r="AL639">
        <v>1</v>
      </c>
      <c r="AN639">
        <v>0</v>
      </c>
      <c r="AO639">
        <v>1</v>
      </c>
      <c r="AP639">
        <v>1</v>
      </c>
      <c r="AQ639">
        <v>0</v>
      </c>
      <c r="AR639">
        <v>0</v>
      </c>
      <c r="AS639" t="s">
        <v>6</v>
      </c>
      <c r="AT639">
        <v>0.02</v>
      </c>
      <c r="AU639" t="s">
        <v>81</v>
      </c>
      <c r="AV639">
        <v>0</v>
      </c>
      <c r="AW639">
        <v>2</v>
      </c>
      <c r="AX639">
        <v>16632561</v>
      </c>
      <c r="AY639">
        <v>1</v>
      </c>
      <c r="AZ639">
        <v>0</v>
      </c>
      <c r="BA639">
        <v>628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Y639*Source!I281</f>
        <v>0.05</v>
      </c>
      <c r="CY639">
        <f>AB639</f>
        <v>798.49</v>
      </c>
      <c r="CZ639">
        <f>AF639</f>
        <v>111.99</v>
      </c>
      <c r="DA639">
        <f>AJ639</f>
        <v>7.13</v>
      </c>
      <c r="DB639">
        <f>ROUND((ROUND(AT639*CZ639,2)*1.25),2)</f>
        <v>2.8</v>
      </c>
      <c r="DC639">
        <f>ROUND((ROUND(AT639*AG639,2)*1.25),2)</f>
        <v>0.34</v>
      </c>
    </row>
    <row r="640" spans="1:107" x14ac:dyDescent="0.2">
      <c r="A640">
        <f>ROW(Source!A281)</f>
        <v>281</v>
      </c>
      <c r="B640">
        <v>16630606</v>
      </c>
      <c r="C640">
        <v>16632550</v>
      </c>
      <c r="D640">
        <v>15247860</v>
      </c>
      <c r="E640">
        <v>1</v>
      </c>
      <c r="F640">
        <v>1</v>
      </c>
      <c r="G640">
        <v>1</v>
      </c>
      <c r="H640">
        <v>2</v>
      </c>
      <c r="I640" t="s">
        <v>1588</v>
      </c>
      <c r="J640" t="s">
        <v>1589</v>
      </c>
      <c r="K640" t="s">
        <v>1590</v>
      </c>
      <c r="L640">
        <v>1368</v>
      </c>
      <c r="N640">
        <v>1011</v>
      </c>
      <c r="O640" t="s">
        <v>1154</v>
      </c>
      <c r="P640" t="s">
        <v>1154</v>
      </c>
      <c r="Q640">
        <v>1</v>
      </c>
      <c r="W640">
        <v>0</v>
      </c>
      <c r="X640">
        <v>1373224040</v>
      </c>
      <c r="Y640">
        <v>2.9625000000000004</v>
      </c>
      <c r="AA640">
        <v>0</v>
      </c>
      <c r="AB640">
        <v>22.25</v>
      </c>
      <c r="AC640">
        <v>0</v>
      </c>
      <c r="AD640">
        <v>0</v>
      </c>
      <c r="AE640">
        <v>0</v>
      </c>
      <c r="AF640">
        <v>3.12</v>
      </c>
      <c r="AG640">
        <v>0</v>
      </c>
      <c r="AH640">
        <v>0</v>
      </c>
      <c r="AI640">
        <v>1</v>
      </c>
      <c r="AJ640">
        <v>7.13</v>
      </c>
      <c r="AK640">
        <v>1</v>
      </c>
      <c r="AL640">
        <v>1</v>
      </c>
      <c r="AN640">
        <v>0</v>
      </c>
      <c r="AO640">
        <v>1</v>
      </c>
      <c r="AP640">
        <v>1</v>
      </c>
      <c r="AQ640">
        <v>0</v>
      </c>
      <c r="AR640">
        <v>0</v>
      </c>
      <c r="AS640" t="s">
        <v>6</v>
      </c>
      <c r="AT640">
        <v>2.37</v>
      </c>
      <c r="AU640" t="s">
        <v>81</v>
      </c>
      <c r="AV640">
        <v>0</v>
      </c>
      <c r="AW640">
        <v>2</v>
      </c>
      <c r="AX640">
        <v>16632562</v>
      </c>
      <c r="AY640">
        <v>1</v>
      </c>
      <c r="AZ640">
        <v>0</v>
      </c>
      <c r="BA640">
        <v>629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Y640*Source!I281</f>
        <v>5.9250000000000007</v>
      </c>
      <c r="CY640">
        <f>AB640</f>
        <v>22.25</v>
      </c>
      <c r="CZ640">
        <f>AF640</f>
        <v>3.12</v>
      </c>
      <c r="DA640">
        <f>AJ640</f>
        <v>7.13</v>
      </c>
      <c r="DB640">
        <f>ROUND((ROUND(AT640*CZ640,2)*1.25),2)</f>
        <v>9.24</v>
      </c>
      <c r="DC640">
        <f>ROUND((ROUND(AT640*AG640,2)*1.25),2)</f>
        <v>0</v>
      </c>
    </row>
    <row r="641" spans="1:107" x14ac:dyDescent="0.2">
      <c r="A641">
        <f>ROW(Source!A281)</f>
        <v>281</v>
      </c>
      <c r="B641">
        <v>16630606</v>
      </c>
      <c r="C641">
        <v>16632550</v>
      </c>
      <c r="D641">
        <v>15249073</v>
      </c>
      <c r="E641">
        <v>1</v>
      </c>
      <c r="F641">
        <v>1</v>
      </c>
      <c r="G641">
        <v>1</v>
      </c>
      <c r="H641">
        <v>2</v>
      </c>
      <c r="I641" t="s">
        <v>1157</v>
      </c>
      <c r="J641" t="s">
        <v>1158</v>
      </c>
      <c r="K641" t="s">
        <v>1159</v>
      </c>
      <c r="L641">
        <v>1368</v>
      </c>
      <c r="N641">
        <v>1011</v>
      </c>
      <c r="O641" t="s">
        <v>1154</v>
      </c>
      <c r="P641" t="s">
        <v>1154</v>
      </c>
      <c r="Q641">
        <v>1</v>
      </c>
      <c r="W641">
        <v>0</v>
      </c>
      <c r="X641">
        <v>1372534845</v>
      </c>
      <c r="Y641">
        <v>0.21250000000000002</v>
      </c>
      <c r="AA641">
        <v>0</v>
      </c>
      <c r="AB641">
        <v>468.51</v>
      </c>
      <c r="AC641">
        <v>11.6</v>
      </c>
      <c r="AD641">
        <v>0</v>
      </c>
      <c r="AE641">
        <v>0</v>
      </c>
      <c r="AF641">
        <v>65.709999999999994</v>
      </c>
      <c r="AG641">
        <v>11.6</v>
      </c>
      <c r="AH641">
        <v>0</v>
      </c>
      <c r="AI641">
        <v>1</v>
      </c>
      <c r="AJ641">
        <v>7.13</v>
      </c>
      <c r="AK641">
        <v>1</v>
      </c>
      <c r="AL641">
        <v>1</v>
      </c>
      <c r="AN641">
        <v>0</v>
      </c>
      <c r="AO641">
        <v>1</v>
      </c>
      <c r="AP641">
        <v>1</v>
      </c>
      <c r="AQ641">
        <v>0</v>
      </c>
      <c r="AR641">
        <v>0</v>
      </c>
      <c r="AS641" t="s">
        <v>6</v>
      </c>
      <c r="AT641">
        <v>0.17</v>
      </c>
      <c r="AU641" t="s">
        <v>81</v>
      </c>
      <c r="AV641">
        <v>0</v>
      </c>
      <c r="AW641">
        <v>2</v>
      </c>
      <c r="AX641">
        <v>16632563</v>
      </c>
      <c r="AY641">
        <v>1</v>
      </c>
      <c r="AZ641">
        <v>0</v>
      </c>
      <c r="BA641">
        <v>630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Y641*Source!I281</f>
        <v>0.42500000000000004</v>
      </c>
      <c r="CY641">
        <f>AB641</f>
        <v>468.51</v>
      </c>
      <c r="CZ641">
        <f>AF641</f>
        <v>65.709999999999994</v>
      </c>
      <c r="DA641">
        <f>AJ641</f>
        <v>7.13</v>
      </c>
      <c r="DB641">
        <f>ROUND((ROUND(AT641*CZ641,2)*1.25),2)</f>
        <v>13.96</v>
      </c>
      <c r="DC641">
        <f>ROUND((ROUND(AT641*AG641,2)*1.25),2)</f>
        <v>2.46</v>
      </c>
    </row>
    <row r="642" spans="1:107" x14ac:dyDescent="0.2">
      <c r="A642">
        <f>ROW(Source!A281)</f>
        <v>281</v>
      </c>
      <c r="B642">
        <v>16630606</v>
      </c>
      <c r="C642">
        <v>16632550</v>
      </c>
      <c r="D642">
        <v>15169941</v>
      </c>
      <c r="E642">
        <v>1</v>
      </c>
      <c r="F642">
        <v>1</v>
      </c>
      <c r="G642">
        <v>1</v>
      </c>
      <c r="H642">
        <v>3</v>
      </c>
      <c r="I642" t="s">
        <v>1580</v>
      </c>
      <c r="J642" t="s">
        <v>1581</v>
      </c>
      <c r="K642" t="s">
        <v>1427</v>
      </c>
      <c r="L642">
        <v>1348</v>
      </c>
      <c r="N642">
        <v>1009</v>
      </c>
      <c r="O642" t="s">
        <v>98</v>
      </c>
      <c r="P642" t="s">
        <v>98</v>
      </c>
      <c r="Q642">
        <v>1000</v>
      </c>
      <c r="W642">
        <v>0</v>
      </c>
      <c r="X642">
        <v>-437906794</v>
      </c>
      <c r="Y642">
        <v>3.0000000000000001E-5</v>
      </c>
      <c r="AA642">
        <v>64455.27</v>
      </c>
      <c r="AB642">
        <v>0</v>
      </c>
      <c r="AC642">
        <v>0</v>
      </c>
      <c r="AD642">
        <v>0</v>
      </c>
      <c r="AE642">
        <v>9040.01</v>
      </c>
      <c r="AF642">
        <v>0</v>
      </c>
      <c r="AG642">
        <v>0</v>
      </c>
      <c r="AH642">
        <v>0</v>
      </c>
      <c r="AI642">
        <v>7.13</v>
      </c>
      <c r="AJ642">
        <v>1</v>
      </c>
      <c r="AK642">
        <v>1</v>
      </c>
      <c r="AL642">
        <v>1</v>
      </c>
      <c r="AN642">
        <v>0</v>
      </c>
      <c r="AO642">
        <v>1</v>
      </c>
      <c r="AP642">
        <v>0</v>
      </c>
      <c r="AQ642">
        <v>0</v>
      </c>
      <c r="AR642">
        <v>0</v>
      </c>
      <c r="AS642" t="s">
        <v>6</v>
      </c>
      <c r="AT642">
        <v>3.0000000000000001E-5</v>
      </c>
      <c r="AU642" t="s">
        <v>6</v>
      </c>
      <c r="AV642">
        <v>0</v>
      </c>
      <c r="AW642">
        <v>2</v>
      </c>
      <c r="AX642">
        <v>16632565</v>
      </c>
      <c r="AY642">
        <v>1</v>
      </c>
      <c r="AZ642">
        <v>0</v>
      </c>
      <c r="BA642">
        <v>632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Y642*Source!I281</f>
        <v>6.0000000000000002E-5</v>
      </c>
      <c r="CY642">
        <f>AA642</f>
        <v>64455.27</v>
      </c>
      <c r="CZ642">
        <f>AE642</f>
        <v>9040.01</v>
      </c>
      <c r="DA642">
        <f>AI642</f>
        <v>7.13</v>
      </c>
      <c r="DB642">
        <f t="shared" ref="DB642:DB676" si="113">ROUND(ROUND(AT642*CZ642,2),2)</f>
        <v>0.27</v>
      </c>
      <c r="DC642">
        <f t="shared" ref="DC642:DC676" si="114">ROUND(ROUND(AT642*AG642,2),2)</f>
        <v>0</v>
      </c>
    </row>
    <row r="643" spans="1:107" x14ac:dyDescent="0.2">
      <c r="A643">
        <f>ROW(Source!A281)</f>
        <v>281</v>
      </c>
      <c r="B643">
        <v>16630606</v>
      </c>
      <c r="C643">
        <v>16632550</v>
      </c>
      <c r="D643">
        <v>15170824</v>
      </c>
      <c r="E643">
        <v>1</v>
      </c>
      <c r="F643">
        <v>1</v>
      </c>
      <c r="G643">
        <v>1</v>
      </c>
      <c r="H643">
        <v>3</v>
      </c>
      <c r="I643" t="s">
        <v>1582</v>
      </c>
      <c r="J643" t="s">
        <v>1583</v>
      </c>
      <c r="K643" t="s">
        <v>1584</v>
      </c>
      <c r="L643">
        <v>1346</v>
      </c>
      <c r="N643">
        <v>1009</v>
      </c>
      <c r="O643" t="s">
        <v>102</v>
      </c>
      <c r="P643" t="s">
        <v>102</v>
      </c>
      <c r="Q643">
        <v>1</v>
      </c>
      <c r="W643">
        <v>0</v>
      </c>
      <c r="X643">
        <v>-731615568</v>
      </c>
      <c r="Y643">
        <v>0.12</v>
      </c>
      <c r="AA643">
        <v>164.63</v>
      </c>
      <c r="AB643">
        <v>0</v>
      </c>
      <c r="AC643">
        <v>0</v>
      </c>
      <c r="AD643">
        <v>0</v>
      </c>
      <c r="AE643">
        <v>23.09</v>
      </c>
      <c r="AF643">
        <v>0</v>
      </c>
      <c r="AG643">
        <v>0</v>
      </c>
      <c r="AH643">
        <v>0</v>
      </c>
      <c r="AI643">
        <v>7.13</v>
      </c>
      <c r="AJ643">
        <v>1</v>
      </c>
      <c r="AK643">
        <v>1</v>
      </c>
      <c r="AL643">
        <v>1</v>
      </c>
      <c r="AN643">
        <v>0</v>
      </c>
      <c r="AO643">
        <v>1</v>
      </c>
      <c r="AP643">
        <v>0</v>
      </c>
      <c r="AQ643">
        <v>0</v>
      </c>
      <c r="AR643">
        <v>0</v>
      </c>
      <c r="AS643" t="s">
        <v>6</v>
      </c>
      <c r="AT643">
        <v>0.12</v>
      </c>
      <c r="AU643" t="s">
        <v>6</v>
      </c>
      <c r="AV643">
        <v>0</v>
      </c>
      <c r="AW643">
        <v>2</v>
      </c>
      <c r="AX643">
        <v>16632566</v>
      </c>
      <c r="AY643">
        <v>1</v>
      </c>
      <c r="AZ643">
        <v>0</v>
      </c>
      <c r="BA643">
        <v>633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Y643*Source!I281</f>
        <v>0.24</v>
      </c>
      <c r="CY643">
        <f>AA643</f>
        <v>164.63</v>
      </c>
      <c r="CZ643">
        <f>AE643</f>
        <v>23.09</v>
      </c>
      <c r="DA643">
        <f>AI643</f>
        <v>7.13</v>
      </c>
      <c r="DB643">
        <f t="shared" si="113"/>
        <v>2.77</v>
      </c>
      <c r="DC643">
        <f t="shared" si="114"/>
        <v>0</v>
      </c>
    </row>
    <row r="644" spans="1:107" x14ac:dyDescent="0.2">
      <c r="A644">
        <f>ROW(Source!A281)</f>
        <v>281</v>
      </c>
      <c r="B644">
        <v>16630606</v>
      </c>
      <c r="C644">
        <v>16632550</v>
      </c>
      <c r="D644">
        <v>15243661</v>
      </c>
      <c r="E644">
        <v>1</v>
      </c>
      <c r="F644">
        <v>1</v>
      </c>
      <c r="G644">
        <v>1</v>
      </c>
      <c r="H644">
        <v>3</v>
      </c>
      <c r="I644" t="s">
        <v>851</v>
      </c>
      <c r="J644" t="s">
        <v>853</v>
      </c>
      <c r="K644" t="s">
        <v>852</v>
      </c>
      <c r="L644">
        <v>1035</v>
      </c>
      <c r="N644">
        <v>1013</v>
      </c>
      <c r="O644" t="s">
        <v>177</v>
      </c>
      <c r="P644" t="s">
        <v>177</v>
      </c>
      <c r="Q644">
        <v>1</v>
      </c>
      <c r="W644">
        <v>0</v>
      </c>
      <c r="X644">
        <v>1043544076</v>
      </c>
      <c r="Y644">
        <v>1</v>
      </c>
      <c r="AA644">
        <v>10798.88</v>
      </c>
      <c r="AB644">
        <v>0</v>
      </c>
      <c r="AC644">
        <v>0</v>
      </c>
      <c r="AD644">
        <v>0</v>
      </c>
      <c r="AE644">
        <v>1514.57</v>
      </c>
      <c r="AF644">
        <v>0</v>
      </c>
      <c r="AG644">
        <v>0</v>
      </c>
      <c r="AH644">
        <v>0</v>
      </c>
      <c r="AI644">
        <v>7.13</v>
      </c>
      <c r="AJ644">
        <v>1</v>
      </c>
      <c r="AK644">
        <v>1</v>
      </c>
      <c r="AL644">
        <v>1</v>
      </c>
      <c r="AN644">
        <v>0</v>
      </c>
      <c r="AO644">
        <v>0</v>
      </c>
      <c r="AP644">
        <v>0</v>
      </c>
      <c r="AQ644">
        <v>0</v>
      </c>
      <c r="AR644">
        <v>0</v>
      </c>
      <c r="AS644" t="s">
        <v>6</v>
      </c>
      <c r="AT644">
        <v>1</v>
      </c>
      <c r="AU644" t="s">
        <v>6</v>
      </c>
      <c r="AV644">
        <v>0</v>
      </c>
      <c r="AW644">
        <v>1</v>
      </c>
      <c r="AX644">
        <v>-1</v>
      </c>
      <c r="AY644">
        <v>0</v>
      </c>
      <c r="AZ644">
        <v>0</v>
      </c>
      <c r="BA644" t="s">
        <v>6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Y644*Source!I281</f>
        <v>2</v>
      </c>
      <c r="CY644">
        <f>AA644</f>
        <v>10798.88</v>
      </c>
      <c r="CZ644">
        <f>AE644</f>
        <v>1514.57</v>
      </c>
      <c r="DA644">
        <f>AI644</f>
        <v>7.13</v>
      </c>
      <c r="DB644">
        <f t="shared" si="113"/>
        <v>1514.57</v>
      </c>
      <c r="DC644">
        <f t="shared" si="114"/>
        <v>0</v>
      </c>
    </row>
    <row r="645" spans="1:107" x14ac:dyDescent="0.2">
      <c r="A645">
        <f>ROW(Source!A283)</f>
        <v>283</v>
      </c>
      <c r="B645">
        <v>16630606</v>
      </c>
      <c r="C645">
        <v>16632568</v>
      </c>
      <c r="D645">
        <v>15430397</v>
      </c>
      <c r="E645">
        <v>1</v>
      </c>
      <c r="F645">
        <v>1</v>
      </c>
      <c r="G645">
        <v>1</v>
      </c>
      <c r="H645">
        <v>1</v>
      </c>
      <c r="I645" t="s">
        <v>1356</v>
      </c>
      <c r="J645" t="s">
        <v>6</v>
      </c>
      <c r="K645" t="s">
        <v>1357</v>
      </c>
      <c r="L645">
        <v>1191</v>
      </c>
      <c r="N645">
        <v>1013</v>
      </c>
      <c r="O645" t="s">
        <v>1148</v>
      </c>
      <c r="P645" t="s">
        <v>1148</v>
      </c>
      <c r="Q645">
        <v>1</v>
      </c>
      <c r="W645">
        <v>0</v>
      </c>
      <c r="X645">
        <v>-1081351934</v>
      </c>
      <c r="Y645">
        <v>0.6</v>
      </c>
      <c r="AA645">
        <v>0</v>
      </c>
      <c r="AB645">
        <v>0</v>
      </c>
      <c r="AC645">
        <v>0</v>
      </c>
      <c r="AD645">
        <v>67.02</v>
      </c>
      <c r="AE645">
        <v>0</v>
      </c>
      <c r="AF645">
        <v>0</v>
      </c>
      <c r="AG645">
        <v>0</v>
      </c>
      <c r="AH645">
        <v>9.4</v>
      </c>
      <c r="AI645">
        <v>1</v>
      </c>
      <c r="AJ645">
        <v>1</v>
      </c>
      <c r="AK645">
        <v>1</v>
      </c>
      <c r="AL645">
        <v>7.13</v>
      </c>
      <c r="AN645">
        <v>0</v>
      </c>
      <c r="AO645">
        <v>1</v>
      </c>
      <c r="AP645">
        <v>0</v>
      </c>
      <c r="AQ645">
        <v>0</v>
      </c>
      <c r="AR645">
        <v>0</v>
      </c>
      <c r="AS645" t="s">
        <v>6</v>
      </c>
      <c r="AT645">
        <v>0.6</v>
      </c>
      <c r="AU645" t="s">
        <v>6</v>
      </c>
      <c r="AV645">
        <v>1</v>
      </c>
      <c r="AW645">
        <v>2</v>
      </c>
      <c r="AX645">
        <v>16632574</v>
      </c>
      <c r="AY645">
        <v>1</v>
      </c>
      <c r="AZ645">
        <v>0</v>
      </c>
      <c r="BA645">
        <v>634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Y645*Source!I283</f>
        <v>1.2</v>
      </c>
      <c r="CY645">
        <f>AD645</f>
        <v>67.02</v>
      </c>
      <c r="CZ645">
        <f>AH645</f>
        <v>9.4</v>
      </c>
      <c r="DA645">
        <f>AL645</f>
        <v>7.13</v>
      </c>
      <c r="DB645">
        <f t="shared" si="113"/>
        <v>5.64</v>
      </c>
      <c r="DC645">
        <f t="shared" si="114"/>
        <v>0</v>
      </c>
    </row>
    <row r="646" spans="1:107" x14ac:dyDescent="0.2">
      <c r="A646">
        <f>ROW(Source!A283)</f>
        <v>283</v>
      </c>
      <c r="B646">
        <v>16630606</v>
      </c>
      <c r="C646">
        <v>16632568</v>
      </c>
      <c r="D646">
        <v>15226032</v>
      </c>
      <c r="E646">
        <v>1</v>
      </c>
      <c r="F646">
        <v>1</v>
      </c>
      <c r="G646">
        <v>1</v>
      </c>
      <c r="H646">
        <v>3</v>
      </c>
      <c r="I646" t="s">
        <v>1591</v>
      </c>
      <c r="J646" t="s">
        <v>1592</v>
      </c>
      <c r="K646" t="s">
        <v>1593</v>
      </c>
      <c r="L646">
        <v>1348</v>
      </c>
      <c r="N646">
        <v>1009</v>
      </c>
      <c r="O646" t="s">
        <v>98</v>
      </c>
      <c r="P646" t="s">
        <v>98</v>
      </c>
      <c r="Q646">
        <v>1000</v>
      </c>
      <c r="W646">
        <v>0</v>
      </c>
      <c r="X646">
        <v>1901666399</v>
      </c>
      <c r="Y646">
        <v>6.0000000000000002E-5</v>
      </c>
      <c r="AA646">
        <v>106732.61</v>
      </c>
      <c r="AB646">
        <v>0</v>
      </c>
      <c r="AC646">
        <v>0</v>
      </c>
      <c r="AD646">
        <v>0</v>
      </c>
      <c r="AE646">
        <v>14969.51</v>
      </c>
      <c r="AF646">
        <v>0</v>
      </c>
      <c r="AG646">
        <v>0</v>
      </c>
      <c r="AH646">
        <v>0</v>
      </c>
      <c r="AI646">
        <v>7.13</v>
      </c>
      <c r="AJ646">
        <v>1</v>
      </c>
      <c r="AK646">
        <v>1</v>
      </c>
      <c r="AL646">
        <v>1</v>
      </c>
      <c r="AN646">
        <v>0</v>
      </c>
      <c r="AO646">
        <v>1</v>
      </c>
      <c r="AP646">
        <v>0</v>
      </c>
      <c r="AQ646">
        <v>0</v>
      </c>
      <c r="AR646">
        <v>0</v>
      </c>
      <c r="AS646" t="s">
        <v>6</v>
      </c>
      <c r="AT646">
        <v>6.0000000000000002E-5</v>
      </c>
      <c r="AU646" t="s">
        <v>6</v>
      </c>
      <c r="AV646">
        <v>0</v>
      </c>
      <c r="AW646">
        <v>2</v>
      </c>
      <c r="AX646">
        <v>16632575</v>
      </c>
      <c r="AY646">
        <v>1</v>
      </c>
      <c r="AZ646">
        <v>0</v>
      </c>
      <c r="BA646">
        <v>635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Y646*Source!I283</f>
        <v>1.2E-4</v>
      </c>
      <c r="CY646">
        <f>AA646</f>
        <v>106732.61</v>
      </c>
      <c r="CZ646">
        <f>AE646</f>
        <v>14969.51</v>
      </c>
      <c r="DA646">
        <f>AI646</f>
        <v>7.13</v>
      </c>
      <c r="DB646">
        <f t="shared" si="113"/>
        <v>0.9</v>
      </c>
      <c r="DC646">
        <f t="shared" si="114"/>
        <v>0</v>
      </c>
    </row>
    <row r="647" spans="1:107" x14ac:dyDescent="0.2">
      <c r="A647">
        <f>ROW(Source!A283)</f>
        <v>283</v>
      </c>
      <c r="B647">
        <v>16630606</v>
      </c>
      <c r="C647">
        <v>16632568</v>
      </c>
      <c r="D647">
        <v>15240275</v>
      </c>
      <c r="E647">
        <v>1</v>
      </c>
      <c r="F647">
        <v>1</v>
      </c>
      <c r="G647">
        <v>1</v>
      </c>
      <c r="H647">
        <v>3</v>
      </c>
      <c r="I647" t="s">
        <v>859</v>
      </c>
      <c r="J647" t="s">
        <v>861</v>
      </c>
      <c r="K647" t="s">
        <v>860</v>
      </c>
      <c r="L647">
        <v>1354</v>
      </c>
      <c r="N647">
        <v>1010</v>
      </c>
      <c r="O647" t="s">
        <v>132</v>
      </c>
      <c r="P647" t="s">
        <v>132</v>
      </c>
      <c r="Q647">
        <v>1</v>
      </c>
      <c r="W647">
        <v>0</v>
      </c>
      <c r="X647">
        <v>-386630694</v>
      </c>
      <c r="Y647">
        <v>1</v>
      </c>
      <c r="AA647">
        <v>2587.41</v>
      </c>
      <c r="AB647">
        <v>0</v>
      </c>
      <c r="AC647">
        <v>0</v>
      </c>
      <c r="AD647">
        <v>0</v>
      </c>
      <c r="AE647">
        <v>362.89</v>
      </c>
      <c r="AF647">
        <v>0</v>
      </c>
      <c r="AG647">
        <v>0</v>
      </c>
      <c r="AH647">
        <v>0</v>
      </c>
      <c r="AI647">
        <v>7.13</v>
      </c>
      <c r="AJ647">
        <v>1</v>
      </c>
      <c r="AK647">
        <v>1</v>
      </c>
      <c r="AL647">
        <v>1</v>
      </c>
      <c r="AN647">
        <v>0</v>
      </c>
      <c r="AO647">
        <v>0</v>
      </c>
      <c r="AP647">
        <v>0</v>
      </c>
      <c r="AQ647">
        <v>0</v>
      </c>
      <c r="AR647">
        <v>0</v>
      </c>
      <c r="AS647" t="s">
        <v>6</v>
      </c>
      <c r="AT647">
        <v>1</v>
      </c>
      <c r="AU647" t="s">
        <v>6</v>
      </c>
      <c r="AV647">
        <v>0</v>
      </c>
      <c r="AW647">
        <v>1</v>
      </c>
      <c r="AX647">
        <v>-1</v>
      </c>
      <c r="AY647">
        <v>0</v>
      </c>
      <c r="AZ647">
        <v>0</v>
      </c>
      <c r="BA647" t="s">
        <v>6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Y647*Source!I283</f>
        <v>2</v>
      </c>
      <c r="CY647">
        <f>AA647</f>
        <v>2587.41</v>
      </c>
      <c r="CZ647">
        <f>AE647</f>
        <v>362.89</v>
      </c>
      <c r="DA647">
        <f>AI647</f>
        <v>7.13</v>
      </c>
      <c r="DB647">
        <f t="shared" si="113"/>
        <v>362.89</v>
      </c>
      <c r="DC647">
        <f t="shared" si="114"/>
        <v>0</v>
      </c>
    </row>
    <row r="648" spans="1:107" x14ac:dyDescent="0.2">
      <c r="A648">
        <f>ROW(Source!A283)</f>
        <v>283</v>
      </c>
      <c r="B648">
        <v>16630606</v>
      </c>
      <c r="C648">
        <v>16632568</v>
      </c>
      <c r="D648">
        <v>15164559</v>
      </c>
      <c r="E648">
        <v>17</v>
      </c>
      <c r="F648">
        <v>1</v>
      </c>
      <c r="G648">
        <v>1</v>
      </c>
      <c r="H648">
        <v>3</v>
      </c>
      <c r="I648" t="s">
        <v>1431</v>
      </c>
      <c r="J648" t="s">
        <v>6</v>
      </c>
      <c r="K648" t="s">
        <v>1432</v>
      </c>
      <c r="L648">
        <v>1374</v>
      </c>
      <c r="N648">
        <v>1013</v>
      </c>
      <c r="O648" t="s">
        <v>1433</v>
      </c>
      <c r="P648" t="s">
        <v>1433</v>
      </c>
      <c r="Q648">
        <v>1</v>
      </c>
      <c r="W648">
        <v>0</v>
      </c>
      <c r="X648">
        <v>-1731369543</v>
      </c>
      <c r="Y648">
        <v>0.11</v>
      </c>
      <c r="AA648">
        <v>1</v>
      </c>
      <c r="AB648">
        <v>0</v>
      </c>
      <c r="AC648">
        <v>0</v>
      </c>
      <c r="AD648">
        <v>0</v>
      </c>
      <c r="AE648">
        <v>1</v>
      </c>
      <c r="AF648">
        <v>0</v>
      </c>
      <c r="AG648">
        <v>0</v>
      </c>
      <c r="AH648">
        <v>0</v>
      </c>
      <c r="AI648">
        <v>1</v>
      </c>
      <c r="AJ648">
        <v>1</v>
      </c>
      <c r="AK648">
        <v>1</v>
      </c>
      <c r="AL648">
        <v>1</v>
      </c>
      <c r="AN648">
        <v>0</v>
      </c>
      <c r="AO648">
        <v>1</v>
      </c>
      <c r="AP648">
        <v>0</v>
      </c>
      <c r="AQ648">
        <v>0</v>
      </c>
      <c r="AR648">
        <v>0</v>
      </c>
      <c r="AS648" t="s">
        <v>6</v>
      </c>
      <c r="AT648">
        <v>0.11</v>
      </c>
      <c r="AU648" t="s">
        <v>6</v>
      </c>
      <c r="AV648">
        <v>0</v>
      </c>
      <c r="AW648">
        <v>2</v>
      </c>
      <c r="AX648">
        <v>16632576</v>
      </c>
      <c r="AY648">
        <v>1</v>
      </c>
      <c r="AZ648">
        <v>0</v>
      </c>
      <c r="BA648">
        <v>636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Y648*Source!I283</f>
        <v>0.22</v>
      </c>
      <c r="CY648">
        <f>AA648</f>
        <v>1</v>
      </c>
      <c r="CZ648">
        <f>AE648</f>
        <v>1</v>
      </c>
      <c r="DA648">
        <f>AI648</f>
        <v>1</v>
      </c>
      <c r="DB648">
        <f t="shared" si="113"/>
        <v>0.11</v>
      </c>
      <c r="DC648">
        <f t="shared" si="114"/>
        <v>0</v>
      </c>
    </row>
    <row r="649" spans="1:107" x14ac:dyDescent="0.2">
      <c r="A649">
        <f>ROW(Source!A322)</f>
        <v>322</v>
      </c>
      <c r="B649">
        <v>16630606</v>
      </c>
      <c r="C649">
        <v>16632579</v>
      </c>
      <c r="D649">
        <v>15432258</v>
      </c>
      <c r="E649">
        <v>1</v>
      </c>
      <c r="F649">
        <v>1</v>
      </c>
      <c r="G649">
        <v>1</v>
      </c>
      <c r="H649">
        <v>1</v>
      </c>
      <c r="I649" t="s">
        <v>1594</v>
      </c>
      <c r="J649" t="s">
        <v>6</v>
      </c>
      <c r="K649" t="s">
        <v>1595</v>
      </c>
      <c r="L649">
        <v>1191</v>
      </c>
      <c r="N649">
        <v>1013</v>
      </c>
      <c r="O649" t="s">
        <v>1148</v>
      </c>
      <c r="P649" t="s">
        <v>1148</v>
      </c>
      <c r="Q649">
        <v>1</v>
      </c>
      <c r="W649">
        <v>0</v>
      </c>
      <c r="X649">
        <v>-608433632</v>
      </c>
      <c r="Y649">
        <v>68.8</v>
      </c>
      <c r="AA649">
        <v>0</v>
      </c>
      <c r="AB649">
        <v>0</v>
      </c>
      <c r="AC649">
        <v>0</v>
      </c>
      <c r="AD649">
        <v>60.32</v>
      </c>
      <c r="AE649">
        <v>0</v>
      </c>
      <c r="AF649">
        <v>0</v>
      </c>
      <c r="AG649">
        <v>0</v>
      </c>
      <c r="AH649">
        <v>8.4600000000000009</v>
      </c>
      <c r="AI649">
        <v>1</v>
      </c>
      <c r="AJ649">
        <v>1</v>
      </c>
      <c r="AK649">
        <v>1</v>
      </c>
      <c r="AL649">
        <v>7.13</v>
      </c>
      <c r="AN649">
        <v>0</v>
      </c>
      <c r="AO649">
        <v>1</v>
      </c>
      <c r="AP649">
        <v>0</v>
      </c>
      <c r="AQ649">
        <v>0</v>
      </c>
      <c r="AR649">
        <v>0</v>
      </c>
      <c r="AS649" t="s">
        <v>6</v>
      </c>
      <c r="AT649">
        <v>68.8</v>
      </c>
      <c r="AU649" t="s">
        <v>6</v>
      </c>
      <c r="AV649">
        <v>1</v>
      </c>
      <c r="AW649">
        <v>2</v>
      </c>
      <c r="AX649">
        <v>16632583</v>
      </c>
      <c r="AY649">
        <v>1</v>
      </c>
      <c r="AZ649">
        <v>0</v>
      </c>
      <c r="BA649">
        <v>637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Y649*Source!I322</f>
        <v>15.2736</v>
      </c>
      <c r="CY649">
        <f>AD649</f>
        <v>60.32</v>
      </c>
      <c r="CZ649">
        <f>AH649</f>
        <v>8.4600000000000009</v>
      </c>
      <c r="DA649">
        <f>AL649</f>
        <v>7.13</v>
      </c>
      <c r="DB649">
        <f t="shared" si="113"/>
        <v>582.04999999999995</v>
      </c>
      <c r="DC649">
        <f t="shared" si="114"/>
        <v>0</v>
      </c>
    </row>
    <row r="650" spans="1:107" x14ac:dyDescent="0.2">
      <c r="A650">
        <f>ROW(Source!A322)</f>
        <v>322</v>
      </c>
      <c r="B650">
        <v>16630606</v>
      </c>
      <c r="C650">
        <v>16632579</v>
      </c>
      <c r="D650">
        <v>15430395</v>
      </c>
      <c r="E650">
        <v>1</v>
      </c>
      <c r="F650">
        <v>1</v>
      </c>
      <c r="G650">
        <v>1</v>
      </c>
      <c r="H650">
        <v>1</v>
      </c>
      <c r="I650" t="s">
        <v>1149</v>
      </c>
      <c r="J650" t="s">
        <v>6</v>
      </c>
      <c r="K650" t="s">
        <v>1150</v>
      </c>
      <c r="L650">
        <v>1191</v>
      </c>
      <c r="N650">
        <v>1013</v>
      </c>
      <c r="O650" t="s">
        <v>1148</v>
      </c>
      <c r="P650" t="s">
        <v>1148</v>
      </c>
      <c r="Q650">
        <v>1</v>
      </c>
      <c r="W650">
        <v>0</v>
      </c>
      <c r="X650">
        <v>-1417349443</v>
      </c>
      <c r="Y650">
        <v>0.16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1</v>
      </c>
      <c r="AJ650">
        <v>1</v>
      </c>
      <c r="AK650">
        <v>7.13</v>
      </c>
      <c r="AL650">
        <v>1</v>
      </c>
      <c r="AN650">
        <v>0</v>
      </c>
      <c r="AO650">
        <v>1</v>
      </c>
      <c r="AP650">
        <v>0</v>
      </c>
      <c r="AQ650">
        <v>0</v>
      </c>
      <c r="AR650">
        <v>0</v>
      </c>
      <c r="AS650" t="s">
        <v>6</v>
      </c>
      <c r="AT650">
        <v>0.16</v>
      </c>
      <c r="AU650" t="s">
        <v>6</v>
      </c>
      <c r="AV650">
        <v>2</v>
      </c>
      <c r="AW650">
        <v>2</v>
      </c>
      <c r="AX650">
        <v>16632584</v>
      </c>
      <c r="AY650">
        <v>1</v>
      </c>
      <c r="AZ650">
        <v>0</v>
      </c>
      <c r="BA650">
        <v>638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Y650*Source!I322</f>
        <v>3.5520000000000003E-2</v>
      </c>
      <c r="CY650">
        <f>AD650</f>
        <v>0</v>
      </c>
      <c r="CZ650">
        <f>AH650</f>
        <v>0</v>
      </c>
      <c r="DA650">
        <f>AL650</f>
        <v>1</v>
      </c>
      <c r="DB650">
        <f t="shared" si="113"/>
        <v>0</v>
      </c>
      <c r="DC650">
        <f t="shared" si="114"/>
        <v>0</v>
      </c>
    </row>
    <row r="651" spans="1:107" x14ac:dyDescent="0.2">
      <c r="A651">
        <f>ROW(Source!A322)</f>
        <v>322</v>
      </c>
      <c r="B651">
        <v>16630606</v>
      </c>
      <c r="C651">
        <v>16632579</v>
      </c>
      <c r="D651">
        <v>15247974</v>
      </c>
      <c r="E651">
        <v>1</v>
      </c>
      <c r="F651">
        <v>1</v>
      </c>
      <c r="G651">
        <v>1</v>
      </c>
      <c r="H651">
        <v>2</v>
      </c>
      <c r="I651" t="s">
        <v>1151</v>
      </c>
      <c r="J651" t="s">
        <v>1152</v>
      </c>
      <c r="K651" t="s">
        <v>1153</v>
      </c>
      <c r="L651">
        <v>1368</v>
      </c>
      <c r="N651">
        <v>1011</v>
      </c>
      <c r="O651" t="s">
        <v>1154</v>
      </c>
      <c r="P651" t="s">
        <v>1154</v>
      </c>
      <c r="Q651">
        <v>1</v>
      </c>
      <c r="W651">
        <v>0</v>
      </c>
      <c r="X651">
        <v>1188625873</v>
      </c>
      <c r="Y651">
        <v>0.16</v>
      </c>
      <c r="AA651">
        <v>0</v>
      </c>
      <c r="AB651">
        <v>222.88</v>
      </c>
      <c r="AC651">
        <v>13.5</v>
      </c>
      <c r="AD651">
        <v>0</v>
      </c>
      <c r="AE651">
        <v>0</v>
      </c>
      <c r="AF651">
        <v>31.26</v>
      </c>
      <c r="AG651">
        <v>13.5</v>
      </c>
      <c r="AH651">
        <v>0</v>
      </c>
      <c r="AI651">
        <v>1</v>
      </c>
      <c r="AJ651">
        <v>7.13</v>
      </c>
      <c r="AK651">
        <v>1</v>
      </c>
      <c r="AL651">
        <v>1</v>
      </c>
      <c r="AN651">
        <v>0</v>
      </c>
      <c r="AO651">
        <v>1</v>
      </c>
      <c r="AP651">
        <v>0</v>
      </c>
      <c r="AQ651">
        <v>0</v>
      </c>
      <c r="AR651">
        <v>0</v>
      </c>
      <c r="AS651" t="s">
        <v>6</v>
      </c>
      <c r="AT651">
        <v>0.16</v>
      </c>
      <c r="AU651" t="s">
        <v>6</v>
      </c>
      <c r="AV651">
        <v>0</v>
      </c>
      <c r="AW651">
        <v>2</v>
      </c>
      <c r="AX651">
        <v>16632585</v>
      </c>
      <c r="AY651">
        <v>1</v>
      </c>
      <c r="AZ651">
        <v>0</v>
      </c>
      <c r="BA651">
        <v>639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Y651*Source!I322</f>
        <v>3.5520000000000003E-2</v>
      </c>
      <c r="CY651">
        <f>AB651</f>
        <v>222.88</v>
      </c>
      <c r="CZ651">
        <f>AF651</f>
        <v>31.26</v>
      </c>
      <c r="DA651">
        <f>AJ651</f>
        <v>7.13</v>
      </c>
      <c r="DB651">
        <f t="shared" si="113"/>
        <v>5</v>
      </c>
      <c r="DC651">
        <f t="shared" si="114"/>
        <v>2.16</v>
      </c>
    </row>
    <row r="652" spans="1:107" x14ac:dyDescent="0.2">
      <c r="A652">
        <f>ROW(Source!A323)</f>
        <v>323</v>
      </c>
      <c r="B652">
        <v>16630606</v>
      </c>
      <c r="C652">
        <v>16632587</v>
      </c>
      <c r="D652">
        <v>15432258</v>
      </c>
      <c r="E652">
        <v>1</v>
      </c>
      <c r="F652">
        <v>1</v>
      </c>
      <c r="G652">
        <v>1</v>
      </c>
      <c r="H652">
        <v>1</v>
      </c>
      <c r="I652" t="s">
        <v>1594</v>
      </c>
      <c r="J652" t="s">
        <v>6</v>
      </c>
      <c r="K652" t="s">
        <v>1595</v>
      </c>
      <c r="L652">
        <v>1191</v>
      </c>
      <c r="N652">
        <v>1013</v>
      </c>
      <c r="O652" t="s">
        <v>1148</v>
      </c>
      <c r="P652" t="s">
        <v>1148</v>
      </c>
      <c r="Q652">
        <v>1</v>
      </c>
      <c r="W652">
        <v>0</v>
      </c>
      <c r="X652">
        <v>-608433632</v>
      </c>
      <c r="Y652">
        <v>85.3</v>
      </c>
      <c r="AA652">
        <v>0</v>
      </c>
      <c r="AB652">
        <v>0</v>
      </c>
      <c r="AC652">
        <v>0</v>
      </c>
      <c r="AD652">
        <v>60.32</v>
      </c>
      <c r="AE652">
        <v>0</v>
      </c>
      <c r="AF652">
        <v>0</v>
      </c>
      <c r="AG652">
        <v>0</v>
      </c>
      <c r="AH652">
        <v>8.4600000000000009</v>
      </c>
      <c r="AI652">
        <v>1</v>
      </c>
      <c r="AJ652">
        <v>1</v>
      </c>
      <c r="AK652">
        <v>1</v>
      </c>
      <c r="AL652">
        <v>7.13</v>
      </c>
      <c r="AN652">
        <v>0</v>
      </c>
      <c r="AO652">
        <v>1</v>
      </c>
      <c r="AP652">
        <v>0</v>
      </c>
      <c r="AQ652">
        <v>0</v>
      </c>
      <c r="AR652">
        <v>0</v>
      </c>
      <c r="AS652" t="s">
        <v>6</v>
      </c>
      <c r="AT652">
        <v>85.3</v>
      </c>
      <c r="AU652" t="s">
        <v>6</v>
      </c>
      <c r="AV652">
        <v>1</v>
      </c>
      <c r="AW652">
        <v>2</v>
      </c>
      <c r="AX652">
        <v>16632591</v>
      </c>
      <c r="AY652">
        <v>1</v>
      </c>
      <c r="AZ652">
        <v>0</v>
      </c>
      <c r="BA652">
        <v>641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Y652*Source!I323</f>
        <v>8.2741000000000007</v>
      </c>
      <c r="CY652">
        <f>AD652</f>
        <v>60.32</v>
      </c>
      <c r="CZ652">
        <f>AH652</f>
        <v>8.4600000000000009</v>
      </c>
      <c r="DA652">
        <f>AL652</f>
        <v>7.13</v>
      </c>
      <c r="DB652">
        <f t="shared" si="113"/>
        <v>721.64</v>
      </c>
      <c r="DC652">
        <f t="shared" si="114"/>
        <v>0</v>
      </c>
    </row>
    <row r="653" spans="1:107" x14ac:dyDescent="0.2">
      <c r="A653">
        <f>ROW(Source!A323)</f>
        <v>323</v>
      </c>
      <c r="B653">
        <v>16630606</v>
      </c>
      <c r="C653">
        <v>16632587</v>
      </c>
      <c r="D653">
        <v>15430395</v>
      </c>
      <c r="E653">
        <v>1</v>
      </c>
      <c r="F653">
        <v>1</v>
      </c>
      <c r="G653">
        <v>1</v>
      </c>
      <c r="H653">
        <v>1</v>
      </c>
      <c r="I653" t="s">
        <v>1149</v>
      </c>
      <c r="J653" t="s">
        <v>6</v>
      </c>
      <c r="K653" t="s">
        <v>1150</v>
      </c>
      <c r="L653">
        <v>1191</v>
      </c>
      <c r="N653">
        <v>1013</v>
      </c>
      <c r="O653" t="s">
        <v>1148</v>
      </c>
      <c r="P653" t="s">
        <v>1148</v>
      </c>
      <c r="Q653">
        <v>1</v>
      </c>
      <c r="W653">
        <v>0</v>
      </c>
      <c r="X653">
        <v>-1417349443</v>
      </c>
      <c r="Y653">
        <v>0.32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1</v>
      </c>
      <c r="AJ653">
        <v>1</v>
      </c>
      <c r="AK653">
        <v>7.13</v>
      </c>
      <c r="AL653">
        <v>1</v>
      </c>
      <c r="AN653">
        <v>0</v>
      </c>
      <c r="AO653">
        <v>1</v>
      </c>
      <c r="AP653">
        <v>0</v>
      </c>
      <c r="AQ653">
        <v>0</v>
      </c>
      <c r="AR653">
        <v>0</v>
      </c>
      <c r="AS653" t="s">
        <v>6</v>
      </c>
      <c r="AT653">
        <v>0.32</v>
      </c>
      <c r="AU653" t="s">
        <v>6</v>
      </c>
      <c r="AV653">
        <v>2</v>
      </c>
      <c r="AW653">
        <v>2</v>
      </c>
      <c r="AX653">
        <v>16632592</v>
      </c>
      <c r="AY653">
        <v>1</v>
      </c>
      <c r="AZ653">
        <v>0</v>
      </c>
      <c r="BA653">
        <v>642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Y653*Source!I323</f>
        <v>3.1040000000000002E-2</v>
      </c>
      <c r="CY653">
        <f>AD653</f>
        <v>0</v>
      </c>
      <c r="CZ653">
        <f>AH653</f>
        <v>0</v>
      </c>
      <c r="DA653">
        <f>AL653</f>
        <v>1</v>
      </c>
      <c r="DB653">
        <f t="shared" si="113"/>
        <v>0</v>
      </c>
      <c r="DC653">
        <f t="shared" si="114"/>
        <v>0</v>
      </c>
    </row>
    <row r="654" spans="1:107" x14ac:dyDescent="0.2">
      <c r="A654">
        <f>ROW(Source!A323)</f>
        <v>323</v>
      </c>
      <c r="B654">
        <v>16630606</v>
      </c>
      <c r="C654">
        <v>16632587</v>
      </c>
      <c r="D654">
        <v>15247974</v>
      </c>
      <c r="E654">
        <v>1</v>
      </c>
      <c r="F654">
        <v>1</v>
      </c>
      <c r="G654">
        <v>1</v>
      </c>
      <c r="H654">
        <v>2</v>
      </c>
      <c r="I654" t="s">
        <v>1151</v>
      </c>
      <c r="J654" t="s">
        <v>1152</v>
      </c>
      <c r="K654" t="s">
        <v>1153</v>
      </c>
      <c r="L654">
        <v>1368</v>
      </c>
      <c r="N654">
        <v>1011</v>
      </c>
      <c r="O654" t="s">
        <v>1154</v>
      </c>
      <c r="P654" t="s">
        <v>1154</v>
      </c>
      <c r="Q654">
        <v>1</v>
      </c>
      <c r="W654">
        <v>0</v>
      </c>
      <c r="X654">
        <v>1188625873</v>
      </c>
      <c r="Y654">
        <v>0.32</v>
      </c>
      <c r="AA654">
        <v>0</v>
      </c>
      <c r="AB654">
        <v>222.88</v>
      </c>
      <c r="AC654">
        <v>13.5</v>
      </c>
      <c r="AD654">
        <v>0</v>
      </c>
      <c r="AE654">
        <v>0</v>
      </c>
      <c r="AF654">
        <v>31.26</v>
      </c>
      <c r="AG654">
        <v>13.5</v>
      </c>
      <c r="AH654">
        <v>0</v>
      </c>
      <c r="AI654">
        <v>1</v>
      </c>
      <c r="AJ654">
        <v>7.13</v>
      </c>
      <c r="AK654">
        <v>1</v>
      </c>
      <c r="AL654">
        <v>1</v>
      </c>
      <c r="AN654">
        <v>0</v>
      </c>
      <c r="AO654">
        <v>1</v>
      </c>
      <c r="AP654">
        <v>0</v>
      </c>
      <c r="AQ654">
        <v>0</v>
      </c>
      <c r="AR654">
        <v>0</v>
      </c>
      <c r="AS654" t="s">
        <v>6</v>
      </c>
      <c r="AT654">
        <v>0.32</v>
      </c>
      <c r="AU654" t="s">
        <v>6</v>
      </c>
      <c r="AV654">
        <v>0</v>
      </c>
      <c r="AW654">
        <v>2</v>
      </c>
      <c r="AX654">
        <v>16632593</v>
      </c>
      <c r="AY654">
        <v>1</v>
      </c>
      <c r="AZ654">
        <v>0</v>
      </c>
      <c r="BA654">
        <v>643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Y654*Source!I323</f>
        <v>3.1040000000000002E-2</v>
      </c>
      <c r="CY654">
        <f>AB654</f>
        <v>222.88</v>
      </c>
      <c r="CZ654">
        <f>AF654</f>
        <v>31.26</v>
      </c>
      <c r="DA654">
        <f>AJ654</f>
        <v>7.13</v>
      </c>
      <c r="DB654">
        <f t="shared" si="113"/>
        <v>10</v>
      </c>
      <c r="DC654">
        <f t="shared" si="114"/>
        <v>4.32</v>
      </c>
    </row>
    <row r="655" spans="1:107" x14ac:dyDescent="0.2">
      <c r="A655">
        <f>ROW(Source!A324)</f>
        <v>324</v>
      </c>
      <c r="B655">
        <v>16630606</v>
      </c>
      <c r="C655">
        <v>16632595</v>
      </c>
      <c r="D655">
        <v>15430447</v>
      </c>
      <c r="E655">
        <v>1</v>
      </c>
      <c r="F655">
        <v>1</v>
      </c>
      <c r="G655">
        <v>1</v>
      </c>
      <c r="H655">
        <v>1</v>
      </c>
      <c r="I655" t="s">
        <v>1464</v>
      </c>
      <c r="J655" t="s">
        <v>6</v>
      </c>
      <c r="K655" t="s">
        <v>1465</v>
      </c>
      <c r="L655">
        <v>1191</v>
      </c>
      <c r="N655">
        <v>1013</v>
      </c>
      <c r="O655" t="s">
        <v>1148</v>
      </c>
      <c r="P655" t="s">
        <v>1148</v>
      </c>
      <c r="Q655">
        <v>1</v>
      </c>
      <c r="W655">
        <v>0</v>
      </c>
      <c r="X655">
        <v>145020957</v>
      </c>
      <c r="Y655">
        <v>96</v>
      </c>
      <c r="AA655">
        <v>0</v>
      </c>
      <c r="AB655">
        <v>0</v>
      </c>
      <c r="AC655">
        <v>0</v>
      </c>
      <c r="AD655">
        <v>64.67</v>
      </c>
      <c r="AE655">
        <v>0</v>
      </c>
      <c r="AF655">
        <v>0</v>
      </c>
      <c r="AG655">
        <v>0</v>
      </c>
      <c r="AH655">
        <v>9.07</v>
      </c>
      <c r="AI655">
        <v>1</v>
      </c>
      <c r="AJ655">
        <v>1</v>
      </c>
      <c r="AK655">
        <v>1</v>
      </c>
      <c r="AL655">
        <v>7.13</v>
      </c>
      <c r="AN655">
        <v>0</v>
      </c>
      <c r="AO655">
        <v>1</v>
      </c>
      <c r="AP655">
        <v>0</v>
      </c>
      <c r="AQ655">
        <v>0</v>
      </c>
      <c r="AR655">
        <v>0</v>
      </c>
      <c r="AS655" t="s">
        <v>6</v>
      </c>
      <c r="AT655">
        <v>96</v>
      </c>
      <c r="AU655" t="s">
        <v>6</v>
      </c>
      <c r="AV655">
        <v>1</v>
      </c>
      <c r="AW655">
        <v>2</v>
      </c>
      <c r="AX655">
        <v>16632603</v>
      </c>
      <c r="AY655">
        <v>1</v>
      </c>
      <c r="AZ655">
        <v>0</v>
      </c>
      <c r="BA655">
        <v>645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Y655*Source!I324</f>
        <v>0.96</v>
      </c>
      <c r="CY655">
        <f>AD655</f>
        <v>64.67</v>
      </c>
      <c r="CZ655">
        <f>AH655</f>
        <v>9.07</v>
      </c>
      <c r="DA655">
        <f>AL655</f>
        <v>7.13</v>
      </c>
      <c r="DB655">
        <f t="shared" si="113"/>
        <v>870.72</v>
      </c>
      <c r="DC655">
        <f t="shared" si="114"/>
        <v>0</v>
      </c>
    </row>
    <row r="656" spans="1:107" x14ac:dyDescent="0.2">
      <c r="A656">
        <f>ROW(Source!A324)</f>
        <v>324</v>
      </c>
      <c r="B656">
        <v>16630606</v>
      </c>
      <c r="C656">
        <v>16632595</v>
      </c>
      <c r="D656">
        <v>15430395</v>
      </c>
      <c r="E656">
        <v>1</v>
      </c>
      <c r="F656">
        <v>1</v>
      </c>
      <c r="G656">
        <v>1</v>
      </c>
      <c r="H656">
        <v>1</v>
      </c>
      <c r="I656" t="s">
        <v>1149</v>
      </c>
      <c r="J656" t="s">
        <v>6</v>
      </c>
      <c r="K656" t="s">
        <v>1150</v>
      </c>
      <c r="L656">
        <v>1191</v>
      </c>
      <c r="N656">
        <v>1013</v>
      </c>
      <c r="O656" t="s">
        <v>1148</v>
      </c>
      <c r="P656" t="s">
        <v>1148</v>
      </c>
      <c r="Q656">
        <v>1</v>
      </c>
      <c r="W656">
        <v>0</v>
      </c>
      <c r="X656">
        <v>-1417349443</v>
      </c>
      <c r="Y656">
        <v>0.66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1</v>
      </c>
      <c r="AJ656">
        <v>1</v>
      </c>
      <c r="AK656">
        <v>7.13</v>
      </c>
      <c r="AL656">
        <v>1</v>
      </c>
      <c r="AN656">
        <v>0</v>
      </c>
      <c r="AO656">
        <v>1</v>
      </c>
      <c r="AP656">
        <v>0</v>
      </c>
      <c r="AQ656">
        <v>0</v>
      </c>
      <c r="AR656">
        <v>0</v>
      </c>
      <c r="AS656" t="s">
        <v>6</v>
      </c>
      <c r="AT656">
        <v>0.66</v>
      </c>
      <c r="AU656" t="s">
        <v>6</v>
      </c>
      <c r="AV656">
        <v>2</v>
      </c>
      <c r="AW656">
        <v>2</v>
      </c>
      <c r="AX656">
        <v>16632604</v>
      </c>
      <c r="AY656">
        <v>1</v>
      </c>
      <c r="AZ656">
        <v>0</v>
      </c>
      <c r="BA656">
        <v>646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Y656*Source!I324</f>
        <v>6.6000000000000008E-3</v>
      </c>
      <c r="CY656">
        <f>AD656</f>
        <v>0</v>
      </c>
      <c r="CZ656">
        <f>AH656</f>
        <v>0</v>
      </c>
      <c r="DA656">
        <f>AL656</f>
        <v>1</v>
      </c>
      <c r="DB656">
        <f t="shared" si="113"/>
        <v>0</v>
      </c>
      <c r="DC656">
        <f t="shared" si="114"/>
        <v>0</v>
      </c>
    </row>
    <row r="657" spans="1:107" x14ac:dyDescent="0.2">
      <c r="A657">
        <f>ROW(Source!A324)</f>
        <v>324</v>
      </c>
      <c r="B657">
        <v>16630606</v>
      </c>
      <c r="C657">
        <v>16632595</v>
      </c>
      <c r="D657">
        <v>15247974</v>
      </c>
      <c r="E657">
        <v>1</v>
      </c>
      <c r="F657">
        <v>1</v>
      </c>
      <c r="G657">
        <v>1</v>
      </c>
      <c r="H657">
        <v>2</v>
      </c>
      <c r="I657" t="s">
        <v>1151</v>
      </c>
      <c r="J657" t="s">
        <v>1152</v>
      </c>
      <c r="K657" t="s">
        <v>1153</v>
      </c>
      <c r="L657">
        <v>1368</v>
      </c>
      <c r="N657">
        <v>1011</v>
      </c>
      <c r="O657" t="s">
        <v>1154</v>
      </c>
      <c r="P657" t="s">
        <v>1154</v>
      </c>
      <c r="Q657">
        <v>1</v>
      </c>
      <c r="W657">
        <v>0</v>
      </c>
      <c r="X657">
        <v>1188625873</v>
      </c>
      <c r="Y657">
        <v>0.33</v>
      </c>
      <c r="AA657">
        <v>0</v>
      </c>
      <c r="AB657">
        <v>222.88</v>
      </c>
      <c r="AC657">
        <v>13.5</v>
      </c>
      <c r="AD657">
        <v>0</v>
      </c>
      <c r="AE657">
        <v>0</v>
      </c>
      <c r="AF657">
        <v>31.26</v>
      </c>
      <c r="AG657">
        <v>13.5</v>
      </c>
      <c r="AH657">
        <v>0</v>
      </c>
      <c r="AI657">
        <v>1</v>
      </c>
      <c r="AJ657">
        <v>7.13</v>
      </c>
      <c r="AK657">
        <v>1</v>
      </c>
      <c r="AL657">
        <v>1</v>
      </c>
      <c r="AN657">
        <v>0</v>
      </c>
      <c r="AO657">
        <v>1</v>
      </c>
      <c r="AP657">
        <v>0</v>
      </c>
      <c r="AQ657">
        <v>0</v>
      </c>
      <c r="AR657">
        <v>0</v>
      </c>
      <c r="AS657" t="s">
        <v>6</v>
      </c>
      <c r="AT657">
        <v>0.33</v>
      </c>
      <c r="AU657" t="s">
        <v>6</v>
      </c>
      <c r="AV657">
        <v>0</v>
      </c>
      <c r="AW657">
        <v>2</v>
      </c>
      <c r="AX657">
        <v>16632605</v>
      </c>
      <c r="AY657">
        <v>1</v>
      </c>
      <c r="AZ657">
        <v>0</v>
      </c>
      <c r="BA657">
        <v>647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Y657*Source!I324</f>
        <v>3.3000000000000004E-3</v>
      </c>
      <c r="CY657">
        <f>AB657</f>
        <v>222.88</v>
      </c>
      <c r="CZ657">
        <f>AF657</f>
        <v>31.26</v>
      </c>
      <c r="DA657">
        <f>AJ657</f>
        <v>7.13</v>
      </c>
      <c r="DB657">
        <f t="shared" si="113"/>
        <v>10.32</v>
      </c>
      <c r="DC657">
        <f t="shared" si="114"/>
        <v>4.46</v>
      </c>
    </row>
    <row r="658" spans="1:107" x14ac:dyDescent="0.2">
      <c r="A658">
        <f>ROW(Source!A324)</f>
        <v>324</v>
      </c>
      <c r="B658">
        <v>16630606</v>
      </c>
      <c r="C658">
        <v>16632595</v>
      </c>
      <c r="D658">
        <v>15249073</v>
      </c>
      <c r="E658">
        <v>1</v>
      </c>
      <c r="F658">
        <v>1</v>
      </c>
      <c r="G658">
        <v>1</v>
      </c>
      <c r="H658">
        <v>2</v>
      </c>
      <c r="I658" t="s">
        <v>1157</v>
      </c>
      <c r="J658" t="s">
        <v>1158</v>
      </c>
      <c r="K658" t="s">
        <v>1159</v>
      </c>
      <c r="L658">
        <v>1368</v>
      </c>
      <c r="N658">
        <v>1011</v>
      </c>
      <c r="O658" t="s">
        <v>1154</v>
      </c>
      <c r="P658" t="s">
        <v>1154</v>
      </c>
      <c r="Q658">
        <v>1</v>
      </c>
      <c r="W658">
        <v>0</v>
      </c>
      <c r="X658">
        <v>1372534845</v>
      </c>
      <c r="Y658">
        <v>0.33</v>
      </c>
      <c r="AA658">
        <v>0</v>
      </c>
      <c r="AB658">
        <v>468.51</v>
      </c>
      <c r="AC658">
        <v>11.6</v>
      </c>
      <c r="AD658">
        <v>0</v>
      </c>
      <c r="AE658">
        <v>0</v>
      </c>
      <c r="AF658">
        <v>65.709999999999994</v>
      </c>
      <c r="AG658">
        <v>11.6</v>
      </c>
      <c r="AH658">
        <v>0</v>
      </c>
      <c r="AI658">
        <v>1</v>
      </c>
      <c r="AJ658">
        <v>7.13</v>
      </c>
      <c r="AK658">
        <v>1</v>
      </c>
      <c r="AL658">
        <v>1</v>
      </c>
      <c r="AN658">
        <v>0</v>
      </c>
      <c r="AO658">
        <v>1</v>
      </c>
      <c r="AP658">
        <v>0</v>
      </c>
      <c r="AQ658">
        <v>0</v>
      </c>
      <c r="AR658">
        <v>0</v>
      </c>
      <c r="AS658" t="s">
        <v>6</v>
      </c>
      <c r="AT658">
        <v>0.33</v>
      </c>
      <c r="AU658" t="s">
        <v>6</v>
      </c>
      <c r="AV658">
        <v>0</v>
      </c>
      <c r="AW658">
        <v>2</v>
      </c>
      <c r="AX658">
        <v>16632606</v>
      </c>
      <c r="AY658">
        <v>1</v>
      </c>
      <c r="AZ658">
        <v>0</v>
      </c>
      <c r="BA658">
        <v>648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Y658*Source!I324</f>
        <v>3.3000000000000004E-3</v>
      </c>
      <c r="CY658">
        <f>AB658</f>
        <v>468.51</v>
      </c>
      <c r="CZ658">
        <f>AF658</f>
        <v>65.709999999999994</v>
      </c>
      <c r="DA658">
        <f>AJ658</f>
        <v>7.13</v>
      </c>
      <c r="DB658">
        <f t="shared" si="113"/>
        <v>21.68</v>
      </c>
      <c r="DC658">
        <f t="shared" si="114"/>
        <v>3.83</v>
      </c>
    </row>
    <row r="659" spans="1:107" x14ac:dyDescent="0.2">
      <c r="A659">
        <f>ROW(Source!A324)</f>
        <v>324</v>
      </c>
      <c r="B659">
        <v>16630606</v>
      </c>
      <c r="C659">
        <v>16632595</v>
      </c>
      <c r="D659">
        <v>15167955</v>
      </c>
      <c r="E659">
        <v>1</v>
      </c>
      <c r="F659">
        <v>1</v>
      </c>
      <c r="G659">
        <v>1</v>
      </c>
      <c r="H659">
        <v>3</v>
      </c>
      <c r="I659" t="s">
        <v>1596</v>
      </c>
      <c r="J659" t="s">
        <v>1597</v>
      </c>
      <c r="K659" t="s">
        <v>1598</v>
      </c>
      <c r="L659">
        <v>1348</v>
      </c>
      <c r="N659">
        <v>1009</v>
      </c>
      <c r="O659" t="s">
        <v>98</v>
      </c>
      <c r="P659" t="s">
        <v>98</v>
      </c>
      <c r="Q659">
        <v>1000</v>
      </c>
      <c r="W659">
        <v>0</v>
      </c>
      <c r="X659">
        <v>-1699345571</v>
      </c>
      <c r="Y659">
        <v>7.0000000000000001E-3</v>
      </c>
      <c r="AA659">
        <v>214113.9</v>
      </c>
      <c r="AB659">
        <v>0</v>
      </c>
      <c r="AC659">
        <v>0</v>
      </c>
      <c r="AD659">
        <v>0</v>
      </c>
      <c r="AE659">
        <v>30030</v>
      </c>
      <c r="AF659">
        <v>0</v>
      </c>
      <c r="AG659">
        <v>0</v>
      </c>
      <c r="AH659">
        <v>0</v>
      </c>
      <c r="AI659">
        <v>7.13</v>
      </c>
      <c r="AJ659">
        <v>1</v>
      </c>
      <c r="AK659">
        <v>1</v>
      </c>
      <c r="AL659">
        <v>1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6</v>
      </c>
      <c r="AT659">
        <v>7.0000000000000001E-3</v>
      </c>
      <c r="AU659" t="s">
        <v>6</v>
      </c>
      <c r="AV659">
        <v>0</v>
      </c>
      <c r="AW659">
        <v>2</v>
      </c>
      <c r="AX659">
        <v>16632607</v>
      </c>
      <c r="AY659">
        <v>1</v>
      </c>
      <c r="AZ659">
        <v>0</v>
      </c>
      <c r="BA659">
        <v>649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Y659*Source!I324</f>
        <v>7.0000000000000007E-5</v>
      </c>
      <c r="CY659">
        <f>AA659</f>
        <v>214113.9</v>
      </c>
      <c r="CZ659">
        <f>AE659</f>
        <v>30030</v>
      </c>
      <c r="DA659">
        <f>AI659</f>
        <v>7.13</v>
      </c>
      <c r="DB659">
        <f t="shared" si="113"/>
        <v>210.21</v>
      </c>
      <c r="DC659">
        <f t="shared" si="114"/>
        <v>0</v>
      </c>
    </row>
    <row r="660" spans="1:107" x14ac:dyDescent="0.2">
      <c r="A660">
        <f>ROW(Source!A324)</f>
        <v>324</v>
      </c>
      <c r="B660">
        <v>16630606</v>
      </c>
      <c r="C660">
        <v>16632595</v>
      </c>
      <c r="D660">
        <v>15172118</v>
      </c>
      <c r="E660">
        <v>1</v>
      </c>
      <c r="F660">
        <v>1</v>
      </c>
      <c r="G660">
        <v>1</v>
      </c>
      <c r="H660">
        <v>3</v>
      </c>
      <c r="I660" t="s">
        <v>1599</v>
      </c>
      <c r="J660" t="s">
        <v>1600</v>
      </c>
      <c r="K660" t="s">
        <v>1601</v>
      </c>
      <c r="L660">
        <v>1348</v>
      </c>
      <c r="N660">
        <v>1009</v>
      </c>
      <c r="O660" t="s">
        <v>98</v>
      </c>
      <c r="P660" t="s">
        <v>98</v>
      </c>
      <c r="Q660">
        <v>1000</v>
      </c>
      <c r="W660">
        <v>0</v>
      </c>
      <c r="X660">
        <v>2022036969</v>
      </c>
      <c r="Y660">
        <v>2.4E-2</v>
      </c>
      <c r="AA660">
        <v>15442.15</v>
      </c>
      <c r="AB660">
        <v>0</v>
      </c>
      <c r="AC660">
        <v>0</v>
      </c>
      <c r="AD660">
        <v>0</v>
      </c>
      <c r="AE660">
        <v>2165.8000000000002</v>
      </c>
      <c r="AF660">
        <v>0</v>
      </c>
      <c r="AG660">
        <v>0</v>
      </c>
      <c r="AH660">
        <v>0</v>
      </c>
      <c r="AI660">
        <v>7.13</v>
      </c>
      <c r="AJ660">
        <v>1</v>
      </c>
      <c r="AK660">
        <v>1</v>
      </c>
      <c r="AL660">
        <v>1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6</v>
      </c>
      <c r="AT660">
        <v>2.4E-2</v>
      </c>
      <c r="AU660" t="s">
        <v>6</v>
      </c>
      <c r="AV660">
        <v>0</v>
      </c>
      <c r="AW660">
        <v>2</v>
      </c>
      <c r="AX660">
        <v>16632608</v>
      </c>
      <c r="AY660">
        <v>1</v>
      </c>
      <c r="AZ660">
        <v>0</v>
      </c>
      <c r="BA660">
        <v>650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Y660*Source!I324</f>
        <v>2.4000000000000001E-4</v>
      </c>
      <c r="CY660">
        <f>AA660</f>
        <v>15442.15</v>
      </c>
      <c r="CZ660">
        <f>AE660</f>
        <v>2165.8000000000002</v>
      </c>
      <c r="DA660">
        <f>AI660</f>
        <v>7.13</v>
      </c>
      <c r="DB660">
        <f t="shared" si="113"/>
        <v>51.98</v>
      </c>
      <c r="DC660">
        <f t="shared" si="114"/>
        <v>0</v>
      </c>
    </row>
    <row r="661" spans="1:107" x14ac:dyDescent="0.2">
      <c r="A661">
        <f>ROW(Source!A324)</f>
        <v>324</v>
      </c>
      <c r="B661">
        <v>16630606</v>
      </c>
      <c r="C661">
        <v>16632595</v>
      </c>
      <c r="D661">
        <v>15211986</v>
      </c>
      <c r="E661">
        <v>1</v>
      </c>
      <c r="F661">
        <v>1</v>
      </c>
      <c r="G661">
        <v>1</v>
      </c>
      <c r="H661">
        <v>3</v>
      </c>
      <c r="I661" t="s">
        <v>876</v>
      </c>
      <c r="J661" t="s">
        <v>878</v>
      </c>
      <c r="K661" t="s">
        <v>877</v>
      </c>
      <c r="L661">
        <v>1354</v>
      </c>
      <c r="N661">
        <v>1010</v>
      </c>
      <c r="O661" t="s">
        <v>132</v>
      </c>
      <c r="P661" t="s">
        <v>132</v>
      </c>
      <c r="Q661">
        <v>1</v>
      </c>
      <c r="W661">
        <v>0</v>
      </c>
      <c r="X661">
        <v>-2058586104</v>
      </c>
      <c r="Y661">
        <v>100</v>
      </c>
      <c r="AA661">
        <v>863.51</v>
      </c>
      <c r="AB661">
        <v>0</v>
      </c>
      <c r="AC661">
        <v>0</v>
      </c>
      <c r="AD661">
        <v>0</v>
      </c>
      <c r="AE661">
        <v>121.11</v>
      </c>
      <c r="AF661">
        <v>0</v>
      </c>
      <c r="AG661">
        <v>0</v>
      </c>
      <c r="AH661">
        <v>0</v>
      </c>
      <c r="AI661">
        <v>7.13</v>
      </c>
      <c r="AJ661">
        <v>1</v>
      </c>
      <c r="AK661">
        <v>1</v>
      </c>
      <c r="AL661">
        <v>1</v>
      </c>
      <c r="AN661">
        <v>0</v>
      </c>
      <c r="AO661">
        <v>0</v>
      </c>
      <c r="AP661">
        <v>0</v>
      </c>
      <c r="AQ661">
        <v>0</v>
      </c>
      <c r="AR661">
        <v>0</v>
      </c>
      <c r="AS661" t="s">
        <v>6</v>
      </c>
      <c r="AT661">
        <v>100</v>
      </c>
      <c r="AU661" t="s">
        <v>6</v>
      </c>
      <c r="AV661">
        <v>0</v>
      </c>
      <c r="AW661">
        <v>1</v>
      </c>
      <c r="AX661">
        <v>-1</v>
      </c>
      <c r="AY661">
        <v>0</v>
      </c>
      <c r="AZ661">
        <v>0</v>
      </c>
      <c r="BA661" t="s">
        <v>6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Y661*Source!I324</f>
        <v>1</v>
      </c>
      <c r="CY661">
        <f>AA661</f>
        <v>863.51</v>
      </c>
      <c r="CZ661">
        <f>AE661</f>
        <v>121.11</v>
      </c>
      <c r="DA661">
        <f>AI661</f>
        <v>7.13</v>
      </c>
      <c r="DB661">
        <f t="shared" si="113"/>
        <v>12111</v>
      </c>
      <c r="DC661">
        <f t="shared" si="114"/>
        <v>0</v>
      </c>
    </row>
    <row r="662" spans="1:107" x14ac:dyDescent="0.2">
      <c r="A662">
        <f>ROW(Source!A326)</f>
        <v>326</v>
      </c>
      <c r="B662">
        <v>16630606</v>
      </c>
      <c r="C662">
        <v>16632611</v>
      </c>
      <c r="D662">
        <v>15430767</v>
      </c>
      <c r="E662">
        <v>1</v>
      </c>
      <c r="F662">
        <v>1</v>
      </c>
      <c r="G662">
        <v>1</v>
      </c>
      <c r="H662">
        <v>1</v>
      </c>
      <c r="I662" t="s">
        <v>1171</v>
      </c>
      <c r="J662" t="s">
        <v>6</v>
      </c>
      <c r="K662" t="s">
        <v>1172</v>
      </c>
      <c r="L662">
        <v>1191</v>
      </c>
      <c r="N662">
        <v>1013</v>
      </c>
      <c r="O662" t="s">
        <v>1148</v>
      </c>
      <c r="P662" t="s">
        <v>1148</v>
      </c>
      <c r="Q662">
        <v>1</v>
      </c>
      <c r="W662">
        <v>0</v>
      </c>
      <c r="X662">
        <v>-400197608</v>
      </c>
      <c r="Y662">
        <v>293</v>
      </c>
      <c r="AA662">
        <v>0</v>
      </c>
      <c r="AB662">
        <v>0</v>
      </c>
      <c r="AC662">
        <v>0</v>
      </c>
      <c r="AD662">
        <v>60.82</v>
      </c>
      <c r="AE662">
        <v>0</v>
      </c>
      <c r="AF662">
        <v>0</v>
      </c>
      <c r="AG662">
        <v>0</v>
      </c>
      <c r="AH662">
        <v>8.5299999999999994</v>
      </c>
      <c r="AI662">
        <v>1</v>
      </c>
      <c r="AJ662">
        <v>1</v>
      </c>
      <c r="AK662">
        <v>1</v>
      </c>
      <c r="AL662">
        <v>7.13</v>
      </c>
      <c r="AN662">
        <v>0</v>
      </c>
      <c r="AO662">
        <v>1</v>
      </c>
      <c r="AP662">
        <v>0</v>
      </c>
      <c r="AQ662">
        <v>0</v>
      </c>
      <c r="AR662">
        <v>0</v>
      </c>
      <c r="AS662" t="s">
        <v>6</v>
      </c>
      <c r="AT662">
        <v>293</v>
      </c>
      <c r="AU662" t="s">
        <v>6</v>
      </c>
      <c r="AV662">
        <v>1</v>
      </c>
      <c r="AW662">
        <v>2</v>
      </c>
      <c r="AX662">
        <v>16632615</v>
      </c>
      <c r="AY662">
        <v>1</v>
      </c>
      <c r="AZ662">
        <v>0</v>
      </c>
      <c r="BA662">
        <v>652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Y662*Source!I326</f>
        <v>2.93</v>
      </c>
      <c r="CY662">
        <f>AD662</f>
        <v>60.82</v>
      </c>
      <c r="CZ662">
        <f>AH662</f>
        <v>8.5299999999999994</v>
      </c>
      <c r="DA662">
        <f>AL662</f>
        <v>7.13</v>
      </c>
      <c r="DB662">
        <f t="shared" si="113"/>
        <v>2499.29</v>
      </c>
      <c r="DC662">
        <f t="shared" si="114"/>
        <v>0</v>
      </c>
    </row>
    <row r="663" spans="1:107" x14ac:dyDescent="0.2">
      <c r="A663">
        <f>ROW(Source!A326)</f>
        <v>326</v>
      </c>
      <c r="B663">
        <v>16630606</v>
      </c>
      <c r="C663">
        <v>16632611</v>
      </c>
      <c r="D663">
        <v>15430395</v>
      </c>
      <c r="E663">
        <v>1</v>
      </c>
      <c r="F663">
        <v>1</v>
      </c>
      <c r="G663">
        <v>1</v>
      </c>
      <c r="H663">
        <v>1</v>
      </c>
      <c r="I663" t="s">
        <v>1149</v>
      </c>
      <c r="J663" t="s">
        <v>6</v>
      </c>
      <c r="K663" t="s">
        <v>1150</v>
      </c>
      <c r="L663">
        <v>1191</v>
      </c>
      <c r="N663">
        <v>1013</v>
      </c>
      <c r="O663" t="s">
        <v>1148</v>
      </c>
      <c r="P663" t="s">
        <v>1148</v>
      </c>
      <c r="Q663">
        <v>1</v>
      </c>
      <c r="W663">
        <v>0</v>
      </c>
      <c r="X663">
        <v>-1417349443</v>
      </c>
      <c r="Y663">
        <v>2.63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1</v>
      </c>
      <c r="AJ663">
        <v>1</v>
      </c>
      <c r="AK663">
        <v>7.13</v>
      </c>
      <c r="AL663">
        <v>1</v>
      </c>
      <c r="AN663">
        <v>0</v>
      </c>
      <c r="AO663">
        <v>1</v>
      </c>
      <c r="AP663">
        <v>0</v>
      </c>
      <c r="AQ663">
        <v>0</v>
      </c>
      <c r="AR663">
        <v>0</v>
      </c>
      <c r="AS663" t="s">
        <v>6</v>
      </c>
      <c r="AT663">
        <v>2.63</v>
      </c>
      <c r="AU663" t="s">
        <v>6</v>
      </c>
      <c r="AV663">
        <v>2</v>
      </c>
      <c r="AW663">
        <v>2</v>
      </c>
      <c r="AX663">
        <v>16632616</v>
      </c>
      <c r="AY663">
        <v>1</v>
      </c>
      <c r="AZ663">
        <v>0</v>
      </c>
      <c r="BA663">
        <v>653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Y663*Source!I326</f>
        <v>2.63E-2</v>
      </c>
      <c r="CY663">
        <f>AD663</f>
        <v>0</v>
      </c>
      <c r="CZ663">
        <f>AH663</f>
        <v>0</v>
      </c>
      <c r="DA663">
        <f>AL663</f>
        <v>1</v>
      </c>
      <c r="DB663">
        <f t="shared" si="113"/>
        <v>0</v>
      </c>
      <c r="DC663">
        <f t="shared" si="114"/>
        <v>0</v>
      </c>
    </row>
    <row r="664" spans="1:107" x14ac:dyDescent="0.2">
      <c r="A664">
        <f>ROW(Source!A326)</f>
        <v>326</v>
      </c>
      <c r="B664">
        <v>16630606</v>
      </c>
      <c r="C664">
        <v>16632611</v>
      </c>
      <c r="D664">
        <v>15247974</v>
      </c>
      <c r="E664">
        <v>1</v>
      </c>
      <c r="F664">
        <v>1</v>
      </c>
      <c r="G664">
        <v>1</v>
      </c>
      <c r="H664">
        <v>2</v>
      </c>
      <c r="I664" t="s">
        <v>1151</v>
      </c>
      <c r="J664" t="s">
        <v>1152</v>
      </c>
      <c r="K664" t="s">
        <v>1153</v>
      </c>
      <c r="L664">
        <v>1368</v>
      </c>
      <c r="N664">
        <v>1011</v>
      </c>
      <c r="O664" t="s">
        <v>1154</v>
      </c>
      <c r="P664" t="s">
        <v>1154</v>
      </c>
      <c r="Q664">
        <v>1</v>
      </c>
      <c r="W664">
        <v>0</v>
      </c>
      <c r="X664">
        <v>1188625873</v>
      </c>
      <c r="Y664">
        <v>2.63</v>
      </c>
      <c r="AA664">
        <v>0</v>
      </c>
      <c r="AB664">
        <v>222.88</v>
      </c>
      <c r="AC664">
        <v>13.5</v>
      </c>
      <c r="AD664">
        <v>0</v>
      </c>
      <c r="AE664">
        <v>0</v>
      </c>
      <c r="AF664">
        <v>31.26</v>
      </c>
      <c r="AG664">
        <v>13.5</v>
      </c>
      <c r="AH664">
        <v>0</v>
      </c>
      <c r="AI664">
        <v>1</v>
      </c>
      <c r="AJ664">
        <v>7.13</v>
      </c>
      <c r="AK664">
        <v>1</v>
      </c>
      <c r="AL664">
        <v>1</v>
      </c>
      <c r="AN664">
        <v>0</v>
      </c>
      <c r="AO664">
        <v>1</v>
      </c>
      <c r="AP664">
        <v>0</v>
      </c>
      <c r="AQ664">
        <v>0</v>
      </c>
      <c r="AR664">
        <v>0</v>
      </c>
      <c r="AS664" t="s">
        <v>6</v>
      </c>
      <c r="AT664">
        <v>2.63</v>
      </c>
      <c r="AU664" t="s">
        <v>6</v>
      </c>
      <c r="AV664">
        <v>0</v>
      </c>
      <c r="AW664">
        <v>2</v>
      </c>
      <c r="AX664">
        <v>16632617</v>
      </c>
      <c r="AY664">
        <v>1</v>
      </c>
      <c r="AZ664">
        <v>0</v>
      </c>
      <c r="BA664">
        <v>654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Y664*Source!I326</f>
        <v>2.63E-2</v>
      </c>
      <c r="CY664">
        <f>AB664</f>
        <v>222.88</v>
      </c>
      <c r="CZ664">
        <f>AF664</f>
        <v>31.26</v>
      </c>
      <c r="DA664">
        <f>AJ664</f>
        <v>7.13</v>
      </c>
      <c r="DB664">
        <f t="shared" si="113"/>
        <v>82.21</v>
      </c>
      <c r="DC664">
        <f t="shared" si="114"/>
        <v>35.51</v>
      </c>
    </row>
    <row r="665" spans="1:107" x14ac:dyDescent="0.2">
      <c r="A665">
        <f>ROW(Source!A327)</f>
        <v>327</v>
      </c>
      <c r="B665">
        <v>16630606</v>
      </c>
      <c r="C665">
        <v>16632619</v>
      </c>
      <c r="D665">
        <v>15430767</v>
      </c>
      <c r="E665">
        <v>1</v>
      </c>
      <c r="F665">
        <v>1</v>
      </c>
      <c r="G665">
        <v>1</v>
      </c>
      <c r="H665">
        <v>1</v>
      </c>
      <c r="I665" t="s">
        <v>1171</v>
      </c>
      <c r="J665" t="s">
        <v>6</v>
      </c>
      <c r="K665" t="s">
        <v>1172</v>
      </c>
      <c r="L665">
        <v>1191</v>
      </c>
      <c r="N665">
        <v>1013</v>
      </c>
      <c r="O665" t="s">
        <v>1148</v>
      </c>
      <c r="P665" t="s">
        <v>1148</v>
      </c>
      <c r="Q665">
        <v>1</v>
      </c>
      <c r="W665">
        <v>0</v>
      </c>
      <c r="X665">
        <v>-400197608</v>
      </c>
      <c r="Y665">
        <v>102.6</v>
      </c>
      <c r="AA665">
        <v>0</v>
      </c>
      <c r="AB665">
        <v>0</v>
      </c>
      <c r="AC665">
        <v>0</v>
      </c>
      <c r="AD665">
        <v>60.82</v>
      </c>
      <c r="AE665">
        <v>0</v>
      </c>
      <c r="AF665">
        <v>0</v>
      </c>
      <c r="AG665">
        <v>0</v>
      </c>
      <c r="AH665">
        <v>8.5299999999999994</v>
      </c>
      <c r="AI665">
        <v>1</v>
      </c>
      <c r="AJ665">
        <v>1</v>
      </c>
      <c r="AK665">
        <v>1</v>
      </c>
      <c r="AL665">
        <v>7.13</v>
      </c>
      <c r="AN665">
        <v>0</v>
      </c>
      <c r="AO665">
        <v>1</v>
      </c>
      <c r="AP665">
        <v>0</v>
      </c>
      <c r="AQ665">
        <v>0</v>
      </c>
      <c r="AR665">
        <v>0</v>
      </c>
      <c r="AS665" t="s">
        <v>6</v>
      </c>
      <c r="AT665">
        <v>102.6</v>
      </c>
      <c r="AU665" t="s">
        <v>6</v>
      </c>
      <c r="AV665">
        <v>1</v>
      </c>
      <c r="AW665">
        <v>2</v>
      </c>
      <c r="AX665">
        <v>16632623</v>
      </c>
      <c r="AY665">
        <v>1</v>
      </c>
      <c r="AZ665">
        <v>0</v>
      </c>
      <c r="BA665">
        <v>656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Y665*Source!I327</f>
        <v>5.13</v>
      </c>
      <c r="CY665">
        <f>AD665</f>
        <v>60.82</v>
      </c>
      <c r="CZ665">
        <f>AH665</f>
        <v>8.5299999999999994</v>
      </c>
      <c r="DA665">
        <f>AL665</f>
        <v>7.13</v>
      </c>
      <c r="DB665">
        <f t="shared" si="113"/>
        <v>875.18</v>
      </c>
      <c r="DC665">
        <f t="shared" si="114"/>
        <v>0</v>
      </c>
    </row>
    <row r="666" spans="1:107" x14ac:dyDescent="0.2">
      <c r="A666">
        <f>ROW(Source!A327)</f>
        <v>327</v>
      </c>
      <c r="B666">
        <v>16630606</v>
      </c>
      <c r="C666">
        <v>16632619</v>
      </c>
      <c r="D666">
        <v>15430395</v>
      </c>
      <c r="E666">
        <v>1</v>
      </c>
      <c r="F666">
        <v>1</v>
      </c>
      <c r="G666">
        <v>1</v>
      </c>
      <c r="H666">
        <v>1</v>
      </c>
      <c r="I666" t="s">
        <v>1149</v>
      </c>
      <c r="J666" t="s">
        <v>6</v>
      </c>
      <c r="K666" t="s">
        <v>1150</v>
      </c>
      <c r="L666">
        <v>1191</v>
      </c>
      <c r="N666">
        <v>1013</v>
      </c>
      <c r="O666" t="s">
        <v>1148</v>
      </c>
      <c r="P666" t="s">
        <v>1148</v>
      </c>
      <c r="Q666">
        <v>1</v>
      </c>
      <c r="W666">
        <v>0</v>
      </c>
      <c r="X666">
        <v>-1417349443</v>
      </c>
      <c r="Y666">
        <v>0.79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1</v>
      </c>
      <c r="AJ666">
        <v>1</v>
      </c>
      <c r="AK666">
        <v>7.13</v>
      </c>
      <c r="AL666">
        <v>1</v>
      </c>
      <c r="AN666">
        <v>0</v>
      </c>
      <c r="AO666">
        <v>1</v>
      </c>
      <c r="AP666">
        <v>0</v>
      </c>
      <c r="AQ666">
        <v>0</v>
      </c>
      <c r="AR666">
        <v>0</v>
      </c>
      <c r="AS666" t="s">
        <v>6</v>
      </c>
      <c r="AT666">
        <v>0.79</v>
      </c>
      <c r="AU666" t="s">
        <v>6</v>
      </c>
      <c r="AV666">
        <v>2</v>
      </c>
      <c r="AW666">
        <v>2</v>
      </c>
      <c r="AX666">
        <v>16632624</v>
      </c>
      <c r="AY666">
        <v>1</v>
      </c>
      <c r="AZ666">
        <v>0</v>
      </c>
      <c r="BA666">
        <v>657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Y666*Source!I327</f>
        <v>3.9500000000000007E-2</v>
      </c>
      <c r="CY666">
        <f>AD666</f>
        <v>0</v>
      </c>
      <c r="CZ666">
        <f>AH666</f>
        <v>0</v>
      </c>
      <c r="DA666">
        <f>AL666</f>
        <v>1</v>
      </c>
      <c r="DB666">
        <f t="shared" si="113"/>
        <v>0</v>
      </c>
      <c r="DC666">
        <f t="shared" si="114"/>
        <v>0</v>
      </c>
    </row>
    <row r="667" spans="1:107" x14ac:dyDescent="0.2">
      <c r="A667">
        <f>ROW(Source!A327)</f>
        <v>327</v>
      </c>
      <c r="B667">
        <v>16630606</v>
      </c>
      <c r="C667">
        <v>16632619</v>
      </c>
      <c r="D667">
        <v>15247974</v>
      </c>
      <c r="E667">
        <v>1</v>
      </c>
      <c r="F667">
        <v>1</v>
      </c>
      <c r="G667">
        <v>1</v>
      </c>
      <c r="H667">
        <v>2</v>
      </c>
      <c r="I667" t="s">
        <v>1151</v>
      </c>
      <c r="J667" t="s">
        <v>1152</v>
      </c>
      <c r="K667" t="s">
        <v>1153</v>
      </c>
      <c r="L667">
        <v>1368</v>
      </c>
      <c r="N667">
        <v>1011</v>
      </c>
      <c r="O667" t="s">
        <v>1154</v>
      </c>
      <c r="P667" t="s">
        <v>1154</v>
      </c>
      <c r="Q667">
        <v>1</v>
      </c>
      <c r="W667">
        <v>0</v>
      </c>
      <c r="X667">
        <v>1188625873</v>
      </c>
      <c r="Y667">
        <v>0.79</v>
      </c>
      <c r="AA667">
        <v>0</v>
      </c>
      <c r="AB667">
        <v>222.88</v>
      </c>
      <c r="AC667">
        <v>13.5</v>
      </c>
      <c r="AD667">
        <v>0</v>
      </c>
      <c r="AE667">
        <v>0</v>
      </c>
      <c r="AF667">
        <v>31.26</v>
      </c>
      <c r="AG667">
        <v>13.5</v>
      </c>
      <c r="AH667">
        <v>0</v>
      </c>
      <c r="AI667">
        <v>1</v>
      </c>
      <c r="AJ667">
        <v>7.13</v>
      </c>
      <c r="AK667">
        <v>1</v>
      </c>
      <c r="AL667">
        <v>1</v>
      </c>
      <c r="AN667">
        <v>0</v>
      </c>
      <c r="AO667">
        <v>1</v>
      </c>
      <c r="AP667">
        <v>0</v>
      </c>
      <c r="AQ667">
        <v>0</v>
      </c>
      <c r="AR667">
        <v>0</v>
      </c>
      <c r="AS667" t="s">
        <v>6</v>
      </c>
      <c r="AT667">
        <v>0.79</v>
      </c>
      <c r="AU667" t="s">
        <v>6</v>
      </c>
      <c r="AV667">
        <v>0</v>
      </c>
      <c r="AW667">
        <v>2</v>
      </c>
      <c r="AX667">
        <v>16632625</v>
      </c>
      <c r="AY667">
        <v>1</v>
      </c>
      <c r="AZ667">
        <v>0</v>
      </c>
      <c r="BA667">
        <v>658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Y667*Source!I327</f>
        <v>3.9500000000000007E-2</v>
      </c>
      <c r="CY667">
        <f>AB667</f>
        <v>222.88</v>
      </c>
      <c r="CZ667">
        <f>AF667</f>
        <v>31.26</v>
      </c>
      <c r="DA667">
        <f>AJ667</f>
        <v>7.13</v>
      </c>
      <c r="DB667">
        <f t="shared" si="113"/>
        <v>24.7</v>
      </c>
      <c r="DC667">
        <f t="shared" si="114"/>
        <v>10.67</v>
      </c>
    </row>
    <row r="668" spans="1:107" x14ac:dyDescent="0.2">
      <c r="A668">
        <f>ROW(Source!A328)</f>
        <v>328</v>
      </c>
      <c r="B668">
        <v>16630606</v>
      </c>
      <c r="C668">
        <v>16632627</v>
      </c>
      <c r="D668">
        <v>15430767</v>
      </c>
      <c r="E668">
        <v>1</v>
      </c>
      <c r="F668">
        <v>1</v>
      </c>
      <c r="G668">
        <v>1</v>
      </c>
      <c r="H668">
        <v>1</v>
      </c>
      <c r="I668" t="s">
        <v>1171</v>
      </c>
      <c r="J668" t="s">
        <v>6</v>
      </c>
      <c r="K668" t="s">
        <v>1172</v>
      </c>
      <c r="L668">
        <v>1191</v>
      </c>
      <c r="N668">
        <v>1013</v>
      </c>
      <c r="O668" t="s">
        <v>1148</v>
      </c>
      <c r="P668" t="s">
        <v>1148</v>
      </c>
      <c r="Q668">
        <v>1</v>
      </c>
      <c r="W668">
        <v>0</v>
      </c>
      <c r="X668">
        <v>-400197608</v>
      </c>
      <c r="Y668">
        <v>51.3</v>
      </c>
      <c r="AA668">
        <v>0</v>
      </c>
      <c r="AB668">
        <v>0</v>
      </c>
      <c r="AC668">
        <v>0</v>
      </c>
      <c r="AD668">
        <v>60.82</v>
      </c>
      <c r="AE668">
        <v>0</v>
      </c>
      <c r="AF668">
        <v>0</v>
      </c>
      <c r="AG668">
        <v>0</v>
      </c>
      <c r="AH668">
        <v>8.5299999999999994</v>
      </c>
      <c r="AI668">
        <v>1</v>
      </c>
      <c r="AJ668">
        <v>1</v>
      </c>
      <c r="AK668">
        <v>1</v>
      </c>
      <c r="AL668">
        <v>7.13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6</v>
      </c>
      <c r="AT668">
        <v>51.3</v>
      </c>
      <c r="AU668" t="s">
        <v>6</v>
      </c>
      <c r="AV668">
        <v>1</v>
      </c>
      <c r="AW668">
        <v>2</v>
      </c>
      <c r="AX668">
        <v>16632631</v>
      </c>
      <c r="AY668">
        <v>1</v>
      </c>
      <c r="AZ668">
        <v>0</v>
      </c>
      <c r="BA668">
        <v>660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Y668*Source!I328</f>
        <v>1.5389999999999999</v>
      </c>
      <c r="CY668">
        <f>AD668</f>
        <v>60.82</v>
      </c>
      <c r="CZ668">
        <f>AH668</f>
        <v>8.5299999999999994</v>
      </c>
      <c r="DA668">
        <f>AL668</f>
        <v>7.13</v>
      </c>
      <c r="DB668">
        <f t="shared" si="113"/>
        <v>437.59</v>
      </c>
      <c r="DC668">
        <f t="shared" si="114"/>
        <v>0</v>
      </c>
    </row>
    <row r="669" spans="1:107" x14ac:dyDescent="0.2">
      <c r="A669">
        <f>ROW(Source!A328)</f>
        <v>328</v>
      </c>
      <c r="B669">
        <v>16630606</v>
      </c>
      <c r="C669">
        <v>16632627</v>
      </c>
      <c r="D669">
        <v>15430395</v>
      </c>
      <c r="E669">
        <v>1</v>
      </c>
      <c r="F669">
        <v>1</v>
      </c>
      <c r="G669">
        <v>1</v>
      </c>
      <c r="H669">
        <v>1</v>
      </c>
      <c r="I669" t="s">
        <v>1149</v>
      </c>
      <c r="J669" t="s">
        <v>6</v>
      </c>
      <c r="K669" t="s">
        <v>1150</v>
      </c>
      <c r="L669">
        <v>1191</v>
      </c>
      <c r="N669">
        <v>1013</v>
      </c>
      <c r="O669" t="s">
        <v>1148</v>
      </c>
      <c r="P669" t="s">
        <v>1148</v>
      </c>
      <c r="Q669">
        <v>1</v>
      </c>
      <c r="W669">
        <v>0</v>
      </c>
      <c r="X669">
        <v>-1417349443</v>
      </c>
      <c r="Y669">
        <v>0.26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1</v>
      </c>
      <c r="AJ669">
        <v>1</v>
      </c>
      <c r="AK669">
        <v>7.13</v>
      </c>
      <c r="AL669">
        <v>1</v>
      </c>
      <c r="AN669">
        <v>0</v>
      </c>
      <c r="AO669">
        <v>1</v>
      </c>
      <c r="AP669">
        <v>0</v>
      </c>
      <c r="AQ669">
        <v>0</v>
      </c>
      <c r="AR669">
        <v>0</v>
      </c>
      <c r="AS669" t="s">
        <v>6</v>
      </c>
      <c r="AT669">
        <v>0.26</v>
      </c>
      <c r="AU669" t="s">
        <v>6</v>
      </c>
      <c r="AV669">
        <v>2</v>
      </c>
      <c r="AW669">
        <v>2</v>
      </c>
      <c r="AX669">
        <v>16632632</v>
      </c>
      <c r="AY669">
        <v>1</v>
      </c>
      <c r="AZ669">
        <v>0</v>
      </c>
      <c r="BA669">
        <v>661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Y669*Source!I328</f>
        <v>7.7999999999999996E-3</v>
      </c>
      <c r="CY669">
        <f>AD669</f>
        <v>0</v>
      </c>
      <c r="CZ669">
        <f>AH669</f>
        <v>0</v>
      </c>
      <c r="DA669">
        <f>AL669</f>
        <v>1</v>
      </c>
      <c r="DB669">
        <f t="shared" si="113"/>
        <v>0</v>
      </c>
      <c r="DC669">
        <f t="shared" si="114"/>
        <v>0</v>
      </c>
    </row>
    <row r="670" spans="1:107" x14ac:dyDescent="0.2">
      <c r="A670">
        <f>ROW(Source!A328)</f>
        <v>328</v>
      </c>
      <c r="B670">
        <v>16630606</v>
      </c>
      <c r="C670">
        <v>16632627</v>
      </c>
      <c r="D670">
        <v>15247974</v>
      </c>
      <c r="E670">
        <v>1</v>
      </c>
      <c r="F670">
        <v>1</v>
      </c>
      <c r="G670">
        <v>1</v>
      </c>
      <c r="H670">
        <v>2</v>
      </c>
      <c r="I670" t="s">
        <v>1151</v>
      </c>
      <c r="J670" t="s">
        <v>1152</v>
      </c>
      <c r="K670" t="s">
        <v>1153</v>
      </c>
      <c r="L670">
        <v>1368</v>
      </c>
      <c r="N670">
        <v>1011</v>
      </c>
      <c r="O670" t="s">
        <v>1154</v>
      </c>
      <c r="P670" t="s">
        <v>1154</v>
      </c>
      <c r="Q670">
        <v>1</v>
      </c>
      <c r="W670">
        <v>0</v>
      </c>
      <c r="X670">
        <v>1188625873</v>
      </c>
      <c r="Y670">
        <v>0.26</v>
      </c>
      <c r="AA670">
        <v>0</v>
      </c>
      <c r="AB670">
        <v>222.88</v>
      </c>
      <c r="AC670">
        <v>13.5</v>
      </c>
      <c r="AD670">
        <v>0</v>
      </c>
      <c r="AE670">
        <v>0</v>
      </c>
      <c r="AF670">
        <v>31.26</v>
      </c>
      <c r="AG670">
        <v>13.5</v>
      </c>
      <c r="AH670">
        <v>0</v>
      </c>
      <c r="AI670">
        <v>1</v>
      </c>
      <c r="AJ670">
        <v>7.13</v>
      </c>
      <c r="AK670">
        <v>1</v>
      </c>
      <c r="AL670">
        <v>1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6</v>
      </c>
      <c r="AT670">
        <v>0.26</v>
      </c>
      <c r="AU670" t="s">
        <v>6</v>
      </c>
      <c r="AV670">
        <v>0</v>
      </c>
      <c r="AW670">
        <v>2</v>
      </c>
      <c r="AX670">
        <v>16632633</v>
      </c>
      <c r="AY670">
        <v>1</v>
      </c>
      <c r="AZ670">
        <v>0</v>
      </c>
      <c r="BA670">
        <v>662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Y670*Source!I328</f>
        <v>7.7999999999999996E-3</v>
      </c>
      <c r="CY670">
        <f>AB670</f>
        <v>222.88</v>
      </c>
      <c r="CZ670">
        <f>AF670</f>
        <v>31.26</v>
      </c>
      <c r="DA670">
        <f>AJ670</f>
        <v>7.13</v>
      </c>
      <c r="DB670">
        <f t="shared" si="113"/>
        <v>8.1300000000000008</v>
      </c>
      <c r="DC670">
        <f t="shared" si="114"/>
        <v>3.51</v>
      </c>
    </row>
    <row r="671" spans="1:107" x14ac:dyDescent="0.2">
      <c r="A671">
        <f>ROW(Source!A329)</f>
        <v>329</v>
      </c>
      <c r="B671">
        <v>16630606</v>
      </c>
      <c r="C671">
        <v>16632635</v>
      </c>
      <c r="D671">
        <v>15430767</v>
      </c>
      <c r="E671">
        <v>1</v>
      </c>
      <c r="F671">
        <v>1</v>
      </c>
      <c r="G671">
        <v>1</v>
      </c>
      <c r="H671">
        <v>1</v>
      </c>
      <c r="I671" t="s">
        <v>1171</v>
      </c>
      <c r="J671" t="s">
        <v>6</v>
      </c>
      <c r="K671" t="s">
        <v>1172</v>
      </c>
      <c r="L671">
        <v>1191</v>
      </c>
      <c r="N671">
        <v>1013</v>
      </c>
      <c r="O671" t="s">
        <v>1148</v>
      </c>
      <c r="P671" t="s">
        <v>1148</v>
      </c>
      <c r="Q671">
        <v>1</v>
      </c>
      <c r="W671">
        <v>0</v>
      </c>
      <c r="X671">
        <v>-400197608</v>
      </c>
      <c r="Y671">
        <v>63.84</v>
      </c>
      <c r="AA671">
        <v>0</v>
      </c>
      <c r="AB671">
        <v>0</v>
      </c>
      <c r="AC671">
        <v>0</v>
      </c>
      <c r="AD671">
        <v>60.82</v>
      </c>
      <c r="AE671">
        <v>0</v>
      </c>
      <c r="AF671">
        <v>0</v>
      </c>
      <c r="AG671">
        <v>0</v>
      </c>
      <c r="AH671">
        <v>8.5299999999999994</v>
      </c>
      <c r="AI671">
        <v>1</v>
      </c>
      <c r="AJ671">
        <v>1</v>
      </c>
      <c r="AK671">
        <v>1</v>
      </c>
      <c r="AL671">
        <v>7.13</v>
      </c>
      <c r="AN671">
        <v>0</v>
      </c>
      <c r="AO671">
        <v>1</v>
      </c>
      <c r="AP671">
        <v>0</v>
      </c>
      <c r="AQ671">
        <v>0</v>
      </c>
      <c r="AR671">
        <v>0</v>
      </c>
      <c r="AS671" t="s">
        <v>6</v>
      </c>
      <c r="AT671">
        <v>63.84</v>
      </c>
      <c r="AU671" t="s">
        <v>6</v>
      </c>
      <c r="AV671">
        <v>1</v>
      </c>
      <c r="AW671">
        <v>2</v>
      </c>
      <c r="AX671">
        <v>16632639</v>
      </c>
      <c r="AY671">
        <v>1</v>
      </c>
      <c r="AZ671">
        <v>0</v>
      </c>
      <c r="BA671">
        <v>664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Y671*Source!I329</f>
        <v>1.9152</v>
      </c>
      <c r="CY671">
        <f>AD671</f>
        <v>60.82</v>
      </c>
      <c r="CZ671">
        <f>AH671</f>
        <v>8.5299999999999994</v>
      </c>
      <c r="DA671">
        <f>AL671</f>
        <v>7.13</v>
      </c>
      <c r="DB671">
        <f t="shared" si="113"/>
        <v>544.55999999999995</v>
      </c>
      <c r="DC671">
        <f t="shared" si="114"/>
        <v>0</v>
      </c>
    </row>
    <row r="672" spans="1:107" x14ac:dyDescent="0.2">
      <c r="A672">
        <f>ROW(Source!A329)</f>
        <v>329</v>
      </c>
      <c r="B672">
        <v>16630606</v>
      </c>
      <c r="C672">
        <v>16632635</v>
      </c>
      <c r="D672">
        <v>15430395</v>
      </c>
      <c r="E672">
        <v>1</v>
      </c>
      <c r="F672">
        <v>1</v>
      </c>
      <c r="G672">
        <v>1</v>
      </c>
      <c r="H672">
        <v>1</v>
      </c>
      <c r="I672" t="s">
        <v>1149</v>
      </c>
      <c r="J672" t="s">
        <v>6</v>
      </c>
      <c r="K672" t="s">
        <v>1150</v>
      </c>
      <c r="L672">
        <v>1191</v>
      </c>
      <c r="N672">
        <v>1013</v>
      </c>
      <c r="O672" t="s">
        <v>1148</v>
      </c>
      <c r="P672" t="s">
        <v>1148</v>
      </c>
      <c r="Q672">
        <v>1</v>
      </c>
      <c r="W672">
        <v>0</v>
      </c>
      <c r="X672">
        <v>-1417349443</v>
      </c>
      <c r="Y672">
        <v>0.28999999999999998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1</v>
      </c>
      <c r="AJ672">
        <v>1</v>
      </c>
      <c r="AK672">
        <v>7.13</v>
      </c>
      <c r="AL672">
        <v>1</v>
      </c>
      <c r="AN672">
        <v>0</v>
      </c>
      <c r="AO672">
        <v>1</v>
      </c>
      <c r="AP672">
        <v>0</v>
      </c>
      <c r="AQ672">
        <v>0</v>
      </c>
      <c r="AR672">
        <v>0</v>
      </c>
      <c r="AS672" t="s">
        <v>6</v>
      </c>
      <c r="AT672">
        <v>0.28999999999999998</v>
      </c>
      <c r="AU672" t="s">
        <v>6</v>
      </c>
      <c r="AV672">
        <v>2</v>
      </c>
      <c r="AW672">
        <v>2</v>
      </c>
      <c r="AX672">
        <v>16632640</v>
      </c>
      <c r="AY672">
        <v>1</v>
      </c>
      <c r="AZ672">
        <v>0</v>
      </c>
      <c r="BA672">
        <v>665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Y672*Source!I329</f>
        <v>8.6999999999999994E-3</v>
      </c>
      <c r="CY672">
        <f>AD672</f>
        <v>0</v>
      </c>
      <c r="CZ672">
        <f>AH672</f>
        <v>0</v>
      </c>
      <c r="DA672">
        <f>AL672</f>
        <v>1</v>
      </c>
      <c r="DB672">
        <f t="shared" si="113"/>
        <v>0</v>
      </c>
      <c r="DC672">
        <f t="shared" si="114"/>
        <v>0</v>
      </c>
    </row>
    <row r="673" spans="1:107" x14ac:dyDescent="0.2">
      <c r="A673">
        <f>ROW(Source!A329)</f>
        <v>329</v>
      </c>
      <c r="B673">
        <v>16630606</v>
      </c>
      <c r="C673">
        <v>16632635</v>
      </c>
      <c r="D673">
        <v>15247974</v>
      </c>
      <c r="E673">
        <v>1</v>
      </c>
      <c r="F673">
        <v>1</v>
      </c>
      <c r="G673">
        <v>1</v>
      </c>
      <c r="H673">
        <v>2</v>
      </c>
      <c r="I673" t="s">
        <v>1151</v>
      </c>
      <c r="J673" t="s">
        <v>1152</v>
      </c>
      <c r="K673" t="s">
        <v>1153</v>
      </c>
      <c r="L673">
        <v>1368</v>
      </c>
      <c r="N673">
        <v>1011</v>
      </c>
      <c r="O673" t="s">
        <v>1154</v>
      </c>
      <c r="P673" t="s">
        <v>1154</v>
      </c>
      <c r="Q673">
        <v>1</v>
      </c>
      <c r="W673">
        <v>0</v>
      </c>
      <c r="X673">
        <v>1188625873</v>
      </c>
      <c r="Y673">
        <v>0.28999999999999998</v>
      </c>
      <c r="AA673">
        <v>0</v>
      </c>
      <c r="AB673">
        <v>222.88</v>
      </c>
      <c r="AC673">
        <v>13.5</v>
      </c>
      <c r="AD673">
        <v>0</v>
      </c>
      <c r="AE673">
        <v>0</v>
      </c>
      <c r="AF673">
        <v>31.26</v>
      </c>
      <c r="AG673">
        <v>13.5</v>
      </c>
      <c r="AH673">
        <v>0</v>
      </c>
      <c r="AI673">
        <v>1</v>
      </c>
      <c r="AJ673">
        <v>7.13</v>
      </c>
      <c r="AK673">
        <v>1</v>
      </c>
      <c r="AL673">
        <v>1</v>
      </c>
      <c r="AN673">
        <v>0</v>
      </c>
      <c r="AO673">
        <v>1</v>
      </c>
      <c r="AP673">
        <v>0</v>
      </c>
      <c r="AQ673">
        <v>0</v>
      </c>
      <c r="AR673">
        <v>0</v>
      </c>
      <c r="AS673" t="s">
        <v>6</v>
      </c>
      <c r="AT673">
        <v>0.28999999999999998</v>
      </c>
      <c r="AU673" t="s">
        <v>6</v>
      </c>
      <c r="AV673">
        <v>0</v>
      </c>
      <c r="AW673">
        <v>2</v>
      </c>
      <c r="AX673">
        <v>16632641</v>
      </c>
      <c r="AY673">
        <v>1</v>
      </c>
      <c r="AZ673">
        <v>0</v>
      </c>
      <c r="BA673">
        <v>666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Y673*Source!I329</f>
        <v>8.6999999999999994E-3</v>
      </c>
      <c r="CY673">
        <f>AB673</f>
        <v>222.88</v>
      </c>
      <c r="CZ673">
        <f>AF673</f>
        <v>31.26</v>
      </c>
      <c r="DA673">
        <f>AJ673</f>
        <v>7.13</v>
      </c>
      <c r="DB673">
        <f t="shared" si="113"/>
        <v>9.07</v>
      </c>
      <c r="DC673">
        <f t="shared" si="114"/>
        <v>3.92</v>
      </c>
    </row>
    <row r="674" spans="1:107" x14ac:dyDescent="0.2">
      <c r="A674">
        <f>ROW(Source!A330)</f>
        <v>330</v>
      </c>
      <c r="B674">
        <v>16630606</v>
      </c>
      <c r="C674">
        <v>16632643</v>
      </c>
      <c r="D674">
        <v>15430767</v>
      </c>
      <c r="E674">
        <v>1</v>
      </c>
      <c r="F674">
        <v>1</v>
      </c>
      <c r="G674">
        <v>1</v>
      </c>
      <c r="H674">
        <v>1</v>
      </c>
      <c r="I674" t="s">
        <v>1171</v>
      </c>
      <c r="J674" t="s">
        <v>6</v>
      </c>
      <c r="K674" t="s">
        <v>1172</v>
      </c>
      <c r="L674">
        <v>1191</v>
      </c>
      <c r="N674">
        <v>1013</v>
      </c>
      <c r="O674" t="s">
        <v>1148</v>
      </c>
      <c r="P674" t="s">
        <v>1148</v>
      </c>
      <c r="Q674">
        <v>1</v>
      </c>
      <c r="W674">
        <v>0</v>
      </c>
      <c r="X674">
        <v>-400197608</v>
      </c>
      <c r="Y674">
        <v>37.28</v>
      </c>
      <c r="AA674">
        <v>0</v>
      </c>
      <c r="AB674">
        <v>0</v>
      </c>
      <c r="AC674">
        <v>0</v>
      </c>
      <c r="AD674">
        <v>60.82</v>
      </c>
      <c r="AE674">
        <v>0</v>
      </c>
      <c r="AF674">
        <v>0</v>
      </c>
      <c r="AG674">
        <v>0</v>
      </c>
      <c r="AH674">
        <v>8.5299999999999994</v>
      </c>
      <c r="AI674">
        <v>1</v>
      </c>
      <c r="AJ674">
        <v>1</v>
      </c>
      <c r="AK674">
        <v>1</v>
      </c>
      <c r="AL674">
        <v>7.13</v>
      </c>
      <c r="AN674">
        <v>0</v>
      </c>
      <c r="AO674">
        <v>1</v>
      </c>
      <c r="AP674">
        <v>0</v>
      </c>
      <c r="AQ674">
        <v>0</v>
      </c>
      <c r="AR674">
        <v>0</v>
      </c>
      <c r="AS674" t="s">
        <v>6</v>
      </c>
      <c r="AT674">
        <v>37.28</v>
      </c>
      <c r="AU674" t="s">
        <v>6</v>
      </c>
      <c r="AV674">
        <v>1</v>
      </c>
      <c r="AW674">
        <v>2</v>
      </c>
      <c r="AX674">
        <v>16632647</v>
      </c>
      <c r="AY674">
        <v>1</v>
      </c>
      <c r="AZ674">
        <v>0</v>
      </c>
      <c r="BA674">
        <v>668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Y674*Source!I330</f>
        <v>1.1184000000000001</v>
      </c>
      <c r="CY674">
        <f>AD674</f>
        <v>60.82</v>
      </c>
      <c r="CZ674">
        <f>AH674</f>
        <v>8.5299999999999994</v>
      </c>
      <c r="DA674">
        <f>AL674</f>
        <v>7.13</v>
      </c>
      <c r="DB674">
        <f t="shared" si="113"/>
        <v>318</v>
      </c>
      <c r="DC674">
        <f t="shared" si="114"/>
        <v>0</v>
      </c>
    </row>
    <row r="675" spans="1:107" x14ac:dyDescent="0.2">
      <c r="A675">
        <f>ROW(Source!A330)</f>
        <v>330</v>
      </c>
      <c r="B675">
        <v>16630606</v>
      </c>
      <c r="C675">
        <v>16632643</v>
      </c>
      <c r="D675">
        <v>15430395</v>
      </c>
      <c r="E675">
        <v>1</v>
      </c>
      <c r="F675">
        <v>1</v>
      </c>
      <c r="G675">
        <v>1</v>
      </c>
      <c r="H675">
        <v>1</v>
      </c>
      <c r="I675" t="s">
        <v>1149</v>
      </c>
      <c r="J675" t="s">
        <v>6</v>
      </c>
      <c r="K675" t="s">
        <v>1150</v>
      </c>
      <c r="L675">
        <v>1191</v>
      </c>
      <c r="N675">
        <v>1013</v>
      </c>
      <c r="O675" t="s">
        <v>1148</v>
      </c>
      <c r="P675" t="s">
        <v>1148</v>
      </c>
      <c r="Q675">
        <v>1</v>
      </c>
      <c r="W675">
        <v>0</v>
      </c>
      <c r="X675">
        <v>-1417349443</v>
      </c>
      <c r="Y675">
        <v>0.26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1</v>
      </c>
      <c r="AJ675">
        <v>1</v>
      </c>
      <c r="AK675">
        <v>7.13</v>
      </c>
      <c r="AL675">
        <v>1</v>
      </c>
      <c r="AN675">
        <v>0</v>
      </c>
      <c r="AO675">
        <v>1</v>
      </c>
      <c r="AP675">
        <v>0</v>
      </c>
      <c r="AQ675">
        <v>0</v>
      </c>
      <c r="AR675">
        <v>0</v>
      </c>
      <c r="AS675" t="s">
        <v>6</v>
      </c>
      <c r="AT675">
        <v>0.26</v>
      </c>
      <c r="AU675" t="s">
        <v>6</v>
      </c>
      <c r="AV675">
        <v>2</v>
      </c>
      <c r="AW675">
        <v>2</v>
      </c>
      <c r="AX675">
        <v>16632648</v>
      </c>
      <c r="AY675">
        <v>1</v>
      </c>
      <c r="AZ675">
        <v>0</v>
      </c>
      <c r="BA675">
        <v>669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Y675*Source!I330</f>
        <v>7.7999999999999996E-3</v>
      </c>
      <c r="CY675">
        <f>AD675</f>
        <v>0</v>
      </c>
      <c r="CZ675">
        <f>AH675</f>
        <v>0</v>
      </c>
      <c r="DA675">
        <f>AL675</f>
        <v>1</v>
      </c>
      <c r="DB675">
        <f t="shared" si="113"/>
        <v>0</v>
      </c>
      <c r="DC675">
        <f t="shared" si="114"/>
        <v>0</v>
      </c>
    </row>
    <row r="676" spans="1:107" x14ac:dyDescent="0.2">
      <c r="A676">
        <f>ROW(Source!A330)</f>
        <v>330</v>
      </c>
      <c r="B676">
        <v>16630606</v>
      </c>
      <c r="C676">
        <v>16632643</v>
      </c>
      <c r="D676">
        <v>15247974</v>
      </c>
      <c r="E676">
        <v>1</v>
      </c>
      <c r="F676">
        <v>1</v>
      </c>
      <c r="G676">
        <v>1</v>
      </c>
      <c r="H676">
        <v>2</v>
      </c>
      <c r="I676" t="s">
        <v>1151</v>
      </c>
      <c r="J676" t="s">
        <v>1152</v>
      </c>
      <c r="K676" t="s">
        <v>1153</v>
      </c>
      <c r="L676">
        <v>1368</v>
      </c>
      <c r="N676">
        <v>1011</v>
      </c>
      <c r="O676" t="s">
        <v>1154</v>
      </c>
      <c r="P676" t="s">
        <v>1154</v>
      </c>
      <c r="Q676">
        <v>1</v>
      </c>
      <c r="W676">
        <v>0</v>
      </c>
      <c r="X676">
        <v>1188625873</v>
      </c>
      <c r="Y676">
        <v>0.26</v>
      </c>
      <c r="AA676">
        <v>0</v>
      </c>
      <c r="AB676">
        <v>222.88</v>
      </c>
      <c r="AC676">
        <v>13.5</v>
      </c>
      <c r="AD676">
        <v>0</v>
      </c>
      <c r="AE676">
        <v>0</v>
      </c>
      <c r="AF676">
        <v>31.26</v>
      </c>
      <c r="AG676">
        <v>13.5</v>
      </c>
      <c r="AH676">
        <v>0</v>
      </c>
      <c r="AI676">
        <v>1</v>
      </c>
      <c r="AJ676">
        <v>7.13</v>
      </c>
      <c r="AK676">
        <v>1</v>
      </c>
      <c r="AL676">
        <v>1</v>
      </c>
      <c r="AN676">
        <v>0</v>
      </c>
      <c r="AO676">
        <v>1</v>
      </c>
      <c r="AP676">
        <v>0</v>
      </c>
      <c r="AQ676">
        <v>0</v>
      </c>
      <c r="AR676">
        <v>0</v>
      </c>
      <c r="AS676" t="s">
        <v>6</v>
      </c>
      <c r="AT676">
        <v>0.26</v>
      </c>
      <c r="AU676" t="s">
        <v>6</v>
      </c>
      <c r="AV676">
        <v>0</v>
      </c>
      <c r="AW676">
        <v>2</v>
      </c>
      <c r="AX676">
        <v>16632649</v>
      </c>
      <c r="AY676">
        <v>1</v>
      </c>
      <c r="AZ676">
        <v>0</v>
      </c>
      <c r="BA676">
        <v>670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Y676*Source!I330</f>
        <v>7.7999999999999996E-3</v>
      </c>
      <c r="CY676">
        <f>AB676</f>
        <v>222.88</v>
      </c>
      <c r="CZ676">
        <f>AF676</f>
        <v>31.26</v>
      </c>
      <c r="DA676">
        <f>AJ676</f>
        <v>7.13</v>
      </c>
      <c r="DB676">
        <f t="shared" si="113"/>
        <v>8.1300000000000008</v>
      </c>
      <c r="DC676">
        <f t="shared" si="114"/>
        <v>3.51</v>
      </c>
    </row>
    <row r="677" spans="1:107" x14ac:dyDescent="0.2">
      <c r="A677">
        <f>ROW(Source!A331)</f>
        <v>331</v>
      </c>
      <c r="B677">
        <v>16630606</v>
      </c>
      <c r="C677">
        <v>16632651</v>
      </c>
      <c r="D677">
        <v>15446300</v>
      </c>
      <c r="E677">
        <v>1</v>
      </c>
      <c r="F677">
        <v>1</v>
      </c>
      <c r="G677">
        <v>1</v>
      </c>
      <c r="H677">
        <v>1</v>
      </c>
      <c r="I677" t="s">
        <v>1220</v>
      </c>
      <c r="J677" t="s">
        <v>6</v>
      </c>
      <c r="K677" t="s">
        <v>1221</v>
      </c>
      <c r="L677">
        <v>1191</v>
      </c>
      <c r="N677">
        <v>1013</v>
      </c>
      <c r="O677" t="s">
        <v>1148</v>
      </c>
      <c r="P677" t="s">
        <v>1148</v>
      </c>
      <c r="Q677">
        <v>1</v>
      </c>
      <c r="W677">
        <v>0</v>
      </c>
      <c r="X677">
        <v>912892513</v>
      </c>
      <c r="Y677">
        <v>73.875999999999991</v>
      </c>
      <c r="AA677">
        <v>0</v>
      </c>
      <c r="AB677">
        <v>0</v>
      </c>
      <c r="AC677">
        <v>0</v>
      </c>
      <c r="AD677">
        <v>70.73</v>
      </c>
      <c r="AE677">
        <v>0</v>
      </c>
      <c r="AF677">
        <v>0</v>
      </c>
      <c r="AG677">
        <v>0</v>
      </c>
      <c r="AH677">
        <v>9.92</v>
      </c>
      <c r="AI677">
        <v>1</v>
      </c>
      <c r="AJ677">
        <v>1</v>
      </c>
      <c r="AK677">
        <v>1</v>
      </c>
      <c r="AL677">
        <v>7.13</v>
      </c>
      <c r="AN677">
        <v>0</v>
      </c>
      <c r="AO677">
        <v>1</v>
      </c>
      <c r="AP677">
        <v>1</v>
      </c>
      <c r="AQ677">
        <v>0</v>
      </c>
      <c r="AR677">
        <v>0</v>
      </c>
      <c r="AS677" t="s">
        <v>6</v>
      </c>
      <c r="AT677">
        <v>64.239999999999995</v>
      </c>
      <c r="AU677" t="s">
        <v>82</v>
      </c>
      <c r="AV677">
        <v>1</v>
      </c>
      <c r="AW677">
        <v>2</v>
      </c>
      <c r="AX677">
        <v>16632664</v>
      </c>
      <c r="AY677">
        <v>1</v>
      </c>
      <c r="AZ677">
        <v>0</v>
      </c>
      <c r="BA677">
        <v>672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Y677*Source!I331</f>
        <v>16.400471999999997</v>
      </c>
      <c r="CY677">
        <f>AD677</f>
        <v>70.73</v>
      </c>
      <c r="CZ677">
        <f>AH677</f>
        <v>9.92</v>
      </c>
      <c r="DA677">
        <f>AL677</f>
        <v>7.13</v>
      </c>
      <c r="DB677">
        <f>ROUND((ROUND(AT677*CZ677,2)*1.15),2)</f>
        <v>732.85</v>
      </c>
      <c r="DC677">
        <f>ROUND((ROUND(AT677*AG677,2)*1.15),2)</f>
        <v>0</v>
      </c>
    </row>
    <row r="678" spans="1:107" x14ac:dyDescent="0.2">
      <c r="A678">
        <f>ROW(Source!A331)</f>
        <v>331</v>
      </c>
      <c r="B678">
        <v>16630606</v>
      </c>
      <c r="C678">
        <v>16632651</v>
      </c>
      <c r="D678">
        <v>15430395</v>
      </c>
      <c r="E678">
        <v>1</v>
      </c>
      <c r="F678">
        <v>1</v>
      </c>
      <c r="G678">
        <v>1</v>
      </c>
      <c r="H678">
        <v>1</v>
      </c>
      <c r="I678" t="s">
        <v>1149</v>
      </c>
      <c r="J678" t="s">
        <v>6</v>
      </c>
      <c r="K678" t="s">
        <v>1150</v>
      </c>
      <c r="L678">
        <v>1191</v>
      </c>
      <c r="N678">
        <v>1013</v>
      </c>
      <c r="O678" t="s">
        <v>1148</v>
      </c>
      <c r="P678" t="s">
        <v>1148</v>
      </c>
      <c r="Q678">
        <v>1</v>
      </c>
      <c r="W678">
        <v>0</v>
      </c>
      <c r="X678">
        <v>-1417349443</v>
      </c>
      <c r="Y678">
        <v>0.03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1</v>
      </c>
      <c r="AJ678">
        <v>1</v>
      </c>
      <c r="AK678">
        <v>7.13</v>
      </c>
      <c r="AL678">
        <v>1</v>
      </c>
      <c r="AN678">
        <v>0</v>
      </c>
      <c r="AO678">
        <v>1</v>
      </c>
      <c r="AP678">
        <v>0</v>
      </c>
      <c r="AQ678">
        <v>0</v>
      </c>
      <c r="AR678">
        <v>0</v>
      </c>
      <c r="AS678" t="s">
        <v>6</v>
      </c>
      <c r="AT678">
        <v>0.03</v>
      </c>
      <c r="AU678" t="s">
        <v>6</v>
      </c>
      <c r="AV678">
        <v>2</v>
      </c>
      <c r="AW678">
        <v>2</v>
      </c>
      <c r="AX678">
        <v>16632665</v>
      </c>
      <c r="AY678">
        <v>1</v>
      </c>
      <c r="AZ678">
        <v>2048</v>
      </c>
      <c r="BA678">
        <v>673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Y678*Source!I331</f>
        <v>6.6600000000000001E-3</v>
      </c>
      <c r="CY678">
        <f>AD678</f>
        <v>0</v>
      </c>
      <c r="CZ678">
        <f>AH678</f>
        <v>0</v>
      </c>
      <c r="DA678">
        <f>AL678</f>
        <v>1</v>
      </c>
      <c r="DB678">
        <f>ROUND(ROUND(AT678*CZ678,2),2)</f>
        <v>0</v>
      </c>
      <c r="DC678">
        <f>ROUND(ROUND(AT678*AG678,2),2)</f>
        <v>0</v>
      </c>
    </row>
    <row r="679" spans="1:107" x14ac:dyDescent="0.2">
      <c r="A679">
        <f>ROW(Source!A331)</f>
        <v>331</v>
      </c>
      <c r="B679">
        <v>16630606</v>
      </c>
      <c r="C679">
        <v>16632651</v>
      </c>
      <c r="D679">
        <v>15247578</v>
      </c>
      <c r="E679">
        <v>1</v>
      </c>
      <c r="F679">
        <v>1</v>
      </c>
      <c r="G679">
        <v>1</v>
      </c>
      <c r="H679">
        <v>2</v>
      </c>
      <c r="I679" t="s">
        <v>1246</v>
      </c>
      <c r="J679" t="s">
        <v>1247</v>
      </c>
      <c r="K679" t="s">
        <v>1248</v>
      </c>
      <c r="L679">
        <v>1368</v>
      </c>
      <c r="N679">
        <v>1011</v>
      </c>
      <c r="O679" t="s">
        <v>1154</v>
      </c>
      <c r="P679" t="s">
        <v>1154</v>
      </c>
      <c r="Q679">
        <v>1</v>
      </c>
      <c r="W679">
        <v>0</v>
      </c>
      <c r="X679">
        <v>-1460065968</v>
      </c>
      <c r="Y679">
        <v>1.2500000000000001E-2</v>
      </c>
      <c r="AA679">
        <v>0</v>
      </c>
      <c r="AB679">
        <v>616.03</v>
      </c>
      <c r="AC679">
        <v>13.5</v>
      </c>
      <c r="AD679">
        <v>0</v>
      </c>
      <c r="AE679">
        <v>0</v>
      </c>
      <c r="AF679">
        <v>86.4</v>
      </c>
      <c r="AG679">
        <v>13.5</v>
      </c>
      <c r="AH679">
        <v>0</v>
      </c>
      <c r="AI679">
        <v>1</v>
      </c>
      <c r="AJ679">
        <v>7.13</v>
      </c>
      <c r="AK679">
        <v>1</v>
      </c>
      <c r="AL679">
        <v>1</v>
      </c>
      <c r="AN679">
        <v>0</v>
      </c>
      <c r="AO679">
        <v>1</v>
      </c>
      <c r="AP679">
        <v>1</v>
      </c>
      <c r="AQ679">
        <v>0</v>
      </c>
      <c r="AR679">
        <v>0</v>
      </c>
      <c r="AS679" t="s">
        <v>6</v>
      </c>
      <c r="AT679">
        <v>0.01</v>
      </c>
      <c r="AU679" t="s">
        <v>81</v>
      </c>
      <c r="AV679">
        <v>0</v>
      </c>
      <c r="AW679">
        <v>2</v>
      </c>
      <c r="AX679">
        <v>16632666</v>
      </c>
      <c r="AY679">
        <v>1</v>
      </c>
      <c r="AZ679">
        <v>0</v>
      </c>
      <c r="BA679">
        <v>674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Y679*Source!I331</f>
        <v>2.7750000000000001E-3</v>
      </c>
      <c r="CY679">
        <f>AB679</f>
        <v>616.03</v>
      </c>
      <c r="CZ679">
        <f>AF679</f>
        <v>86.4</v>
      </c>
      <c r="DA679">
        <f>AJ679</f>
        <v>7.13</v>
      </c>
      <c r="DB679">
        <f>ROUND((ROUND(AT679*CZ679,2)*1.25),2)</f>
        <v>1.08</v>
      </c>
      <c r="DC679">
        <f>ROUND((ROUND(AT679*AG679,2)*1.25),2)</f>
        <v>0.18</v>
      </c>
    </row>
    <row r="680" spans="1:107" x14ac:dyDescent="0.2">
      <c r="A680">
        <f>ROW(Source!A331)</f>
        <v>331</v>
      </c>
      <c r="B680">
        <v>16630606</v>
      </c>
      <c r="C680">
        <v>16632651</v>
      </c>
      <c r="D680">
        <v>15247680</v>
      </c>
      <c r="E680">
        <v>1</v>
      </c>
      <c r="F680">
        <v>1</v>
      </c>
      <c r="G680">
        <v>1</v>
      </c>
      <c r="H680">
        <v>2</v>
      </c>
      <c r="I680" t="s">
        <v>1419</v>
      </c>
      <c r="J680" t="s">
        <v>1420</v>
      </c>
      <c r="K680" t="s">
        <v>1421</v>
      </c>
      <c r="L680">
        <v>1368</v>
      </c>
      <c r="N680">
        <v>1011</v>
      </c>
      <c r="O680" t="s">
        <v>1154</v>
      </c>
      <c r="P680" t="s">
        <v>1154</v>
      </c>
      <c r="Q680">
        <v>1</v>
      </c>
      <c r="W680">
        <v>0</v>
      </c>
      <c r="X680">
        <v>-1718674368</v>
      </c>
      <c r="Y680">
        <v>1.2500000000000001E-2</v>
      </c>
      <c r="AA680">
        <v>0</v>
      </c>
      <c r="AB680">
        <v>798.49</v>
      </c>
      <c r="AC680">
        <v>13.5</v>
      </c>
      <c r="AD680">
        <v>0</v>
      </c>
      <c r="AE680">
        <v>0</v>
      </c>
      <c r="AF680">
        <v>111.99</v>
      </c>
      <c r="AG680">
        <v>13.5</v>
      </c>
      <c r="AH680">
        <v>0</v>
      </c>
      <c r="AI680">
        <v>1</v>
      </c>
      <c r="AJ680">
        <v>7.13</v>
      </c>
      <c r="AK680">
        <v>1</v>
      </c>
      <c r="AL680">
        <v>1</v>
      </c>
      <c r="AN680">
        <v>0</v>
      </c>
      <c r="AO680">
        <v>1</v>
      </c>
      <c r="AP680">
        <v>1</v>
      </c>
      <c r="AQ680">
        <v>0</v>
      </c>
      <c r="AR680">
        <v>0</v>
      </c>
      <c r="AS680" t="s">
        <v>6</v>
      </c>
      <c r="AT680">
        <v>0.01</v>
      </c>
      <c r="AU680" t="s">
        <v>81</v>
      </c>
      <c r="AV680">
        <v>0</v>
      </c>
      <c r="AW680">
        <v>2</v>
      </c>
      <c r="AX680">
        <v>16632667</v>
      </c>
      <c r="AY680">
        <v>1</v>
      </c>
      <c r="AZ680">
        <v>0</v>
      </c>
      <c r="BA680">
        <v>675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Y680*Source!I331</f>
        <v>2.7750000000000001E-3</v>
      </c>
      <c r="CY680">
        <f>AB680</f>
        <v>798.49</v>
      </c>
      <c r="CZ680">
        <f>AF680</f>
        <v>111.99</v>
      </c>
      <c r="DA680">
        <f>AJ680</f>
        <v>7.13</v>
      </c>
      <c r="DB680">
        <f>ROUND((ROUND(AT680*CZ680,2)*1.25),2)</f>
        <v>1.4</v>
      </c>
      <c r="DC680">
        <f>ROUND((ROUND(AT680*AG680,2)*1.25),2)</f>
        <v>0.18</v>
      </c>
    </row>
    <row r="681" spans="1:107" x14ac:dyDescent="0.2">
      <c r="A681">
        <f>ROW(Source!A331)</f>
        <v>331</v>
      </c>
      <c r="B681">
        <v>16630606</v>
      </c>
      <c r="C681">
        <v>16632651</v>
      </c>
      <c r="D681">
        <v>15249073</v>
      </c>
      <c r="E681">
        <v>1</v>
      </c>
      <c r="F681">
        <v>1</v>
      </c>
      <c r="G681">
        <v>1</v>
      </c>
      <c r="H681">
        <v>2</v>
      </c>
      <c r="I681" t="s">
        <v>1157</v>
      </c>
      <c r="J681" t="s">
        <v>1158</v>
      </c>
      <c r="K681" t="s">
        <v>1159</v>
      </c>
      <c r="L681">
        <v>1368</v>
      </c>
      <c r="N681">
        <v>1011</v>
      </c>
      <c r="O681" t="s">
        <v>1154</v>
      </c>
      <c r="P681" t="s">
        <v>1154</v>
      </c>
      <c r="Q681">
        <v>1</v>
      </c>
      <c r="W681">
        <v>0</v>
      </c>
      <c r="X681">
        <v>1372534845</v>
      </c>
      <c r="Y681">
        <v>1.2500000000000001E-2</v>
      </c>
      <c r="AA681">
        <v>0</v>
      </c>
      <c r="AB681">
        <v>468.51</v>
      </c>
      <c r="AC681">
        <v>11.6</v>
      </c>
      <c r="AD681">
        <v>0</v>
      </c>
      <c r="AE681">
        <v>0</v>
      </c>
      <c r="AF681">
        <v>65.709999999999994</v>
      </c>
      <c r="AG681">
        <v>11.6</v>
      </c>
      <c r="AH681">
        <v>0</v>
      </c>
      <c r="AI681">
        <v>1</v>
      </c>
      <c r="AJ681">
        <v>7.13</v>
      </c>
      <c r="AK681">
        <v>1</v>
      </c>
      <c r="AL681">
        <v>1</v>
      </c>
      <c r="AN681">
        <v>0</v>
      </c>
      <c r="AO681">
        <v>1</v>
      </c>
      <c r="AP681">
        <v>1</v>
      </c>
      <c r="AQ681">
        <v>0</v>
      </c>
      <c r="AR681">
        <v>0</v>
      </c>
      <c r="AS681" t="s">
        <v>6</v>
      </c>
      <c r="AT681">
        <v>0.01</v>
      </c>
      <c r="AU681" t="s">
        <v>81</v>
      </c>
      <c r="AV681">
        <v>0</v>
      </c>
      <c r="AW681">
        <v>2</v>
      </c>
      <c r="AX681">
        <v>16632668</v>
      </c>
      <c r="AY681">
        <v>1</v>
      </c>
      <c r="AZ681">
        <v>0</v>
      </c>
      <c r="BA681">
        <v>676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Y681*Source!I331</f>
        <v>2.7750000000000001E-3</v>
      </c>
      <c r="CY681">
        <f>AB681</f>
        <v>468.51</v>
      </c>
      <c r="CZ681">
        <f>AF681</f>
        <v>65.709999999999994</v>
      </c>
      <c r="DA681">
        <f>AJ681</f>
        <v>7.13</v>
      </c>
      <c r="DB681">
        <f>ROUND((ROUND(AT681*CZ681,2)*1.25),2)</f>
        <v>0.83</v>
      </c>
      <c r="DC681">
        <f>ROUND((ROUND(AT681*AG681,2)*1.25),2)</f>
        <v>0.15</v>
      </c>
    </row>
    <row r="682" spans="1:107" x14ac:dyDescent="0.2">
      <c r="A682">
        <f>ROW(Source!A331)</f>
        <v>331</v>
      </c>
      <c r="B682">
        <v>16630606</v>
      </c>
      <c r="C682">
        <v>16632651</v>
      </c>
      <c r="D682">
        <v>15167286</v>
      </c>
      <c r="E682">
        <v>1</v>
      </c>
      <c r="F682">
        <v>1</v>
      </c>
      <c r="G682">
        <v>1</v>
      </c>
      <c r="H682">
        <v>3</v>
      </c>
      <c r="I682" t="s">
        <v>1265</v>
      </c>
      <c r="J682" t="s">
        <v>1266</v>
      </c>
      <c r="K682" t="s">
        <v>1267</v>
      </c>
      <c r="L682">
        <v>1339</v>
      </c>
      <c r="N682">
        <v>1007</v>
      </c>
      <c r="O682" t="s">
        <v>203</v>
      </c>
      <c r="P682" t="s">
        <v>203</v>
      </c>
      <c r="Q682">
        <v>1</v>
      </c>
      <c r="W682">
        <v>0</v>
      </c>
      <c r="X682">
        <v>-1660354250</v>
      </c>
      <c r="Y682">
        <v>0.39</v>
      </c>
      <c r="AA682">
        <v>17.399999999999999</v>
      </c>
      <c r="AB682">
        <v>0</v>
      </c>
      <c r="AC682">
        <v>0</v>
      </c>
      <c r="AD682">
        <v>0</v>
      </c>
      <c r="AE682">
        <v>2.44</v>
      </c>
      <c r="AF682">
        <v>0</v>
      </c>
      <c r="AG682">
        <v>0</v>
      </c>
      <c r="AH682">
        <v>0</v>
      </c>
      <c r="AI682">
        <v>7.13</v>
      </c>
      <c r="AJ682">
        <v>1</v>
      </c>
      <c r="AK682">
        <v>1</v>
      </c>
      <c r="AL682">
        <v>1</v>
      </c>
      <c r="AN682">
        <v>0</v>
      </c>
      <c r="AO682">
        <v>1</v>
      </c>
      <c r="AP682">
        <v>0</v>
      </c>
      <c r="AQ682">
        <v>0</v>
      </c>
      <c r="AR682">
        <v>0</v>
      </c>
      <c r="AS682" t="s">
        <v>6</v>
      </c>
      <c r="AT682">
        <v>0.39</v>
      </c>
      <c r="AU682" t="s">
        <v>6</v>
      </c>
      <c r="AV682">
        <v>0</v>
      </c>
      <c r="AW682">
        <v>2</v>
      </c>
      <c r="AX682">
        <v>16632669</v>
      </c>
      <c r="AY682">
        <v>1</v>
      </c>
      <c r="AZ682">
        <v>0</v>
      </c>
      <c r="BA682">
        <v>677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Y682*Source!I331</f>
        <v>8.6580000000000004E-2</v>
      </c>
      <c r="CY682">
        <f t="shared" ref="CY682:CY688" si="115">AA682</f>
        <v>17.399999999999999</v>
      </c>
      <c r="CZ682">
        <f t="shared" ref="CZ682:CZ688" si="116">AE682</f>
        <v>2.44</v>
      </c>
      <c r="DA682">
        <f t="shared" ref="DA682:DA688" si="117">AI682</f>
        <v>7.13</v>
      </c>
      <c r="DB682">
        <f t="shared" ref="DB682:DB688" si="118">ROUND(ROUND(AT682*CZ682,2),2)</f>
        <v>0.95</v>
      </c>
      <c r="DC682">
        <f t="shared" ref="DC682:DC688" si="119">ROUND(ROUND(AT682*AG682,2),2)</f>
        <v>0</v>
      </c>
    </row>
    <row r="683" spans="1:107" x14ac:dyDescent="0.2">
      <c r="A683">
        <f>ROW(Source!A331)</f>
        <v>331</v>
      </c>
      <c r="B683">
        <v>16630606</v>
      </c>
      <c r="C683">
        <v>16632651</v>
      </c>
      <c r="D683">
        <v>15169924</v>
      </c>
      <c r="E683">
        <v>1</v>
      </c>
      <c r="F683">
        <v>1</v>
      </c>
      <c r="G683">
        <v>1</v>
      </c>
      <c r="H683">
        <v>3</v>
      </c>
      <c r="I683" t="s">
        <v>1602</v>
      </c>
      <c r="J683" t="s">
        <v>1603</v>
      </c>
      <c r="K683" t="s">
        <v>1604</v>
      </c>
      <c r="L683">
        <v>1348</v>
      </c>
      <c r="N683">
        <v>1009</v>
      </c>
      <c r="O683" t="s">
        <v>98</v>
      </c>
      <c r="P683" t="s">
        <v>98</v>
      </c>
      <c r="Q683">
        <v>1000</v>
      </c>
      <c r="W683">
        <v>0</v>
      </c>
      <c r="X683">
        <v>-405065451</v>
      </c>
      <c r="Y683">
        <v>1.1999999999999999E-3</v>
      </c>
      <c r="AA683">
        <v>105737.9</v>
      </c>
      <c r="AB683">
        <v>0</v>
      </c>
      <c r="AC683">
        <v>0</v>
      </c>
      <c r="AD683">
        <v>0</v>
      </c>
      <c r="AE683">
        <v>14830</v>
      </c>
      <c r="AF683">
        <v>0</v>
      </c>
      <c r="AG683">
        <v>0</v>
      </c>
      <c r="AH683">
        <v>0</v>
      </c>
      <c r="AI683">
        <v>7.13</v>
      </c>
      <c r="AJ683">
        <v>1</v>
      </c>
      <c r="AK683">
        <v>1</v>
      </c>
      <c r="AL683">
        <v>1</v>
      </c>
      <c r="AN683">
        <v>0</v>
      </c>
      <c r="AO683">
        <v>1</v>
      </c>
      <c r="AP683">
        <v>0</v>
      </c>
      <c r="AQ683">
        <v>0</v>
      </c>
      <c r="AR683">
        <v>0</v>
      </c>
      <c r="AS683" t="s">
        <v>6</v>
      </c>
      <c r="AT683">
        <v>1.1999999999999999E-3</v>
      </c>
      <c r="AU683" t="s">
        <v>6</v>
      </c>
      <c r="AV683">
        <v>0</v>
      </c>
      <c r="AW683">
        <v>2</v>
      </c>
      <c r="AX683">
        <v>16632670</v>
      </c>
      <c r="AY683">
        <v>1</v>
      </c>
      <c r="AZ683">
        <v>0</v>
      </c>
      <c r="BA683">
        <v>678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Y683*Source!I331</f>
        <v>2.6639999999999997E-4</v>
      </c>
      <c r="CY683">
        <f t="shared" si="115"/>
        <v>105737.9</v>
      </c>
      <c r="CZ683">
        <f t="shared" si="116"/>
        <v>14830</v>
      </c>
      <c r="DA683">
        <f t="shared" si="117"/>
        <v>7.13</v>
      </c>
      <c r="DB683">
        <f t="shared" si="118"/>
        <v>17.8</v>
      </c>
      <c r="DC683">
        <f t="shared" si="119"/>
        <v>0</v>
      </c>
    </row>
    <row r="684" spans="1:107" x14ac:dyDescent="0.2">
      <c r="A684">
        <f>ROW(Source!A331)</f>
        <v>331</v>
      </c>
      <c r="B684">
        <v>16630606</v>
      </c>
      <c r="C684">
        <v>16632651</v>
      </c>
      <c r="D684">
        <v>15170781</v>
      </c>
      <c r="E684">
        <v>1</v>
      </c>
      <c r="F684">
        <v>1</v>
      </c>
      <c r="G684">
        <v>1</v>
      </c>
      <c r="H684">
        <v>3</v>
      </c>
      <c r="I684" t="s">
        <v>1605</v>
      </c>
      <c r="J684" t="s">
        <v>1606</v>
      </c>
      <c r="K684" t="s">
        <v>1607</v>
      </c>
      <c r="L684">
        <v>1346</v>
      </c>
      <c r="N684">
        <v>1009</v>
      </c>
      <c r="O684" t="s">
        <v>102</v>
      </c>
      <c r="P684" t="s">
        <v>102</v>
      </c>
      <c r="Q684">
        <v>1</v>
      </c>
      <c r="W684">
        <v>0</v>
      </c>
      <c r="X684">
        <v>1537401615</v>
      </c>
      <c r="Y684">
        <v>1.5</v>
      </c>
      <c r="AA684">
        <v>174.04</v>
      </c>
      <c r="AB684">
        <v>0</v>
      </c>
      <c r="AC684">
        <v>0</v>
      </c>
      <c r="AD684">
        <v>0</v>
      </c>
      <c r="AE684">
        <v>24.41</v>
      </c>
      <c r="AF684">
        <v>0</v>
      </c>
      <c r="AG684">
        <v>0</v>
      </c>
      <c r="AH684">
        <v>0</v>
      </c>
      <c r="AI684">
        <v>7.13</v>
      </c>
      <c r="AJ684">
        <v>1</v>
      </c>
      <c r="AK684">
        <v>1</v>
      </c>
      <c r="AL684">
        <v>1</v>
      </c>
      <c r="AN684">
        <v>0</v>
      </c>
      <c r="AO684">
        <v>1</v>
      </c>
      <c r="AP684">
        <v>0</v>
      </c>
      <c r="AQ684">
        <v>0</v>
      </c>
      <c r="AR684">
        <v>0</v>
      </c>
      <c r="AS684" t="s">
        <v>6</v>
      </c>
      <c r="AT684">
        <v>1.5</v>
      </c>
      <c r="AU684" t="s">
        <v>6</v>
      </c>
      <c r="AV684">
        <v>0</v>
      </c>
      <c r="AW684">
        <v>2</v>
      </c>
      <c r="AX684">
        <v>16632671</v>
      </c>
      <c r="AY684">
        <v>1</v>
      </c>
      <c r="AZ684">
        <v>0</v>
      </c>
      <c r="BA684">
        <v>679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Y684*Source!I331</f>
        <v>0.33300000000000002</v>
      </c>
      <c r="CY684">
        <f t="shared" si="115"/>
        <v>174.04</v>
      </c>
      <c r="CZ684">
        <f t="shared" si="116"/>
        <v>24.41</v>
      </c>
      <c r="DA684">
        <f t="shared" si="117"/>
        <v>7.13</v>
      </c>
      <c r="DB684">
        <f t="shared" si="118"/>
        <v>36.619999999999997</v>
      </c>
      <c r="DC684">
        <f t="shared" si="119"/>
        <v>0</v>
      </c>
    </row>
    <row r="685" spans="1:107" x14ac:dyDescent="0.2">
      <c r="A685">
        <f>ROW(Source!A331)</f>
        <v>331</v>
      </c>
      <c r="B685">
        <v>16630606</v>
      </c>
      <c r="C685">
        <v>16632651</v>
      </c>
      <c r="D685">
        <v>15232880</v>
      </c>
      <c r="E685">
        <v>1</v>
      </c>
      <c r="F685">
        <v>1</v>
      </c>
      <c r="G685">
        <v>1</v>
      </c>
      <c r="H685">
        <v>3</v>
      </c>
      <c r="I685" t="s">
        <v>904</v>
      </c>
      <c r="J685" t="s">
        <v>906</v>
      </c>
      <c r="K685" t="s">
        <v>905</v>
      </c>
      <c r="L685">
        <v>1348</v>
      </c>
      <c r="N685">
        <v>1009</v>
      </c>
      <c r="O685" t="s">
        <v>98</v>
      </c>
      <c r="P685" t="s">
        <v>98</v>
      </c>
      <c r="Q685">
        <v>1000</v>
      </c>
      <c r="W685">
        <v>0</v>
      </c>
      <c r="X685">
        <v>-1558467010</v>
      </c>
      <c r="Y685">
        <v>3.2258000000000002E-2</v>
      </c>
      <c r="AA685">
        <v>190580.41</v>
      </c>
      <c r="AB685">
        <v>0</v>
      </c>
      <c r="AC685">
        <v>0</v>
      </c>
      <c r="AD685">
        <v>0</v>
      </c>
      <c r="AE685">
        <v>26729.37</v>
      </c>
      <c r="AF685">
        <v>0</v>
      </c>
      <c r="AG685">
        <v>0</v>
      </c>
      <c r="AH685">
        <v>0</v>
      </c>
      <c r="AI685">
        <v>7.13</v>
      </c>
      <c r="AJ685">
        <v>1</v>
      </c>
      <c r="AK685">
        <v>1</v>
      </c>
      <c r="AL685">
        <v>1</v>
      </c>
      <c r="AN685">
        <v>0</v>
      </c>
      <c r="AO685">
        <v>0</v>
      </c>
      <c r="AP685">
        <v>0</v>
      </c>
      <c r="AQ685">
        <v>0</v>
      </c>
      <c r="AR685">
        <v>0</v>
      </c>
      <c r="AS685" t="s">
        <v>6</v>
      </c>
      <c r="AT685">
        <v>3.2258000000000002E-2</v>
      </c>
      <c r="AU685" t="s">
        <v>6</v>
      </c>
      <c r="AV685">
        <v>0</v>
      </c>
      <c r="AW685">
        <v>1</v>
      </c>
      <c r="AX685">
        <v>-1</v>
      </c>
      <c r="AY685">
        <v>0</v>
      </c>
      <c r="AZ685">
        <v>0</v>
      </c>
      <c r="BA685" t="s">
        <v>6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Y685*Source!I331</f>
        <v>7.1612760000000003E-3</v>
      </c>
      <c r="CY685">
        <f t="shared" si="115"/>
        <v>190580.41</v>
      </c>
      <c r="CZ685">
        <f t="shared" si="116"/>
        <v>26729.37</v>
      </c>
      <c r="DA685">
        <f t="shared" si="117"/>
        <v>7.13</v>
      </c>
      <c r="DB685">
        <f t="shared" si="118"/>
        <v>862.24</v>
      </c>
      <c r="DC685">
        <f t="shared" si="119"/>
        <v>0</v>
      </c>
    </row>
    <row r="686" spans="1:107" x14ac:dyDescent="0.2">
      <c r="A686">
        <f>ROW(Source!A331)</f>
        <v>331</v>
      </c>
      <c r="B686">
        <v>16630606</v>
      </c>
      <c r="C686">
        <v>16632651</v>
      </c>
      <c r="D686">
        <v>15233505</v>
      </c>
      <c r="E686">
        <v>1</v>
      </c>
      <c r="F686">
        <v>1</v>
      </c>
      <c r="G686">
        <v>1</v>
      </c>
      <c r="H686">
        <v>3</v>
      </c>
      <c r="I686" t="s">
        <v>908</v>
      </c>
      <c r="J686" t="s">
        <v>910</v>
      </c>
      <c r="K686" t="s">
        <v>909</v>
      </c>
      <c r="L686">
        <v>1301</v>
      </c>
      <c r="N686">
        <v>1003</v>
      </c>
      <c r="O686" t="s">
        <v>150</v>
      </c>
      <c r="P686" t="s">
        <v>150</v>
      </c>
      <c r="Q686">
        <v>1</v>
      </c>
      <c r="W686">
        <v>0</v>
      </c>
      <c r="X686">
        <v>555726028</v>
      </c>
      <c r="Y686">
        <v>100</v>
      </c>
      <c r="AA686">
        <v>74.010000000000005</v>
      </c>
      <c r="AB686">
        <v>0</v>
      </c>
      <c r="AC686">
        <v>0</v>
      </c>
      <c r="AD686">
        <v>0</v>
      </c>
      <c r="AE686">
        <v>10.38</v>
      </c>
      <c r="AF686">
        <v>0</v>
      </c>
      <c r="AG686">
        <v>0</v>
      </c>
      <c r="AH686">
        <v>0</v>
      </c>
      <c r="AI686">
        <v>7.13</v>
      </c>
      <c r="AJ686">
        <v>1</v>
      </c>
      <c r="AK686">
        <v>1</v>
      </c>
      <c r="AL686">
        <v>1</v>
      </c>
      <c r="AN686">
        <v>0</v>
      </c>
      <c r="AO686">
        <v>0</v>
      </c>
      <c r="AP686">
        <v>0</v>
      </c>
      <c r="AQ686">
        <v>0</v>
      </c>
      <c r="AR686">
        <v>0</v>
      </c>
      <c r="AS686" t="s">
        <v>6</v>
      </c>
      <c r="AT686">
        <v>100</v>
      </c>
      <c r="AU686" t="s">
        <v>6</v>
      </c>
      <c r="AV686">
        <v>0</v>
      </c>
      <c r="AW686">
        <v>1</v>
      </c>
      <c r="AX686">
        <v>-1</v>
      </c>
      <c r="AY686">
        <v>0</v>
      </c>
      <c r="AZ686">
        <v>0</v>
      </c>
      <c r="BA686" t="s">
        <v>6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Y686*Source!I331</f>
        <v>22.2</v>
      </c>
      <c r="CY686">
        <f t="shared" si="115"/>
        <v>74.010000000000005</v>
      </c>
      <c r="CZ686">
        <f t="shared" si="116"/>
        <v>10.38</v>
      </c>
      <c r="DA686">
        <f t="shared" si="117"/>
        <v>7.13</v>
      </c>
      <c r="DB686">
        <f t="shared" si="118"/>
        <v>1038</v>
      </c>
      <c r="DC686">
        <f t="shared" si="119"/>
        <v>0</v>
      </c>
    </row>
    <row r="687" spans="1:107" x14ac:dyDescent="0.2">
      <c r="A687">
        <f>ROW(Source!A331)</f>
        <v>331</v>
      </c>
      <c r="B687">
        <v>16630606</v>
      </c>
      <c r="C687">
        <v>16632651</v>
      </c>
      <c r="D687">
        <v>15163153</v>
      </c>
      <c r="E687">
        <v>17</v>
      </c>
      <c r="F687">
        <v>1</v>
      </c>
      <c r="G687">
        <v>1</v>
      </c>
      <c r="H687">
        <v>3</v>
      </c>
      <c r="I687" t="s">
        <v>916</v>
      </c>
      <c r="J687" t="s">
        <v>6</v>
      </c>
      <c r="K687" t="s">
        <v>917</v>
      </c>
      <c r="L687">
        <v>1301</v>
      </c>
      <c r="N687">
        <v>1003</v>
      </c>
      <c r="O687" t="s">
        <v>150</v>
      </c>
      <c r="P687" t="s">
        <v>150</v>
      </c>
      <c r="Q687">
        <v>1</v>
      </c>
      <c r="W687">
        <v>0</v>
      </c>
      <c r="X687">
        <v>28435243</v>
      </c>
      <c r="Y687">
        <v>100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7.13</v>
      </c>
      <c r="AJ687">
        <v>1</v>
      </c>
      <c r="AK687">
        <v>1</v>
      </c>
      <c r="AL687">
        <v>1</v>
      </c>
      <c r="AN687">
        <v>0</v>
      </c>
      <c r="AO687">
        <v>0</v>
      </c>
      <c r="AP687">
        <v>0</v>
      </c>
      <c r="AQ687">
        <v>0</v>
      </c>
      <c r="AR687">
        <v>0</v>
      </c>
      <c r="AS687" t="s">
        <v>6</v>
      </c>
      <c r="AT687">
        <v>100</v>
      </c>
      <c r="AU687" t="s">
        <v>6</v>
      </c>
      <c r="AV687">
        <v>0</v>
      </c>
      <c r="AW687">
        <v>2</v>
      </c>
      <c r="AX687">
        <v>16632674</v>
      </c>
      <c r="AY687">
        <v>1</v>
      </c>
      <c r="AZ687">
        <v>6144</v>
      </c>
      <c r="BA687">
        <v>682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Y687*Source!I331</f>
        <v>22.2</v>
      </c>
      <c r="CY687">
        <f t="shared" si="115"/>
        <v>0</v>
      </c>
      <c r="CZ687">
        <f t="shared" si="116"/>
        <v>0</v>
      </c>
      <c r="DA687">
        <f t="shared" si="117"/>
        <v>7.13</v>
      </c>
      <c r="DB687">
        <f t="shared" si="118"/>
        <v>0</v>
      </c>
      <c r="DC687">
        <f t="shared" si="119"/>
        <v>0</v>
      </c>
    </row>
    <row r="688" spans="1:107" x14ac:dyDescent="0.2">
      <c r="A688">
        <f>ROW(Source!A331)</f>
        <v>331</v>
      </c>
      <c r="B688">
        <v>16630606</v>
      </c>
      <c r="C688">
        <v>16632651</v>
      </c>
      <c r="D688">
        <v>15235255</v>
      </c>
      <c r="E688">
        <v>1</v>
      </c>
      <c r="F688">
        <v>1</v>
      </c>
      <c r="G688">
        <v>1</v>
      </c>
      <c r="H688">
        <v>3</v>
      </c>
      <c r="I688" t="s">
        <v>912</v>
      </c>
      <c r="J688" t="s">
        <v>914</v>
      </c>
      <c r="K688" t="s">
        <v>913</v>
      </c>
      <c r="L688">
        <v>1354</v>
      </c>
      <c r="N688">
        <v>1010</v>
      </c>
      <c r="O688" t="s">
        <v>132</v>
      </c>
      <c r="P688" t="s">
        <v>132</v>
      </c>
      <c r="Q688">
        <v>1</v>
      </c>
      <c r="W688">
        <v>0</v>
      </c>
      <c r="X688">
        <v>-805411951</v>
      </c>
      <c r="Y688">
        <v>31.531531999999999</v>
      </c>
      <c r="AA688">
        <v>48.34</v>
      </c>
      <c r="AB688">
        <v>0</v>
      </c>
      <c r="AC688">
        <v>0</v>
      </c>
      <c r="AD688">
        <v>0</v>
      </c>
      <c r="AE688">
        <v>6.78</v>
      </c>
      <c r="AF688">
        <v>0</v>
      </c>
      <c r="AG688">
        <v>0</v>
      </c>
      <c r="AH688">
        <v>0</v>
      </c>
      <c r="AI688">
        <v>7.13</v>
      </c>
      <c r="AJ688">
        <v>1</v>
      </c>
      <c r="AK688">
        <v>1</v>
      </c>
      <c r="AL688">
        <v>1</v>
      </c>
      <c r="AN688">
        <v>0</v>
      </c>
      <c r="AO688">
        <v>0</v>
      </c>
      <c r="AP688">
        <v>0</v>
      </c>
      <c r="AQ688">
        <v>0</v>
      </c>
      <c r="AR688">
        <v>0</v>
      </c>
      <c r="AS688" t="s">
        <v>6</v>
      </c>
      <c r="AT688">
        <v>31.531531999999999</v>
      </c>
      <c r="AU688" t="s">
        <v>6</v>
      </c>
      <c r="AV688">
        <v>0</v>
      </c>
      <c r="AW688">
        <v>1</v>
      </c>
      <c r="AX688">
        <v>-1</v>
      </c>
      <c r="AY688">
        <v>0</v>
      </c>
      <c r="AZ688">
        <v>0</v>
      </c>
      <c r="BA688" t="s">
        <v>6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Y688*Source!I331</f>
        <v>7.0000001039999997</v>
      </c>
      <c r="CY688">
        <f t="shared" si="115"/>
        <v>48.34</v>
      </c>
      <c r="CZ688">
        <f t="shared" si="116"/>
        <v>6.78</v>
      </c>
      <c r="DA688">
        <f t="shared" si="117"/>
        <v>7.13</v>
      </c>
      <c r="DB688">
        <f t="shared" si="118"/>
        <v>213.78</v>
      </c>
      <c r="DC688">
        <f t="shared" si="119"/>
        <v>0</v>
      </c>
    </row>
    <row r="689" spans="1:107" x14ac:dyDescent="0.2">
      <c r="A689">
        <f>ROW(Source!A336)</f>
        <v>336</v>
      </c>
      <c r="B689">
        <v>16630606</v>
      </c>
      <c r="C689">
        <v>16632679</v>
      </c>
      <c r="D689">
        <v>15446300</v>
      </c>
      <c r="E689">
        <v>1</v>
      </c>
      <c r="F689">
        <v>1</v>
      </c>
      <c r="G689">
        <v>1</v>
      </c>
      <c r="H689">
        <v>1</v>
      </c>
      <c r="I689" t="s">
        <v>1220</v>
      </c>
      <c r="J689" t="s">
        <v>6</v>
      </c>
      <c r="K689" t="s">
        <v>1221</v>
      </c>
      <c r="L689">
        <v>1191</v>
      </c>
      <c r="N689">
        <v>1013</v>
      </c>
      <c r="O689" t="s">
        <v>1148</v>
      </c>
      <c r="P689" t="s">
        <v>1148</v>
      </c>
      <c r="Q689">
        <v>1</v>
      </c>
      <c r="W689">
        <v>0</v>
      </c>
      <c r="X689">
        <v>912892513</v>
      </c>
      <c r="Y689">
        <v>70.839999999999989</v>
      </c>
      <c r="AA689">
        <v>0</v>
      </c>
      <c r="AB689">
        <v>0</v>
      </c>
      <c r="AC689">
        <v>0</v>
      </c>
      <c r="AD689">
        <v>70.73</v>
      </c>
      <c r="AE689">
        <v>0</v>
      </c>
      <c r="AF689">
        <v>0</v>
      </c>
      <c r="AG689">
        <v>0</v>
      </c>
      <c r="AH689">
        <v>9.92</v>
      </c>
      <c r="AI689">
        <v>1</v>
      </c>
      <c r="AJ689">
        <v>1</v>
      </c>
      <c r="AK689">
        <v>1</v>
      </c>
      <c r="AL689">
        <v>7.13</v>
      </c>
      <c r="AN689">
        <v>0</v>
      </c>
      <c r="AO689">
        <v>1</v>
      </c>
      <c r="AP689">
        <v>1</v>
      </c>
      <c r="AQ689">
        <v>0</v>
      </c>
      <c r="AR689">
        <v>0</v>
      </c>
      <c r="AS689" t="s">
        <v>6</v>
      </c>
      <c r="AT689">
        <v>61.6</v>
      </c>
      <c r="AU689" t="s">
        <v>82</v>
      </c>
      <c r="AV689">
        <v>1</v>
      </c>
      <c r="AW689">
        <v>2</v>
      </c>
      <c r="AX689">
        <v>16632692</v>
      </c>
      <c r="AY689">
        <v>1</v>
      </c>
      <c r="AZ689">
        <v>0</v>
      </c>
      <c r="BA689">
        <v>683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Y689*Source!I336</f>
        <v>6.8714799999999991</v>
      </c>
      <c r="CY689">
        <f>AD689</f>
        <v>70.73</v>
      </c>
      <c r="CZ689">
        <f>AH689</f>
        <v>9.92</v>
      </c>
      <c r="DA689">
        <f>AL689</f>
        <v>7.13</v>
      </c>
      <c r="DB689">
        <f>ROUND((ROUND(AT689*CZ689,2)*1.15),2)</f>
        <v>702.73</v>
      </c>
      <c r="DC689">
        <f>ROUND((ROUND(AT689*AG689,2)*1.15),2)</f>
        <v>0</v>
      </c>
    </row>
    <row r="690" spans="1:107" x14ac:dyDescent="0.2">
      <c r="A690">
        <f>ROW(Source!A336)</f>
        <v>336</v>
      </c>
      <c r="B690">
        <v>16630606</v>
      </c>
      <c r="C690">
        <v>16632679</v>
      </c>
      <c r="D690">
        <v>15430395</v>
      </c>
      <c r="E690">
        <v>1</v>
      </c>
      <c r="F690">
        <v>1</v>
      </c>
      <c r="G690">
        <v>1</v>
      </c>
      <c r="H690">
        <v>1</v>
      </c>
      <c r="I690" t="s">
        <v>1149</v>
      </c>
      <c r="J690" t="s">
        <v>6</v>
      </c>
      <c r="K690" t="s">
        <v>1150</v>
      </c>
      <c r="L690">
        <v>1191</v>
      </c>
      <c r="N690">
        <v>1013</v>
      </c>
      <c r="O690" t="s">
        <v>1148</v>
      </c>
      <c r="P690" t="s">
        <v>1148</v>
      </c>
      <c r="Q690">
        <v>1</v>
      </c>
      <c r="W690">
        <v>0</v>
      </c>
      <c r="X690">
        <v>-1417349443</v>
      </c>
      <c r="Y690">
        <v>7.0000000000000007E-2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1</v>
      </c>
      <c r="AJ690">
        <v>1</v>
      </c>
      <c r="AK690">
        <v>7.13</v>
      </c>
      <c r="AL690">
        <v>1</v>
      </c>
      <c r="AN690">
        <v>0</v>
      </c>
      <c r="AO690">
        <v>1</v>
      </c>
      <c r="AP690">
        <v>0</v>
      </c>
      <c r="AQ690">
        <v>0</v>
      </c>
      <c r="AR690">
        <v>0</v>
      </c>
      <c r="AS690" t="s">
        <v>6</v>
      </c>
      <c r="AT690">
        <v>7.0000000000000007E-2</v>
      </c>
      <c r="AU690" t="s">
        <v>6</v>
      </c>
      <c r="AV690">
        <v>2</v>
      </c>
      <c r="AW690">
        <v>2</v>
      </c>
      <c r="AX690">
        <v>16632693</v>
      </c>
      <c r="AY690">
        <v>1</v>
      </c>
      <c r="AZ690">
        <v>2048</v>
      </c>
      <c r="BA690">
        <v>684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Y690*Source!I336</f>
        <v>6.7900000000000009E-3</v>
      </c>
      <c r="CY690">
        <f>AD690</f>
        <v>0</v>
      </c>
      <c r="CZ690">
        <f>AH690</f>
        <v>0</v>
      </c>
      <c r="DA690">
        <f>AL690</f>
        <v>1</v>
      </c>
      <c r="DB690">
        <f>ROUND(ROUND(AT690*CZ690,2),2)</f>
        <v>0</v>
      </c>
      <c r="DC690">
        <f>ROUND(ROUND(AT690*AG690,2),2)</f>
        <v>0</v>
      </c>
    </row>
    <row r="691" spans="1:107" x14ac:dyDescent="0.2">
      <c r="A691">
        <f>ROW(Source!A336)</f>
        <v>336</v>
      </c>
      <c r="B691">
        <v>16630606</v>
      </c>
      <c r="C691">
        <v>16632679</v>
      </c>
      <c r="D691">
        <v>15247578</v>
      </c>
      <c r="E691">
        <v>1</v>
      </c>
      <c r="F691">
        <v>1</v>
      </c>
      <c r="G691">
        <v>1</v>
      </c>
      <c r="H691">
        <v>2</v>
      </c>
      <c r="I691" t="s">
        <v>1246</v>
      </c>
      <c r="J691" t="s">
        <v>1247</v>
      </c>
      <c r="K691" t="s">
        <v>1248</v>
      </c>
      <c r="L691">
        <v>1368</v>
      </c>
      <c r="N691">
        <v>1011</v>
      </c>
      <c r="O691" t="s">
        <v>1154</v>
      </c>
      <c r="P691" t="s">
        <v>1154</v>
      </c>
      <c r="Q691">
        <v>1</v>
      </c>
      <c r="W691">
        <v>0</v>
      </c>
      <c r="X691">
        <v>-1460065968</v>
      </c>
      <c r="Y691">
        <v>3.7499999999999999E-2</v>
      </c>
      <c r="AA691">
        <v>0</v>
      </c>
      <c r="AB691">
        <v>616.03</v>
      </c>
      <c r="AC691">
        <v>13.5</v>
      </c>
      <c r="AD691">
        <v>0</v>
      </c>
      <c r="AE691">
        <v>0</v>
      </c>
      <c r="AF691">
        <v>86.4</v>
      </c>
      <c r="AG691">
        <v>13.5</v>
      </c>
      <c r="AH691">
        <v>0</v>
      </c>
      <c r="AI691">
        <v>1</v>
      </c>
      <c r="AJ691">
        <v>7.13</v>
      </c>
      <c r="AK691">
        <v>1</v>
      </c>
      <c r="AL691">
        <v>1</v>
      </c>
      <c r="AN691">
        <v>0</v>
      </c>
      <c r="AO691">
        <v>1</v>
      </c>
      <c r="AP691">
        <v>1</v>
      </c>
      <c r="AQ691">
        <v>0</v>
      </c>
      <c r="AR691">
        <v>0</v>
      </c>
      <c r="AS691" t="s">
        <v>6</v>
      </c>
      <c r="AT691">
        <v>0.03</v>
      </c>
      <c r="AU691" t="s">
        <v>81</v>
      </c>
      <c r="AV691">
        <v>0</v>
      </c>
      <c r="AW691">
        <v>2</v>
      </c>
      <c r="AX691">
        <v>16632694</v>
      </c>
      <c r="AY691">
        <v>1</v>
      </c>
      <c r="AZ691">
        <v>0</v>
      </c>
      <c r="BA691">
        <v>685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Y691*Source!I336</f>
        <v>3.6375000000000001E-3</v>
      </c>
      <c r="CY691">
        <f>AB691</f>
        <v>616.03</v>
      </c>
      <c r="CZ691">
        <f>AF691</f>
        <v>86.4</v>
      </c>
      <c r="DA691">
        <f>AJ691</f>
        <v>7.13</v>
      </c>
      <c r="DB691">
        <f>ROUND((ROUND(AT691*CZ691,2)*1.25),2)</f>
        <v>3.24</v>
      </c>
      <c r="DC691">
        <f>ROUND((ROUND(AT691*AG691,2)*1.25),2)</f>
        <v>0.51</v>
      </c>
    </row>
    <row r="692" spans="1:107" x14ac:dyDescent="0.2">
      <c r="A692">
        <f>ROW(Source!A336)</f>
        <v>336</v>
      </c>
      <c r="B692">
        <v>16630606</v>
      </c>
      <c r="C692">
        <v>16632679</v>
      </c>
      <c r="D692">
        <v>15247680</v>
      </c>
      <c r="E692">
        <v>1</v>
      </c>
      <c r="F692">
        <v>1</v>
      </c>
      <c r="G692">
        <v>1</v>
      </c>
      <c r="H692">
        <v>2</v>
      </c>
      <c r="I692" t="s">
        <v>1419</v>
      </c>
      <c r="J692" t="s">
        <v>1420</v>
      </c>
      <c r="K692" t="s">
        <v>1421</v>
      </c>
      <c r="L692">
        <v>1368</v>
      </c>
      <c r="N692">
        <v>1011</v>
      </c>
      <c r="O692" t="s">
        <v>1154</v>
      </c>
      <c r="P692" t="s">
        <v>1154</v>
      </c>
      <c r="Q692">
        <v>1</v>
      </c>
      <c r="W692">
        <v>0</v>
      </c>
      <c r="X692">
        <v>-1718674368</v>
      </c>
      <c r="Y692">
        <v>2.5000000000000001E-2</v>
      </c>
      <c r="AA692">
        <v>0</v>
      </c>
      <c r="AB692">
        <v>798.49</v>
      </c>
      <c r="AC692">
        <v>13.5</v>
      </c>
      <c r="AD692">
        <v>0</v>
      </c>
      <c r="AE692">
        <v>0</v>
      </c>
      <c r="AF692">
        <v>111.99</v>
      </c>
      <c r="AG692">
        <v>13.5</v>
      </c>
      <c r="AH692">
        <v>0</v>
      </c>
      <c r="AI692">
        <v>1</v>
      </c>
      <c r="AJ692">
        <v>7.13</v>
      </c>
      <c r="AK692">
        <v>1</v>
      </c>
      <c r="AL692">
        <v>1</v>
      </c>
      <c r="AN692">
        <v>0</v>
      </c>
      <c r="AO692">
        <v>1</v>
      </c>
      <c r="AP692">
        <v>1</v>
      </c>
      <c r="AQ692">
        <v>0</v>
      </c>
      <c r="AR692">
        <v>0</v>
      </c>
      <c r="AS692" t="s">
        <v>6</v>
      </c>
      <c r="AT692">
        <v>0.02</v>
      </c>
      <c r="AU692" t="s">
        <v>81</v>
      </c>
      <c r="AV692">
        <v>0</v>
      </c>
      <c r="AW692">
        <v>2</v>
      </c>
      <c r="AX692">
        <v>16632695</v>
      </c>
      <c r="AY692">
        <v>1</v>
      </c>
      <c r="AZ692">
        <v>0</v>
      </c>
      <c r="BA692">
        <v>686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Y692*Source!I336</f>
        <v>2.4250000000000001E-3</v>
      </c>
      <c r="CY692">
        <f>AB692</f>
        <v>798.49</v>
      </c>
      <c r="CZ692">
        <f>AF692</f>
        <v>111.99</v>
      </c>
      <c r="DA692">
        <f>AJ692</f>
        <v>7.13</v>
      </c>
      <c r="DB692">
        <f>ROUND((ROUND(AT692*CZ692,2)*1.25),2)</f>
        <v>2.8</v>
      </c>
      <c r="DC692">
        <f>ROUND((ROUND(AT692*AG692,2)*1.25),2)</f>
        <v>0.34</v>
      </c>
    </row>
    <row r="693" spans="1:107" x14ac:dyDescent="0.2">
      <c r="A693">
        <f>ROW(Source!A336)</f>
        <v>336</v>
      </c>
      <c r="B693">
        <v>16630606</v>
      </c>
      <c r="C693">
        <v>16632679</v>
      </c>
      <c r="D693">
        <v>15249073</v>
      </c>
      <c r="E693">
        <v>1</v>
      </c>
      <c r="F693">
        <v>1</v>
      </c>
      <c r="G693">
        <v>1</v>
      </c>
      <c r="H693">
        <v>2</v>
      </c>
      <c r="I693" t="s">
        <v>1157</v>
      </c>
      <c r="J693" t="s">
        <v>1158</v>
      </c>
      <c r="K693" t="s">
        <v>1159</v>
      </c>
      <c r="L693">
        <v>1368</v>
      </c>
      <c r="N693">
        <v>1011</v>
      </c>
      <c r="O693" t="s">
        <v>1154</v>
      </c>
      <c r="P693" t="s">
        <v>1154</v>
      </c>
      <c r="Q693">
        <v>1</v>
      </c>
      <c r="W693">
        <v>0</v>
      </c>
      <c r="X693">
        <v>1372534845</v>
      </c>
      <c r="Y693">
        <v>2.5000000000000001E-2</v>
      </c>
      <c r="AA693">
        <v>0</v>
      </c>
      <c r="AB693">
        <v>468.51</v>
      </c>
      <c r="AC693">
        <v>11.6</v>
      </c>
      <c r="AD693">
        <v>0</v>
      </c>
      <c r="AE693">
        <v>0</v>
      </c>
      <c r="AF693">
        <v>65.709999999999994</v>
      </c>
      <c r="AG693">
        <v>11.6</v>
      </c>
      <c r="AH693">
        <v>0</v>
      </c>
      <c r="AI693">
        <v>1</v>
      </c>
      <c r="AJ693">
        <v>7.13</v>
      </c>
      <c r="AK693">
        <v>1</v>
      </c>
      <c r="AL693">
        <v>1</v>
      </c>
      <c r="AN693">
        <v>0</v>
      </c>
      <c r="AO693">
        <v>1</v>
      </c>
      <c r="AP693">
        <v>1</v>
      </c>
      <c r="AQ693">
        <v>0</v>
      </c>
      <c r="AR693">
        <v>0</v>
      </c>
      <c r="AS693" t="s">
        <v>6</v>
      </c>
      <c r="AT693">
        <v>0.02</v>
      </c>
      <c r="AU693" t="s">
        <v>81</v>
      </c>
      <c r="AV693">
        <v>0</v>
      </c>
      <c r="AW693">
        <v>2</v>
      </c>
      <c r="AX693">
        <v>16632696</v>
      </c>
      <c r="AY693">
        <v>1</v>
      </c>
      <c r="AZ693">
        <v>0</v>
      </c>
      <c r="BA693">
        <v>687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Y693*Source!I336</f>
        <v>2.4250000000000001E-3</v>
      </c>
      <c r="CY693">
        <f>AB693</f>
        <v>468.51</v>
      </c>
      <c r="CZ693">
        <f>AF693</f>
        <v>65.709999999999994</v>
      </c>
      <c r="DA693">
        <f>AJ693</f>
        <v>7.13</v>
      </c>
      <c r="DB693">
        <f>ROUND((ROUND(AT693*CZ693,2)*1.25),2)</f>
        <v>1.64</v>
      </c>
      <c r="DC693">
        <f>ROUND((ROUND(AT693*AG693,2)*1.25),2)</f>
        <v>0.28999999999999998</v>
      </c>
    </row>
    <row r="694" spans="1:107" x14ac:dyDescent="0.2">
      <c r="A694">
        <f>ROW(Source!A336)</f>
        <v>336</v>
      </c>
      <c r="B694">
        <v>16630606</v>
      </c>
      <c r="C694">
        <v>16632679</v>
      </c>
      <c r="D694">
        <v>15167286</v>
      </c>
      <c r="E694">
        <v>1</v>
      </c>
      <c r="F694">
        <v>1</v>
      </c>
      <c r="G694">
        <v>1</v>
      </c>
      <c r="H694">
        <v>3</v>
      </c>
      <c r="I694" t="s">
        <v>1265</v>
      </c>
      <c r="J694" t="s">
        <v>1266</v>
      </c>
      <c r="K694" t="s">
        <v>1267</v>
      </c>
      <c r="L694">
        <v>1339</v>
      </c>
      <c r="N694">
        <v>1007</v>
      </c>
      <c r="O694" t="s">
        <v>203</v>
      </c>
      <c r="P694" t="s">
        <v>203</v>
      </c>
      <c r="Q694">
        <v>1</v>
      </c>
      <c r="W694">
        <v>0</v>
      </c>
      <c r="X694">
        <v>-1660354250</v>
      </c>
      <c r="Y694">
        <v>1.57</v>
      </c>
      <c r="AA694">
        <v>17.399999999999999</v>
      </c>
      <c r="AB694">
        <v>0</v>
      </c>
      <c r="AC694">
        <v>0</v>
      </c>
      <c r="AD694">
        <v>0</v>
      </c>
      <c r="AE694">
        <v>2.44</v>
      </c>
      <c r="AF694">
        <v>0</v>
      </c>
      <c r="AG694">
        <v>0</v>
      </c>
      <c r="AH694">
        <v>0</v>
      </c>
      <c r="AI694">
        <v>7.13</v>
      </c>
      <c r="AJ694">
        <v>1</v>
      </c>
      <c r="AK694">
        <v>1</v>
      </c>
      <c r="AL694">
        <v>1</v>
      </c>
      <c r="AN694">
        <v>0</v>
      </c>
      <c r="AO694">
        <v>1</v>
      </c>
      <c r="AP694">
        <v>0</v>
      </c>
      <c r="AQ694">
        <v>0</v>
      </c>
      <c r="AR694">
        <v>0</v>
      </c>
      <c r="AS694" t="s">
        <v>6</v>
      </c>
      <c r="AT694">
        <v>1.57</v>
      </c>
      <c r="AU694" t="s">
        <v>6</v>
      </c>
      <c r="AV694">
        <v>0</v>
      </c>
      <c r="AW694">
        <v>2</v>
      </c>
      <c r="AX694">
        <v>16632697</v>
      </c>
      <c r="AY694">
        <v>1</v>
      </c>
      <c r="AZ694">
        <v>0</v>
      </c>
      <c r="BA694">
        <v>688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Y694*Source!I336</f>
        <v>0.15229000000000001</v>
      </c>
      <c r="CY694">
        <f t="shared" ref="CY694:CY700" si="120">AA694</f>
        <v>17.399999999999999</v>
      </c>
      <c r="CZ694">
        <f t="shared" ref="CZ694:CZ700" si="121">AE694</f>
        <v>2.44</v>
      </c>
      <c r="DA694">
        <f t="shared" ref="DA694:DA700" si="122">AI694</f>
        <v>7.13</v>
      </c>
      <c r="DB694">
        <f t="shared" ref="DB694:DB700" si="123">ROUND(ROUND(AT694*CZ694,2),2)</f>
        <v>3.83</v>
      </c>
      <c r="DC694">
        <f t="shared" ref="DC694:DC700" si="124">ROUND(ROUND(AT694*AG694,2),2)</f>
        <v>0</v>
      </c>
    </row>
    <row r="695" spans="1:107" x14ac:dyDescent="0.2">
      <c r="A695">
        <f>ROW(Source!A336)</f>
        <v>336</v>
      </c>
      <c r="B695">
        <v>16630606</v>
      </c>
      <c r="C695">
        <v>16632679</v>
      </c>
      <c r="D695">
        <v>15169924</v>
      </c>
      <c r="E695">
        <v>1</v>
      </c>
      <c r="F695">
        <v>1</v>
      </c>
      <c r="G695">
        <v>1</v>
      </c>
      <c r="H695">
        <v>3</v>
      </c>
      <c r="I695" t="s">
        <v>1602</v>
      </c>
      <c r="J695" t="s">
        <v>1603</v>
      </c>
      <c r="K695" t="s">
        <v>1604</v>
      </c>
      <c r="L695">
        <v>1348</v>
      </c>
      <c r="N695">
        <v>1009</v>
      </c>
      <c r="O695" t="s">
        <v>98</v>
      </c>
      <c r="P695" t="s">
        <v>98</v>
      </c>
      <c r="Q695">
        <v>1000</v>
      </c>
      <c r="W695">
        <v>0</v>
      </c>
      <c r="X695">
        <v>-405065451</v>
      </c>
      <c r="Y695">
        <v>2.66E-3</v>
      </c>
      <c r="AA695">
        <v>105737.9</v>
      </c>
      <c r="AB695">
        <v>0</v>
      </c>
      <c r="AC695">
        <v>0</v>
      </c>
      <c r="AD695">
        <v>0</v>
      </c>
      <c r="AE695">
        <v>14830</v>
      </c>
      <c r="AF695">
        <v>0</v>
      </c>
      <c r="AG695">
        <v>0</v>
      </c>
      <c r="AH695">
        <v>0</v>
      </c>
      <c r="AI695">
        <v>7.13</v>
      </c>
      <c r="AJ695">
        <v>1</v>
      </c>
      <c r="AK695">
        <v>1</v>
      </c>
      <c r="AL695">
        <v>1</v>
      </c>
      <c r="AN695">
        <v>0</v>
      </c>
      <c r="AO695">
        <v>1</v>
      </c>
      <c r="AP695">
        <v>0</v>
      </c>
      <c r="AQ695">
        <v>0</v>
      </c>
      <c r="AR695">
        <v>0</v>
      </c>
      <c r="AS695" t="s">
        <v>6</v>
      </c>
      <c r="AT695">
        <v>2.66E-3</v>
      </c>
      <c r="AU695" t="s">
        <v>6</v>
      </c>
      <c r="AV695">
        <v>0</v>
      </c>
      <c r="AW695">
        <v>2</v>
      </c>
      <c r="AX695">
        <v>16632698</v>
      </c>
      <c r="AY695">
        <v>1</v>
      </c>
      <c r="AZ695">
        <v>0</v>
      </c>
      <c r="BA695">
        <v>689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Y695*Source!I336</f>
        <v>2.5802000000000003E-4</v>
      </c>
      <c r="CY695">
        <f t="shared" si="120"/>
        <v>105737.9</v>
      </c>
      <c r="CZ695">
        <f t="shared" si="121"/>
        <v>14830</v>
      </c>
      <c r="DA695">
        <f t="shared" si="122"/>
        <v>7.13</v>
      </c>
      <c r="DB695">
        <f t="shared" si="123"/>
        <v>39.450000000000003</v>
      </c>
      <c r="DC695">
        <f t="shared" si="124"/>
        <v>0</v>
      </c>
    </row>
    <row r="696" spans="1:107" x14ac:dyDescent="0.2">
      <c r="A696">
        <f>ROW(Source!A336)</f>
        <v>336</v>
      </c>
      <c r="B696">
        <v>16630606</v>
      </c>
      <c r="C696">
        <v>16632679</v>
      </c>
      <c r="D696">
        <v>15170781</v>
      </c>
      <c r="E696">
        <v>1</v>
      </c>
      <c r="F696">
        <v>1</v>
      </c>
      <c r="G696">
        <v>1</v>
      </c>
      <c r="H696">
        <v>3</v>
      </c>
      <c r="I696" t="s">
        <v>1605</v>
      </c>
      <c r="J696" t="s">
        <v>1606</v>
      </c>
      <c r="K696" t="s">
        <v>1607</v>
      </c>
      <c r="L696">
        <v>1346</v>
      </c>
      <c r="N696">
        <v>1009</v>
      </c>
      <c r="O696" t="s">
        <v>102</v>
      </c>
      <c r="P696" t="s">
        <v>102</v>
      </c>
      <c r="Q696">
        <v>1</v>
      </c>
      <c r="W696">
        <v>0</v>
      </c>
      <c r="X696">
        <v>1537401615</v>
      </c>
      <c r="Y696">
        <v>4</v>
      </c>
      <c r="AA696">
        <v>174.04</v>
      </c>
      <c r="AB696">
        <v>0</v>
      </c>
      <c r="AC696">
        <v>0</v>
      </c>
      <c r="AD696">
        <v>0</v>
      </c>
      <c r="AE696">
        <v>24.41</v>
      </c>
      <c r="AF696">
        <v>0</v>
      </c>
      <c r="AG696">
        <v>0</v>
      </c>
      <c r="AH696">
        <v>0</v>
      </c>
      <c r="AI696">
        <v>7.13</v>
      </c>
      <c r="AJ696">
        <v>1</v>
      </c>
      <c r="AK696">
        <v>1</v>
      </c>
      <c r="AL696">
        <v>1</v>
      </c>
      <c r="AN696">
        <v>0</v>
      </c>
      <c r="AO696">
        <v>1</v>
      </c>
      <c r="AP696">
        <v>0</v>
      </c>
      <c r="AQ696">
        <v>0</v>
      </c>
      <c r="AR696">
        <v>0</v>
      </c>
      <c r="AS696" t="s">
        <v>6</v>
      </c>
      <c r="AT696">
        <v>4</v>
      </c>
      <c r="AU696" t="s">
        <v>6</v>
      </c>
      <c r="AV696">
        <v>0</v>
      </c>
      <c r="AW696">
        <v>2</v>
      </c>
      <c r="AX696">
        <v>16632699</v>
      </c>
      <c r="AY696">
        <v>1</v>
      </c>
      <c r="AZ696">
        <v>0</v>
      </c>
      <c r="BA696">
        <v>690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Y696*Source!I336</f>
        <v>0.38800000000000001</v>
      </c>
      <c r="CY696">
        <f t="shared" si="120"/>
        <v>174.04</v>
      </c>
      <c r="CZ696">
        <f t="shared" si="121"/>
        <v>24.41</v>
      </c>
      <c r="DA696">
        <f t="shared" si="122"/>
        <v>7.13</v>
      </c>
      <c r="DB696">
        <f t="shared" si="123"/>
        <v>97.64</v>
      </c>
      <c r="DC696">
        <f t="shared" si="124"/>
        <v>0</v>
      </c>
    </row>
    <row r="697" spans="1:107" x14ac:dyDescent="0.2">
      <c r="A697">
        <f>ROW(Source!A336)</f>
        <v>336</v>
      </c>
      <c r="B697">
        <v>16630606</v>
      </c>
      <c r="C697">
        <v>16632679</v>
      </c>
      <c r="D697">
        <v>15232881</v>
      </c>
      <c r="E697">
        <v>1</v>
      </c>
      <c r="F697">
        <v>1</v>
      </c>
      <c r="G697">
        <v>1</v>
      </c>
      <c r="H697">
        <v>3</v>
      </c>
      <c r="I697" t="s">
        <v>923</v>
      </c>
      <c r="J697" t="s">
        <v>925</v>
      </c>
      <c r="K697" t="s">
        <v>924</v>
      </c>
      <c r="L697">
        <v>1348</v>
      </c>
      <c r="N697">
        <v>1009</v>
      </c>
      <c r="O697" t="s">
        <v>98</v>
      </c>
      <c r="P697" t="s">
        <v>98</v>
      </c>
      <c r="Q697">
        <v>1000</v>
      </c>
      <c r="W697">
        <v>0</v>
      </c>
      <c r="X697">
        <v>351021885</v>
      </c>
      <c r="Y697">
        <v>6.1727999999999998E-2</v>
      </c>
      <c r="AA697">
        <v>267582.84000000003</v>
      </c>
      <c r="AB697">
        <v>0</v>
      </c>
      <c r="AC697">
        <v>0</v>
      </c>
      <c r="AD697">
        <v>0</v>
      </c>
      <c r="AE697">
        <v>37529.15</v>
      </c>
      <c r="AF697">
        <v>0</v>
      </c>
      <c r="AG697">
        <v>0</v>
      </c>
      <c r="AH697">
        <v>0</v>
      </c>
      <c r="AI697">
        <v>7.13</v>
      </c>
      <c r="AJ697">
        <v>1</v>
      </c>
      <c r="AK697">
        <v>1</v>
      </c>
      <c r="AL697">
        <v>1</v>
      </c>
      <c r="AN697">
        <v>0</v>
      </c>
      <c r="AO697">
        <v>0</v>
      </c>
      <c r="AP697">
        <v>0</v>
      </c>
      <c r="AQ697">
        <v>0</v>
      </c>
      <c r="AR697">
        <v>0</v>
      </c>
      <c r="AS697" t="s">
        <v>6</v>
      </c>
      <c r="AT697">
        <v>6.1727999999999998E-2</v>
      </c>
      <c r="AU697" t="s">
        <v>6</v>
      </c>
      <c r="AV697">
        <v>0</v>
      </c>
      <c r="AW697">
        <v>1</v>
      </c>
      <c r="AX697">
        <v>-1</v>
      </c>
      <c r="AY697">
        <v>0</v>
      </c>
      <c r="AZ697">
        <v>0</v>
      </c>
      <c r="BA697" t="s">
        <v>6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Y697*Source!I336</f>
        <v>5.9876160000000003E-3</v>
      </c>
      <c r="CY697">
        <f t="shared" si="120"/>
        <v>267582.84000000003</v>
      </c>
      <c r="CZ697">
        <f t="shared" si="121"/>
        <v>37529.15</v>
      </c>
      <c r="DA697">
        <f t="shared" si="122"/>
        <v>7.13</v>
      </c>
      <c r="DB697">
        <f t="shared" si="123"/>
        <v>2316.6</v>
      </c>
      <c r="DC697">
        <f t="shared" si="124"/>
        <v>0</v>
      </c>
    </row>
    <row r="698" spans="1:107" x14ac:dyDescent="0.2">
      <c r="A698">
        <f>ROW(Source!A336)</f>
        <v>336</v>
      </c>
      <c r="B698">
        <v>16630606</v>
      </c>
      <c r="C698">
        <v>16632679</v>
      </c>
      <c r="D698">
        <v>15233506</v>
      </c>
      <c r="E698">
        <v>1</v>
      </c>
      <c r="F698">
        <v>1</v>
      </c>
      <c r="G698">
        <v>1</v>
      </c>
      <c r="H698">
        <v>3</v>
      </c>
      <c r="I698" t="s">
        <v>927</v>
      </c>
      <c r="J698" t="s">
        <v>929</v>
      </c>
      <c r="K698" t="s">
        <v>928</v>
      </c>
      <c r="L698">
        <v>1301</v>
      </c>
      <c r="N698">
        <v>1003</v>
      </c>
      <c r="O698" t="s">
        <v>150</v>
      </c>
      <c r="P698" t="s">
        <v>150</v>
      </c>
      <c r="Q698">
        <v>1</v>
      </c>
      <c r="W698">
        <v>0</v>
      </c>
      <c r="X698">
        <v>1231130266</v>
      </c>
      <c r="Y698">
        <v>100</v>
      </c>
      <c r="AA698">
        <v>310.3</v>
      </c>
      <c r="AB698">
        <v>0</v>
      </c>
      <c r="AC698">
        <v>0</v>
      </c>
      <c r="AD698">
        <v>0</v>
      </c>
      <c r="AE698">
        <v>43.52</v>
      </c>
      <c r="AF698">
        <v>0</v>
      </c>
      <c r="AG698">
        <v>0</v>
      </c>
      <c r="AH698">
        <v>0</v>
      </c>
      <c r="AI698">
        <v>7.13</v>
      </c>
      <c r="AJ698">
        <v>1</v>
      </c>
      <c r="AK698">
        <v>1</v>
      </c>
      <c r="AL698">
        <v>1</v>
      </c>
      <c r="AN698">
        <v>0</v>
      </c>
      <c r="AO698">
        <v>0</v>
      </c>
      <c r="AP698">
        <v>0</v>
      </c>
      <c r="AQ698">
        <v>0</v>
      </c>
      <c r="AR698">
        <v>0</v>
      </c>
      <c r="AS698" t="s">
        <v>6</v>
      </c>
      <c r="AT698">
        <v>100</v>
      </c>
      <c r="AU698" t="s">
        <v>6</v>
      </c>
      <c r="AV698">
        <v>0</v>
      </c>
      <c r="AW698">
        <v>1</v>
      </c>
      <c r="AX698">
        <v>-1</v>
      </c>
      <c r="AY698">
        <v>0</v>
      </c>
      <c r="AZ698">
        <v>0</v>
      </c>
      <c r="BA698" t="s">
        <v>6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Y698*Source!I336</f>
        <v>9.7000000000000011</v>
      </c>
      <c r="CY698">
        <f t="shared" si="120"/>
        <v>310.3</v>
      </c>
      <c r="CZ698">
        <f t="shared" si="121"/>
        <v>43.52</v>
      </c>
      <c r="DA698">
        <f t="shared" si="122"/>
        <v>7.13</v>
      </c>
      <c r="DB698">
        <f t="shared" si="123"/>
        <v>4352</v>
      </c>
      <c r="DC698">
        <f t="shared" si="124"/>
        <v>0</v>
      </c>
    </row>
    <row r="699" spans="1:107" x14ac:dyDescent="0.2">
      <c r="A699">
        <f>ROW(Source!A336)</f>
        <v>336</v>
      </c>
      <c r="B699">
        <v>16630606</v>
      </c>
      <c r="C699">
        <v>16632679</v>
      </c>
      <c r="D699">
        <v>15163153</v>
      </c>
      <c r="E699">
        <v>17</v>
      </c>
      <c r="F699">
        <v>1</v>
      </c>
      <c r="G699">
        <v>1</v>
      </c>
      <c r="H699">
        <v>3</v>
      </c>
      <c r="I699" t="s">
        <v>916</v>
      </c>
      <c r="J699" t="s">
        <v>6</v>
      </c>
      <c r="K699" t="s">
        <v>935</v>
      </c>
      <c r="L699">
        <v>1301</v>
      </c>
      <c r="N699">
        <v>1003</v>
      </c>
      <c r="O699" t="s">
        <v>150</v>
      </c>
      <c r="P699" t="s">
        <v>150</v>
      </c>
      <c r="Q699">
        <v>1</v>
      </c>
      <c r="W699">
        <v>0</v>
      </c>
      <c r="X699">
        <v>2080577837</v>
      </c>
      <c r="Y699">
        <v>100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7.13</v>
      </c>
      <c r="AJ699">
        <v>1</v>
      </c>
      <c r="AK699">
        <v>1</v>
      </c>
      <c r="AL699">
        <v>1</v>
      </c>
      <c r="AN699">
        <v>0</v>
      </c>
      <c r="AO699">
        <v>0</v>
      </c>
      <c r="AP699">
        <v>0</v>
      </c>
      <c r="AQ699">
        <v>0</v>
      </c>
      <c r="AR699">
        <v>0</v>
      </c>
      <c r="AS699" t="s">
        <v>6</v>
      </c>
      <c r="AT699">
        <v>100</v>
      </c>
      <c r="AU699" t="s">
        <v>6</v>
      </c>
      <c r="AV699">
        <v>0</v>
      </c>
      <c r="AW699">
        <v>2</v>
      </c>
      <c r="AX699">
        <v>16632702</v>
      </c>
      <c r="AY699">
        <v>1</v>
      </c>
      <c r="AZ699">
        <v>6144</v>
      </c>
      <c r="BA699">
        <v>693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Y699*Source!I336</f>
        <v>9.7000000000000011</v>
      </c>
      <c r="CY699">
        <f t="shared" si="120"/>
        <v>0</v>
      </c>
      <c r="CZ699">
        <f t="shared" si="121"/>
        <v>0</v>
      </c>
      <c r="DA699">
        <f t="shared" si="122"/>
        <v>7.13</v>
      </c>
      <c r="DB699">
        <f t="shared" si="123"/>
        <v>0</v>
      </c>
      <c r="DC699">
        <f t="shared" si="124"/>
        <v>0</v>
      </c>
    </row>
    <row r="700" spans="1:107" x14ac:dyDescent="0.2">
      <c r="A700">
        <f>ROW(Source!A336)</f>
        <v>336</v>
      </c>
      <c r="B700">
        <v>16630606</v>
      </c>
      <c r="C700">
        <v>16632679</v>
      </c>
      <c r="D700">
        <v>15235254</v>
      </c>
      <c r="E700">
        <v>1</v>
      </c>
      <c r="F700">
        <v>1</v>
      </c>
      <c r="G700">
        <v>1</v>
      </c>
      <c r="H700">
        <v>3</v>
      </c>
      <c r="I700" t="s">
        <v>931</v>
      </c>
      <c r="J700" t="s">
        <v>933</v>
      </c>
      <c r="K700" t="s">
        <v>932</v>
      </c>
      <c r="L700">
        <v>1354</v>
      </c>
      <c r="N700">
        <v>1010</v>
      </c>
      <c r="O700" t="s">
        <v>132</v>
      </c>
      <c r="P700" t="s">
        <v>132</v>
      </c>
      <c r="Q700">
        <v>1</v>
      </c>
      <c r="W700">
        <v>0</v>
      </c>
      <c r="X700">
        <v>-1311761836</v>
      </c>
      <c r="Y700">
        <v>30.927835000000002</v>
      </c>
      <c r="AA700">
        <v>108.23</v>
      </c>
      <c r="AB700">
        <v>0</v>
      </c>
      <c r="AC700">
        <v>0</v>
      </c>
      <c r="AD700">
        <v>0</v>
      </c>
      <c r="AE700">
        <v>15.18</v>
      </c>
      <c r="AF700">
        <v>0</v>
      </c>
      <c r="AG700">
        <v>0</v>
      </c>
      <c r="AH700">
        <v>0</v>
      </c>
      <c r="AI700">
        <v>7.13</v>
      </c>
      <c r="AJ700">
        <v>1</v>
      </c>
      <c r="AK700">
        <v>1</v>
      </c>
      <c r="AL700">
        <v>1</v>
      </c>
      <c r="AN700">
        <v>0</v>
      </c>
      <c r="AO700">
        <v>0</v>
      </c>
      <c r="AP700">
        <v>0</v>
      </c>
      <c r="AQ700">
        <v>0</v>
      </c>
      <c r="AR700">
        <v>0</v>
      </c>
      <c r="AS700" t="s">
        <v>6</v>
      </c>
      <c r="AT700">
        <v>30.927835000000002</v>
      </c>
      <c r="AU700" t="s">
        <v>6</v>
      </c>
      <c r="AV700">
        <v>0</v>
      </c>
      <c r="AW700">
        <v>1</v>
      </c>
      <c r="AX700">
        <v>-1</v>
      </c>
      <c r="AY700">
        <v>0</v>
      </c>
      <c r="AZ700">
        <v>0</v>
      </c>
      <c r="BA700" t="s">
        <v>6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Y700*Source!I336</f>
        <v>2.9999999950000005</v>
      </c>
      <c r="CY700">
        <f t="shared" si="120"/>
        <v>108.23</v>
      </c>
      <c r="CZ700">
        <f t="shared" si="121"/>
        <v>15.18</v>
      </c>
      <c r="DA700">
        <f t="shared" si="122"/>
        <v>7.13</v>
      </c>
      <c r="DB700">
        <f t="shared" si="123"/>
        <v>469.48</v>
      </c>
      <c r="DC700">
        <f t="shared" si="124"/>
        <v>0</v>
      </c>
    </row>
    <row r="701" spans="1:107" x14ac:dyDescent="0.2">
      <c r="A701">
        <f>ROW(Source!A341)</f>
        <v>341</v>
      </c>
      <c r="B701">
        <v>16630606</v>
      </c>
      <c r="C701">
        <v>16632707</v>
      </c>
      <c r="D701">
        <v>15436556</v>
      </c>
      <c r="E701">
        <v>1</v>
      </c>
      <c r="F701">
        <v>1</v>
      </c>
      <c r="G701">
        <v>1</v>
      </c>
      <c r="H701">
        <v>1</v>
      </c>
      <c r="I701" t="s">
        <v>1354</v>
      </c>
      <c r="J701" t="s">
        <v>6</v>
      </c>
      <c r="K701" t="s">
        <v>1355</v>
      </c>
      <c r="L701">
        <v>1191</v>
      </c>
      <c r="N701">
        <v>1013</v>
      </c>
      <c r="O701" t="s">
        <v>1148</v>
      </c>
      <c r="P701" t="s">
        <v>1148</v>
      </c>
      <c r="Q701">
        <v>1</v>
      </c>
      <c r="W701">
        <v>0</v>
      </c>
      <c r="X701">
        <v>1069510174</v>
      </c>
      <c r="Y701">
        <v>12.5235</v>
      </c>
      <c r="AA701">
        <v>0</v>
      </c>
      <c r="AB701">
        <v>0</v>
      </c>
      <c r="AC701">
        <v>0</v>
      </c>
      <c r="AD701">
        <v>68.59</v>
      </c>
      <c r="AE701">
        <v>0</v>
      </c>
      <c r="AF701">
        <v>0</v>
      </c>
      <c r="AG701">
        <v>0</v>
      </c>
      <c r="AH701">
        <v>9.6199999999999992</v>
      </c>
      <c r="AI701">
        <v>1</v>
      </c>
      <c r="AJ701">
        <v>1</v>
      </c>
      <c r="AK701">
        <v>1</v>
      </c>
      <c r="AL701">
        <v>7.13</v>
      </c>
      <c r="AN701">
        <v>0</v>
      </c>
      <c r="AO701">
        <v>1</v>
      </c>
      <c r="AP701">
        <v>1</v>
      </c>
      <c r="AQ701">
        <v>0</v>
      </c>
      <c r="AR701">
        <v>0</v>
      </c>
      <c r="AS701" t="s">
        <v>6</v>
      </c>
      <c r="AT701">
        <v>10.89</v>
      </c>
      <c r="AU701" t="s">
        <v>82</v>
      </c>
      <c r="AV701">
        <v>1</v>
      </c>
      <c r="AW701">
        <v>2</v>
      </c>
      <c r="AX701">
        <v>16632720</v>
      </c>
      <c r="AY701">
        <v>1</v>
      </c>
      <c r="AZ701">
        <v>0</v>
      </c>
      <c r="BA701">
        <v>694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Y701*Source!I341</f>
        <v>2.5047000000000001</v>
      </c>
      <c r="CY701">
        <f>AD701</f>
        <v>68.59</v>
      </c>
      <c r="CZ701">
        <f>AH701</f>
        <v>9.6199999999999992</v>
      </c>
      <c r="DA701">
        <f>AL701</f>
        <v>7.13</v>
      </c>
      <c r="DB701">
        <f>ROUND((ROUND(AT701*CZ701,2)*1.15),2)</f>
        <v>120.47</v>
      </c>
      <c r="DC701">
        <f>ROUND((ROUND(AT701*AG701,2)*1.15),2)</f>
        <v>0</v>
      </c>
    </row>
    <row r="702" spans="1:107" x14ac:dyDescent="0.2">
      <c r="A702">
        <f>ROW(Source!A341)</f>
        <v>341</v>
      </c>
      <c r="B702">
        <v>16630606</v>
      </c>
      <c r="C702">
        <v>16632707</v>
      </c>
      <c r="D702">
        <v>15430395</v>
      </c>
      <c r="E702">
        <v>1</v>
      </c>
      <c r="F702">
        <v>1</v>
      </c>
      <c r="G702">
        <v>1</v>
      </c>
      <c r="H702">
        <v>1</v>
      </c>
      <c r="I702" t="s">
        <v>1149</v>
      </c>
      <c r="J702" t="s">
        <v>6</v>
      </c>
      <c r="K702" t="s">
        <v>1150</v>
      </c>
      <c r="L702">
        <v>1191</v>
      </c>
      <c r="N702">
        <v>1013</v>
      </c>
      <c r="O702" t="s">
        <v>1148</v>
      </c>
      <c r="P702" t="s">
        <v>1148</v>
      </c>
      <c r="Q702">
        <v>1</v>
      </c>
      <c r="W702">
        <v>0</v>
      </c>
      <c r="X702">
        <v>-1417349443</v>
      </c>
      <c r="Y702">
        <v>0.85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1</v>
      </c>
      <c r="AJ702">
        <v>1</v>
      </c>
      <c r="AK702">
        <v>7.13</v>
      </c>
      <c r="AL702">
        <v>1</v>
      </c>
      <c r="AN702">
        <v>0</v>
      </c>
      <c r="AO702">
        <v>1</v>
      </c>
      <c r="AP702">
        <v>0</v>
      </c>
      <c r="AQ702">
        <v>0</v>
      </c>
      <c r="AR702">
        <v>0</v>
      </c>
      <c r="AS702" t="s">
        <v>6</v>
      </c>
      <c r="AT702">
        <v>0.85</v>
      </c>
      <c r="AU702" t="s">
        <v>6</v>
      </c>
      <c r="AV702">
        <v>2</v>
      </c>
      <c r="AW702">
        <v>2</v>
      </c>
      <c r="AX702">
        <v>16632721</v>
      </c>
      <c r="AY702">
        <v>1</v>
      </c>
      <c r="AZ702">
        <v>2048</v>
      </c>
      <c r="BA702">
        <v>695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Y702*Source!I341</f>
        <v>0.17</v>
      </c>
      <c r="CY702">
        <f>AD702</f>
        <v>0</v>
      </c>
      <c r="CZ702">
        <f>AH702</f>
        <v>0</v>
      </c>
      <c r="DA702">
        <f>AL702</f>
        <v>1</v>
      </c>
      <c r="DB702">
        <f>ROUND(ROUND(AT702*CZ702,2),2)</f>
        <v>0</v>
      </c>
      <c r="DC702">
        <f>ROUND(ROUND(AT702*AG702,2),2)</f>
        <v>0</v>
      </c>
    </row>
    <row r="703" spans="1:107" x14ac:dyDescent="0.2">
      <c r="A703">
        <f>ROW(Source!A341)</f>
        <v>341</v>
      </c>
      <c r="B703">
        <v>16630606</v>
      </c>
      <c r="C703">
        <v>16632707</v>
      </c>
      <c r="D703">
        <v>15247974</v>
      </c>
      <c r="E703">
        <v>1</v>
      </c>
      <c r="F703">
        <v>1</v>
      </c>
      <c r="G703">
        <v>1</v>
      </c>
      <c r="H703">
        <v>2</v>
      </c>
      <c r="I703" t="s">
        <v>1151</v>
      </c>
      <c r="J703" t="s">
        <v>1152</v>
      </c>
      <c r="K703" t="s">
        <v>1153</v>
      </c>
      <c r="L703">
        <v>1368</v>
      </c>
      <c r="N703">
        <v>1011</v>
      </c>
      <c r="O703" t="s">
        <v>1154</v>
      </c>
      <c r="P703" t="s">
        <v>1154</v>
      </c>
      <c r="Q703">
        <v>1</v>
      </c>
      <c r="W703">
        <v>0</v>
      </c>
      <c r="X703">
        <v>1188625873</v>
      </c>
      <c r="Y703">
        <v>0.28750000000000003</v>
      </c>
      <c r="AA703">
        <v>0</v>
      </c>
      <c r="AB703">
        <v>222.88</v>
      </c>
      <c r="AC703">
        <v>13.5</v>
      </c>
      <c r="AD703">
        <v>0</v>
      </c>
      <c r="AE703">
        <v>0</v>
      </c>
      <c r="AF703">
        <v>31.26</v>
      </c>
      <c r="AG703">
        <v>13.5</v>
      </c>
      <c r="AH703">
        <v>0</v>
      </c>
      <c r="AI703">
        <v>1</v>
      </c>
      <c r="AJ703">
        <v>7.13</v>
      </c>
      <c r="AK703">
        <v>1</v>
      </c>
      <c r="AL703">
        <v>1</v>
      </c>
      <c r="AN703">
        <v>0</v>
      </c>
      <c r="AO703">
        <v>1</v>
      </c>
      <c r="AP703">
        <v>1</v>
      </c>
      <c r="AQ703">
        <v>0</v>
      </c>
      <c r="AR703">
        <v>0</v>
      </c>
      <c r="AS703" t="s">
        <v>6</v>
      </c>
      <c r="AT703">
        <v>0.23</v>
      </c>
      <c r="AU703" t="s">
        <v>81</v>
      </c>
      <c r="AV703">
        <v>0</v>
      </c>
      <c r="AW703">
        <v>2</v>
      </c>
      <c r="AX703">
        <v>16632722</v>
      </c>
      <c r="AY703">
        <v>1</v>
      </c>
      <c r="AZ703">
        <v>0</v>
      </c>
      <c r="BA703">
        <v>696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Y703*Source!I341</f>
        <v>5.7500000000000009E-2</v>
      </c>
      <c r="CY703">
        <f>AB703</f>
        <v>222.88</v>
      </c>
      <c r="CZ703">
        <f>AF703</f>
        <v>31.26</v>
      </c>
      <c r="DA703">
        <f>AJ703</f>
        <v>7.13</v>
      </c>
      <c r="DB703">
        <f>ROUND((ROUND(AT703*CZ703,2)*1.25),2)</f>
        <v>8.99</v>
      </c>
      <c r="DC703">
        <f>ROUND((ROUND(AT703*AG703,2)*1.25),2)</f>
        <v>3.89</v>
      </c>
    </row>
    <row r="704" spans="1:107" x14ac:dyDescent="0.2">
      <c r="A704">
        <f>ROW(Source!A341)</f>
        <v>341</v>
      </c>
      <c r="B704">
        <v>16630606</v>
      </c>
      <c r="C704">
        <v>16632707</v>
      </c>
      <c r="D704">
        <v>15249073</v>
      </c>
      <c r="E704">
        <v>1</v>
      </c>
      <c r="F704">
        <v>1</v>
      </c>
      <c r="G704">
        <v>1</v>
      </c>
      <c r="H704">
        <v>2</v>
      </c>
      <c r="I704" t="s">
        <v>1157</v>
      </c>
      <c r="J704" t="s">
        <v>1158</v>
      </c>
      <c r="K704" t="s">
        <v>1159</v>
      </c>
      <c r="L704">
        <v>1368</v>
      </c>
      <c r="N704">
        <v>1011</v>
      </c>
      <c r="O704" t="s">
        <v>1154</v>
      </c>
      <c r="P704" t="s">
        <v>1154</v>
      </c>
      <c r="Q704">
        <v>1</v>
      </c>
      <c r="W704">
        <v>0</v>
      </c>
      <c r="X704">
        <v>1372534845</v>
      </c>
      <c r="Y704">
        <v>0.77500000000000002</v>
      </c>
      <c r="AA704">
        <v>0</v>
      </c>
      <c r="AB704">
        <v>468.51</v>
      </c>
      <c r="AC704">
        <v>11.6</v>
      </c>
      <c r="AD704">
        <v>0</v>
      </c>
      <c r="AE704">
        <v>0</v>
      </c>
      <c r="AF704">
        <v>65.709999999999994</v>
      </c>
      <c r="AG704">
        <v>11.6</v>
      </c>
      <c r="AH704">
        <v>0</v>
      </c>
      <c r="AI704">
        <v>1</v>
      </c>
      <c r="AJ704">
        <v>7.13</v>
      </c>
      <c r="AK704">
        <v>1</v>
      </c>
      <c r="AL704">
        <v>1</v>
      </c>
      <c r="AN704">
        <v>0</v>
      </c>
      <c r="AO704">
        <v>1</v>
      </c>
      <c r="AP704">
        <v>1</v>
      </c>
      <c r="AQ704">
        <v>0</v>
      </c>
      <c r="AR704">
        <v>0</v>
      </c>
      <c r="AS704" t="s">
        <v>6</v>
      </c>
      <c r="AT704">
        <v>0.62</v>
      </c>
      <c r="AU704" t="s">
        <v>81</v>
      </c>
      <c r="AV704">
        <v>0</v>
      </c>
      <c r="AW704">
        <v>2</v>
      </c>
      <c r="AX704">
        <v>16632723</v>
      </c>
      <c r="AY704">
        <v>1</v>
      </c>
      <c r="AZ704">
        <v>0</v>
      </c>
      <c r="BA704">
        <v>697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Y704*Source!I341</f>
        <v>0.15500000000000003</v>
      </c>
      <c r="CY704">
        <f>AB704</f>
        <v>468.51</v>
      </c>
      <c r="CZ704">
        <f>AF704</f>
        <v>65.709999999999994</v>
      </c>
      <c r="DA704">
        <f>AJ704</f>
        <v>7.13</v>
      </c>
      <c r="DB704">
        <f>ROUND((ROUND(AT704*CZ704,2)*1.25),2)</f>
        <v>50.93</v>
      </c>
      <c r="DC704">
        <f>ROUND((ROUND(AT704*AG704,2)*1.25),2)</f>
        <v>8.99</v>
      </c>
    </row>
    <row r="705" spans="1:107" x14ac:dyDescent="0.2">
      <c r="A705">
        <f>ROW(Source!A341)</f>
        <v>341</v>
      </c>
      <c r="B705">
        <v>16630606</v>
      </c>
      <c r="C705">
        <v>16632707</v>
      </c>
      <c r="D705">
        <v>15167955</v>
      </c>
      <c r="E705">
        <v>1</v>
      </c>
      <c r="F705">
        <v>1</v>
      </c>
      <c r="G705">
        <v>1</v>
      </c>
      <c r="H705">
        <v>3</v>
      </c>
      <c r="I705" t="s">
        <v>1596</v>
      </c>
      <c r="J705" t="s">
        <v>1597</v>
      </c>
      <c r="K705" t="s">
        <v>1598</v>
      </c>
      <c r="L705">
        <v>1348</v>
      </c>
      <c r="N705">
        <v>1009</v>
      </c>
      <c r="O705" t="s">
        <v>98</v>
      </c>
      <c r="P705" t="s">
        <v>98</v>
      </c>
      <c r="Q705">
        <v>1000</v>
      </c>
      <c r="W705">
        <v>0</v>
      </c>
      <c r="X705">
        <v>-1699345571</v>
      </c>
      <c r="Y705">
        <v>6.9999999999999999E-4</v>
      </c>
      <c r="AA705">
        <v>214113.9</v>
      </c>
      <c r="AB705">
        <v>0</v>
      </c>
      <c r="AC705">
        <v>0</v>
      </c>
      <c r="AD705">
        <v>0</v>
      </c>
      <c r="AE705">
        <v>30030</v>
      </c>
      <c r="AF705">
        <v>0</v>
      </c>
      <c r="AG705">
        <v>0</v>
      </c>
      <c r="AH705">
        <v>0</v>
      </c>
      <c r="AI705">
        <v>7.13</v>
      </c>
      <c r="AJ705">
        <v>1</v>
      </c>
      <c r="AK705">
        <v>1</v>
      </c>
      <c r="AL705">
        <v>1</v>
      </c>
      <c r="AN705">
        <v>0</v>
      </c>
      <c r="AO705">
        <v>1</v>
      </c>
      <c r="AP705">
        <v>0</v>
      </c>
      <c r="AQ705">
        <v>0</v>
      </c>
      <c r="AR705">
        <v>0</v>
      </c>
      <c r="AS705" t="s">
        <v>6</v>
      </c>
      <c r="AT705">
        <v>6.9999999999999999E-4</v>
      </c>
      <c r="AU705" t="s">
        <v>6</v>
      </c>
      <c r="AV705">
        <v>0</v>
      </c>
      <c r="AW705">
        <v>2</v>
      </c>
      <c r="AX705">
        <v>16632724</v>
      </c>
      <c r="AY705">
        <v>1</v>
      </c>
      <c r="AZ705">
        <v>0</v>
      </c>
      <c r="BA705">
        <v>698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Y705*Source!I341</f>
        <v>1.4000000000000001E-4</v>
      </c>
      <c r="CY705">
        <f t="shared" ref="CY705:CY712" si="125">AA705</f>
        <v>214113.9</v>
      </c>
      <c r="CZ705">
        <f t="shared" ref="CZ705:CZ712" si="126">AE705</f>
        <v>30030</v>
      </c>
      <c r="DA705">
        <f t="shared" ref="DA705:DA712" si="127">AI705</f>
        <v>7.13</v>
      </c>
      <c r="DB705">
        <f t="shared" ref="DB705:DB712" si="128">ROUND(ROUND(AT705*CZ705,2),2)</f>
        <v>21.02</v>
      </c>
      <c r="DC705">
        <f t="shared" ref="DC705:DC712" si="129">ROUND(ROUND(AT705*AG705,2),2)</f>
        <v>0</v>
      </c>
    </row>
    <row r="706" spans="1:107" x14ac:dyDescent="0.2">
      <c r="A706">
        <f>ROW(Source!A341)</f>
        <v>341</v>
      </c>
      <c r="B706">
        <v>16630606</v>
      </c>
      <c r="C706">
        <v>16632707</v>
      </c>
      <c r="D706">
        <v>15167963</v>
      </c>
      <c r="E706">
        <v>1</v>
      </c>
      <c r="F706">
        <v>1</v>
      </c>
      <c r="G706">
        <v>1</v>
      </c>
      <c r="H706">
        <v>3</v>
      </c>
      <c r="I706" t="s">
        <v>1533</v>
      </c>
      <c r="J706" t="s">
        <v>1534</v>
      </c>
      <c r="K706" t="s">
        <v>1535</v>
      </c>
      <c r="L706">
        <v>1346</v>
      </c>
      <c r="N706">
        <v>1009</v>
      </c>
      <c r="O706" t="s">
        <v>102</v>
      </c>
      <c r="P706" t="s">
        <v>102</v>
      </c>
      <c r="Q706">
        <v>1</v>
      </c>
      <c r="W706">
        <v>0</v>
      </c>
      <c r="X706">
        <v>-490687590</v>
      </c>
      <c r="Y706">
        <v>0.6</v>
      </c>
      <c r="AA706">
        <v>265.88</v>
      </c>
      <c r="AB706">
        <v>0</v>
      </c>
      <c r="AC706">
        <v>0</v>
      </c>
      <c r="AD706">
        <v>0</v>
      </c>
      <c r="AE706">
        <v>37.29</v>
      </c>
      <c r="AF706">
        <v>0</v>
      </c>
      <c r="AG706">
        <v>0</v>
      </c>
      <c r="AH706">
        <v>0</v>
      </c>
      <c r="AI706">
        <v>7.13</v>
      </c>
      <c r="AJ706">
        <v>1</v>
      </c>
      <c r="AK706">
        <v>1</v>
      </c>
      <c r="AL706">
        <v>1</v>
      </c>
      <c r="AN706">
        <v>0</v>
      </c>
      <c r="AO706">
        <v>1</v>
      </c>
      <c r="AP706">
        <v>0</v>
      </c>
      <c r="AQ706">
        <v>0</v>
      </c>
      <c r="AR706">
        <v>0</v>
      </c>
      <c r="AS706" t="s">
        <v>6</v>
      </c>
      <c r="AT706">
        <v>0.6</v>
      </c>
      <c r="AU706" t="s">
        <v>6</v>
      </c>
      <c r="AV706">
        <v>0</v>
      </c>
      <c r="AW706">
        <v>2</v>
      </c>
      <c r="AX706">
        <v>16632725</v>
      </c>
      <c r="AY706">
        <v>1</v>
      </c>
      <c r="AZ706">
        <v>0</v>
      </c>
      <c r="BA706">
        <v>699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Y706*Source!I341</f>
        <v>0.12</v>
      </c>
      <c r="CY706">
        <f t="shared" si="125"/>
        <v>265.88</v>
      </c>
      <c r="CZ706">
        <f t="shared" si="126"/>
        <v>37.29</v>
      </c>
      <c r="DA706">
        <f t="shared" si="127"/>
        <v>7.13</v>
      </c>
      <c r="DB706">
        <f t="shared" si="128"/>
        <v>22.37</v>
      </c>
      <c r="DC706">
        <f t="shared" si="129"/>
        <v>0</v>
      </c>
    </row>
    <row r="707" spans="1:107" x14ac:dyDescent="0.2">
      <c r="A707">
        <f>ROW(Source!A341)</f>
        <v>341</v>
      </c>
      <c r="B707">
        <v>16630606</v>
      </c>
      <c r="C707">
        <v>16632707</v>
      </c>
      <c r="D707">
        <v>15168763</v>
      </c>
      <c r="E707">
        <v>1</v>
      </c>
      <c r="F707">
        <v>1</v>
      </c>
      <c r="G707">
        <v>1</v>
      </c>
      <c r="H707">
        <v>3</v>
      </c>
      <c r="I707" t="s">
        <v>1560</v>
      </c>
      <c r="J707" t="s">
        <v>1561</v>
      </c>
      <c r="K707" t="s">
        <v>1562</v>
      </c>
      <c r="L707">
        <v>1348</v>
      </c>
      <c r="N707">
        <v>1009</v>
      </c>
      <c r="O707" t="s">
        <v>98</v>
      </c>
      <c r="P707" t="s">
        <v>98</v>
      </c>
      <c r="Q707">
        <v>1000</v>
      </c>
      <c r="W707">
        <v>0</v>
      </c>
      <c r="X707">
        <v>-1068056325</v>
      </c>
      <c r="Y707">
        <v>3.0000000000000001E-5</v>
      </c>
      <c r="AA707">
        <v>73881.06</v>
      </c>
      <c r="AB707">
        <v>0</v>
      </c>
      <c r="AC707">
        <v>0</v>
      </c>
      <c r="AD707">
        <v>0</v>
      </c>
      <c r="AE707">
        <v>10362</v>
      </c>
      <c r="AF707">
        <v>0</v>
      </c>
      <c r="AG707">
        <v>0</v>
      </c>
      <c r="AH707">
        <v>0</v>
      </c>
      <c r="AI707">
        <v>7.13</v>
      </c>
      <c r="AJ707">
        <v>1</v>
      </c>
      <c r="AK707">
        <v>1</v>
      </c>
      <c r="AL707">
        <v>1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6</v>
      </c>
      <c r="AT707">
        <v>3.0000000000000001E-5</v>
      </c>
      <c r="AU707" t="s">
        <v>6</v>
      </c>
      <c r="AV707">
        <v>0</v>
      </c>
      <c r="AW707">
        <v>2</v>
      </c>
      <c r="AX707">
        <v>16632726</v>
      </c>
      <c r="AY707">
        <v>1</v>
      </c>
      <c r="AZ707">
        <v>0</v>
      </c>
      <c r="BA707">
        <v>700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Y707*Source!I341</f>
        <v>6.0000000000000002E-6</v>
      </c>
      <c r="CY707">
        <f t="shared" si="125"/>
        <v>73881.06</v>
      </c>
      <c r="CZ707">
        <f t="shared" si="126"/>
        <v>10362</v>
      </c>
      <c r="DA707">
        <f t="shared" si="127"/>
        <v>7.13</v>
      </c>
      <c r="DB707">
        <f t="shared" si="128"/>
        <v>0.31</v>
      </c>
      <c r="DC707">
        <f t="shared" si="129"/>
        <v>0</v>
      </c>
    </row>
    <row r="708" spans="1:107" x14ac:dyDescent="0.2">
      <c r="A708">
        <f>ROW(Source!A341)</f>
        <v>341</v>
      </c>
      <c r="B708">
        <v>16630606</v>
      </c>
      <c r="C708">
        <v>16632707</v>
      </c>
      <c r="D708">
        <v>15169922</v>
      </c>
      <c r="E708">
        <v>1</v>
      </c>
      <c r="F708">
        <v>1</v>
      </c>
      <c r="G708">
        <v>1</v>
      </c>
      <c r="H708">
        <v>3</v>
      </c>
      <c r="I708" t="s">
        <v>1608</v>
      </c>
      <c r="J708" t="s">
        <v>1609</v>
      </c>
      <c r="K708" t="s">
        <v>1610</v>
      </c>
      <c r="L708">
        <v>1348</v>
      </c>
      <c r="N708">
        <v>1009</v>
      </c>
      <c r="O708" t="s">
        <v>98</v>
      </c>
      <c r="P708" t="s">
        <v>98</v>
      </c>
      <c r="Q708">
        <v>1000</v>
      </c>
      <c r="W708">
        <v>0</v>
      </c>
      <c r="X708">
        <v>774209331</v>
      </c>
      <c r="Y708">
        <v>1E-4</v>
      </c>
      <c r="AA708">
        <v>107876.9</v>
      </c>
      <c r="AB708">
        <v>0</v>
      </c>
      <c r="AC708">
        <v>0</v>
      </c>
      <c r="AD708">
        <v>0</v>
      </c>
      <c r="AE708">
        <v>15130</v>
      </c>
      <c r="AF708">
        <v>0</v>
      </c>
      <c r="AG708">
        <v>0</v>
      </c>
      <c r="AH708">
        <v>0</v>
      </c>
      <c r="AI708">
        <v>7.13</v>
      </c>
      <c r="AJ708">
        <v>1</v>
      </c>
      <c r="AK708">
        <v>1</v>
      </c>
      <c r="AL708">
        <v>1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6</v>
      </c>
      <c r="AT708">
        <v>1E-4</v>
      </c>
      <c r="AU708" t="s">
        <v>6</v>
      </c>
      <c r="AV708">
        <v>0</v>
      </c>
      <c r="AW708">
        <v>2</v>
      </c>
      <c r="AX708">
        <v>16632727</v>
      </c>
      <c r="AY708">
        <v>1</v>
      </c>
      <c r="AZ708">
        <v>0</v>
      </c>
      <c r="BA708">
        <v>701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Y708*Source!I341</f>
        <v>2.0000000000000002E-5</v>
      </c>
      <c r="CY708">
        <f t="shared" si="125"/>
        <v>107876.9</v>
      </c>
      <c r="CZ708">
        <f t="shared" si="126"/>
        <v>15130</v>
      </c>
      <c r="DA708">
        <f t="shared" si="127"/>
        <v>7.13</v>
      </c>
      <c r="DB708">
        <f t="shared" si="128"/>
        <v>1.51</v>
      </c>
      <c r="DC708">
        <f t="shared" si="129"/>
        <v>0</v>
      </c>
    </row>
    <row r="709" spans="1:107" x14ac:dyDescent="0.2">
      <c r="A709">
        <f>ROW(Source!A341)</f>
        <v>341</v>
      </c>
      <c r="B709">
        <v>16630606</v>
      </c>
      <c r="C709">
        <v>16632707</v>
      </c>
      <c r="D709">
        <v>15172117</v>
      </c>
      <c r="E709">
        <v>1</v>
      </c>
      <c r="F709">
        <v>1</v>
      </c>
      <c r="G709">
        <v>1</v>
      </c>
      <c r="H709">
        <v>3</v>
      </c>
      <c r="I709" t="s">
        <v>1611</v>
      </c>
      <c r="J709" t="s">
        <v>1612</v>
      </c>
      <c r="K709" t="s">
        <v>1613</v>
      </c>
      <c r="L709">
        <v>1348</v>
      </c>
      <c r="N709">
        <v>1009</v>
      </c>
      <c r="O709" t="s">
        <v>98</v>
      </c>
      <c r="P709" t="s">
        <v>98</v>
      </c>
      <c r="Q709">
        <v>1000</v>
      </c>
      <c r="W709">
        <v>0</v>
      </c>
      <c r="X709">
        <v>1529337430</v>
      </c>
      <c r="Y709">
        <v>2E-3</v>
      </c>
      <c r="AA709">
        <v>13090.68</v>
      </c>
      <c r="AB709">
        <v>0</v>
      </c>
      <c r="AC709">
        <v>0</v>
      </c>
      <c r="AD709">
        <v>0</v>
      </c>
      <c r="AE709">
        <v>1836</v>
      </c>
      <c r="AF709">
        <v>0</v>
      </c>
      <c r="AG709">
        <v>0</v>
      </c>
      <c r="AH709">
        <v>0</v>
      </c>
      <c r="AI709">
        <v>7.13</v>
      </c>
      <c r="AJ709">
        <v>1</v>
      </c>
      <c r="AK709">
        <v>1</v>
      </c>
      <c r="AL709">
        <v>1</v>
      </c>
      <c r="AN709">
        <v>0</v>
      </c>
      <c r="AO709">
        <v>1</v>
      </c>
      <c r="AP709">
        <v>0</v>
      </c>
      <c r="AQ709">
        <v>0</v>
      </c>
      <c r="AR709">
        <v>0</v>
      </c>
      <c r="AS709" t="s">
        <v>6</v>
      </c>
      <c r="AT709">
        <v>2E-3</v>
      </c>
      <c r="AU709" t="s">
        <v>6</v>
      </c>
      <c r="AV709">
        <v>0</v>
      </c>
      <c r="AW709">
        <v>2</v>
      </c>
      <c r="AX709">
        <v>16632728</v>
      </c>
      <c r="AY709">
        <v>1</v>
      </c>
      <c r="AZ709">
        <v>0</v>
      </c>
      <c r="BA709">
        <v>702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Y709*Source!I341</f>
        <v>4.0000000000000002E-4</v>
      </c>
      <c r="CY709">
        <f t="shared" si="125"/>
        <v>13090.68</v>
      </c>
      <c r="CZ709">
        <f t="shared" si="126"/>
        <v>1836</v>
      </c>
      <c r="DA709">
        <f t="shared" si="127"/>
        <v>7.13</v>
      </c>
      <c r="DB709">
        <f t="shared" si="128"/>
        <v>3.67</v>
      </c>
      <c r="DC709">
        <f t="shared" si="129"/>
        <v>0</v>
      </c>
    </row>
    <row r="710" spans="1:107" x14ac:dyDescent="0.2">
      <c r="A710">
        <f>ROW(Source!A341)</f>
        <v>341</v>
      </c>
      <c r="B710">
        <v>16630606</v>
      </c>
      <c r="C710">
        <v>16632707</v>
      </c>
      <c r="D710">
        <v>15203740</v>
      </c>
      <c r="E710">
        <v>1</v>
      </c>
      <c r="F710">
        <v>1</v>
      </c>
      <c r="G710">
        <v>1</v>
      </c>
      <c r="H710">
        <v>3</v>
      </c>
      <c r="I710" t="s">
        <v>1542</v>
      </c>
      <c r="J710" t="s">
        <v>1543</v>
      </c>
      <c r="K710" t="s">
        <v>1544</v>
      </c>
      <c r="L710">
        <v>1348</v>
      </c>
      <c r="N710">
        <v>1009</v>
      </c>
      <c r="O710" t="s">
        <v>98</v>
      </c>
      <c r="P710" t="s">
        <v>98</v>
      </c>
      <c r="Q710">
        <v>1000</v>
      </c>
      <c r="W710">
        <v>0</v>
      </c>
      <c r="X710">
        <v>570223526</v>
      </c>
      <c r="Y710">
        <v>1.4E-3</v>
      </c>
      <c r="AA710">
        <v>107798.47</v>
      </c>
      <c r="AB710">
        <v>0</v>
      </c>
      <c r="AC710">
        <v>0</v>
      </c>
      <c r="AD710">
        <v>0</v>
      </c>
      <c r="AE710">
        <v>15119</v>
      </c>
      <c r="AF710">
        <v>0</v>
      </c>
      <c r="AG710">
        <v>0</v>
      </c>
      <c r="AH710">
        <v>0</v>
      </c>
      <c r="AI710">
        <v>7.13</v>
      </c>
      <c r="AJ710">
        <v>1</v>
      </c>
      <c r="AK710">
        <v>1</v>
      </c>
      <c r="AL710">
        <v>1</v>
      </c>
      <c r="AN710">
        <v>0</v>
      </c>
      <c r="AO710">
        <v>1</v>
      </c>
      <c r="AP710">
        <v>0</v>
      </c>
      <c r="AQ710">
        <v>0</v>
      </c>
      <c r="AR710">
        <v>0</v>
      </c>
      <c r="AS710" t="s">
        <v>6</v>
      </c>
      <c r="AT710">
        <v>1.4E-3</v>
      </c>
      <c r="AU710" t="s">
        <v>6</v>
      </c>
      <c r="AV710">
        <v>0</v>
      </c>
      <c r="AW710">
        <v>2</v>
      </c>
      <c r="AX710">
        <v>16632729</v>
      </c>
      <c r="AY710">
        <v>1</v>
      </c>
      <c r="AZ710">
        <v>0</v>
      </c>
      <c r="BA710">
        <v>703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Y710*Source!I341</f>
        <v>2.8000000000000003E-4</v>
      </c>
      <c r="CY710">
        <f t="shared" si="125"/>
        <v>107798.47</v>
      </c>
      <c r="CZ710">
        <f t="shared" si="126"/>
        <v>15119</v>
      </c>
      <c r="DA710">
        <f t="shared" si="127"/>
        <v>7.13</v>
      </c>
      <c r="DB710">
        <f t="shared" si="128"/>
        <v>21.17</v>
      </c>
      <c r="DC710">
        <f t="shared" si="129"/>
        <v>0</v>
      </c>
    </row>
    <row r="711" spans="1:107" x14ac:dyDescent="0.2">
      <c r="A711">
        <f>ROW(Source!A341)</f>
        <v>341</v>
      </c>
      <c r="B711">
        <v>16630606</v>
      </c>
      <c r="C711">
        <v>16632707</v>
      </c>
      <c r="D711">
        <v>15204468</v>
      </c>
      <c r="E711">
        <v>1</v>
      </c>
      <c r="F711">
        <v>1</v>
      </c>
      <c r="G711">
        <v>1</v>
      </c>
      <c r="H711">
        <v>3</v>
      </c>
      <c r="I711" t="s">
        <v>1545</v>
      </c>
      <c r="J711" t="s">
        <v>1546</v>
      </c>
      <c r="K711" t="s">
        <v>1547</v>
      </c>
      <c r="L711">
        <v>1348</v>
      </c>
      <c r="N711">
        <v>1009</v>
      </c>
      <c r="O711" t="s">
        <v>98</v>
      </c>
      <c r="P711" t="s">
        <v>98</v>
      </c>
      <c r="Q711">
        <v>1000</v>
      </c>
      <c r="W711">
        <v>0</v>
      </c>
      <c r="X711">
        <v>-909021926</v>
      </c>
      <c r="Y711">
        <v>6.9999999999999999E-4</v>
      </c>
      <c r="AA711">
        <v>120853.5</v>
      </c>
      <c r="AB711">
        <v>0</v>
      </c>
      <c r="AC711">
        <v>0</v>
      </c>
      <c r="AD711">
        <v>0</v>
      </c>
      <c r="AE711">
        <v>16950</v>
      </c>
      <c r="AF711">
        <v>0</v>
      </c>
      <c r="AG711">
        <v>0</v>
      </c>
      <c r="AH711">
        <v>0</v>
      </c>
      <c r="AI711">
        <v>7.13</v>
      </c>
      <c r="AJ711">
        <v>1</v>
      </c>
      <c r="AK711">
        <v>1</v>
      </c>
      <c r="AL711">
        <v>1</v>
      </c>
      <c r="AN711">
        <v>0</v>
      </c>
      <c r="AO711">
        <v>1</v>
      </c>
      <c r="AP711">
        <v>0</v>
      </c>
      <c r="AQ711">
        <v>0</v>
      </c>
      <c r="AR711">
        <v>0</v>
      </c>
      <c r="AS711" t="s">
        <v>6</v>
      </c>
      <c r="AT711">
        <v>6.9999999999999999E-4</v>
      </c>
      <c r="AU711" t="s">
        <v>6</v>
      </c>
      <c r="AV711">
        <v>0</v>
      </c>
      <c r="AW711">
        <v>2</v>
      </c>
      <c r="AX711">
        <v>16632730</v>
      </c>
      <c r="AY711">
        <v>1</v>
      </c>
      <c r="AZ711">
        <v>0</v>
      </c>
      <c r="BA711">
        <v>704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Y711*Source!I341</f>
        <v>1.4000000000000001E-4</v>
      </c>
      <c r="CY711">
        <f t="shared" si="125"/>
        <v>120853.5</v>
      </c>
      <c r="CZ711">
        <f t="shared" si="126"/>
        <v>16950</v>
      </c>
      <c r="DA711">
        <f t="shared" si="127"/>
        <v>7.13</v>
      </c>
      <c r="DB711">
        <f t="shared" si="128"/>
        <v>11.87</v>
      </c>
      <c r="DC711">
        <f t="shared" si="129"/>
        <v>0</v>
      </c>
    </row>
    <row r="712" spans="1:107" x14ac:dyDescent="0.2">
      <c r="A712">
        <f>ROW(Source!A341)</f>
        <v>341</v>
      </c>
      <c r="B712">
        <v>16630606</v>
      </c>
      <c r="C712">
        <v>16632707</v>
      </c>
      <c r="D712">
        <v>15211764</v>
      </c>
      <c r="E712">
        <v>1</v>
      </c>
      <c r="F712">
        <v>1</v>
      </c>
      <c r="G712">
        <v>1</v>
      </c>
      <c r="H712">
        <v>3</v>
      </c>
      <c r="I712" t="s">
        <v>944</v>
      </c>
      <c r="J712" t="s">
        <v>946</v>
      </c>
      <c r="K712" t="s">
        <v>945</v>
      </c>
      <c r="L712">
        <v>1035</v>
      </c>
      <c r="N712">
        <v>1013</v>
      </c>
      <c r="O712" t="s">
        <v>177</v>
      </c>
      <c r="P712" t="s">
        <v>177</v>
      </c>
      <c r="Q712">
        <v>1</v>
      </c>
      <c r="W712">
        <v>0</v>
      </c>
      <c r="X712">
        <v>-2048965220</v>
      </c>
      <c r="Y712">
        <v>10</v>
      </c>
      <c r="AA712">
        <v>3959.79</v>
      </c>
      <c r="AB712">
        <v>0</v>
      </c>
      <c r="AC712">
        <v>0</v>
      </c>
      <c r="AD712">
        <v>0</v>
      </c>
      <c r="AE712">
        <v>555.37</v>
      </c>
      <c r="AF712">
        <v>0</v>
      </c>
      <c r="AG712">
        <v>0</v>
      </c>
      <c r="AH712">
        <v>0</v>
      </c>
      <c r="AI712">
        <v>7.13</v>
      </c>
      <c r="AJ712">
        <v>1</v>
      </c>
      <c r="AK712">
        <v>1</v>
      </c>
      <c r="AL712">
        <v>1</v>
      </c>
      <c r="AN712">
        <v>0</v>
      </c>
      <c r="AO712">
        <v>0</v>
      </c>
      <c r="AP712">
        <v>0</v>
      </c>
      <c r="AQ712">
        <v>0</v>
      </c>
      <c r="AR712">
        <v>0</v>
      </c>
      <c r="AS712" t="s">
        <v>6</v>
      </c>
      <c r="AT712">
        <v>10</v>
      </c>
      <c r="AU712" t="s">
        <v>6</v>
      </c>
      <c r="AV712">
        <v>0</v>
      </c>
      <c r="AW712">
        <v>1</v>
      </c>
      <c r="AX712">
        <v>-1</v>
      </c>
      <c r="AY712">
        <v>0</v>
      </c>
      <c r="AZ712">
        <v>0</v>
      </c>
      <c r="BA712" t="s">
        <v>6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Y712*Source!I341</f>
        <v>2</v>
      </c>
      <c r="CY712">
        <f t="shared" si="125"/>
        <v>3959.79</v>
      </c>
      <c r="CZ712">
        <f t="shared" si="126"/>
        <v>555.37</v>
      </c>
      <c r="DA712">
        <f t="shared" si="127"/>
        <v>7.13</v>
      </c>
      <c r="DB712">
        <f t="shared" si="128"/>
        <v>5553.7</v>
      </c>
      <c r="DC712">
        <f t="shared" si="129"/>
        <v>0</v>
      </c>
    </row>
    <row r="713" spans="1:107" x14ac:dyDescent="0.2">
      <c r="A713">
        <f>ROW(Source!A343)</f>
        <v>343</v>
      </c>
      <c r="B713">
        <v>16630606</v>
      </c>
      <c r="C713">
        <v>16632733</v>
      </c>
      <c r="D713">
        <v>15435721</v>
      </c>
      <c r="E713">
        <v>1</v>
      </c>
      <c r="F713">
        <v>1</v>
      </c>
      <c r="G713">
        <v>1</v>
      </c>
      <c r="H713">
        <v>1</v>
      </c>
      <c r="I713" t="s">
        <v>1311</v>
      </c>
      <c r="J713" t="s">
        <v>6</v>
      </c>
      <c r="K713" t="s">
        <v>1312</v>
      </c>
      <c r="L713">
        <v>1191</v>
      </c>
      <c r="N713">
        <v>1013</v>
      </c>
      <c r="O713" t="s">
        <v>1148</v>
      </c>
      <c r="P713" t="s">
        <v>1148</v>
      </c>
      <c r="Q713">
        <v>1</v>
      </c>
      <c r="W713">
        <v>0</v>
      </c>
      <c r="X713">
        <v>1983201532</v>
      </c>
      <c r="Y713">
        <v>25.506999999999998</v>
      </c>
      <c r="AA713">
        <v>0</v>
      </c>
      <c r="AB713">
        <v>0</v>
      </c>
      <c r="AC713">
        <v>0</v>
      </c>
      <c r="AD713">
        <v>67.81</v>
      </c>
      <c r="AE713">
        <v>0</v>
      </c>
      <c r="AF713">
        <v>0</v>
      </c>
      <c r="AG713">
        <v>0</v>
      </c>
      <c r="AH713">
        <v>9.51</v>
      </c>
      <c r="AI713">
        <v>1</v>
      </c>
      <c r="AJ713">
        <v>1</v>
      </c>
      <c r="AK713">
        <v>1</v>
      </c>
      <c r="AL713">
        <v>7.13</v>
      </c>
      <c r="AN713">
        <v>0</v>
      </c>
      <c r="AO713">
        <v>1</v>
      </c>
      <c r="AP713">
        <v>1</v>
      </c>
      <c r="AQ713">
        <v>0</v>
      </c>
      <c r="AR713">
        <v>0</v>
      </c>
      <c r="AS713" t="s">
        <v>6</v>
      </c>
      <c r="AT713">
        <v>22.18</v>
      </c>
      <c r="AU713" t="s">
        <v>82</v>
      </c>
      <c r="AV713">
        <v>1</v>
      </c>
      <c r="AW713">
        <v>2</v>
      </c>
      <c r="AX713">
        <v>16632750</v>
      </c>
      <c r="AY713">
        <v>1</v>
      </c>
      <c r="AZ713">
        <v>0</v>
      </c>
      <c r="BA713">
        <v>706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Y713*Source!I343</f>
        <v>7.652099999999999</v>
      </c>
      <c r="CY713">
        <f>AD713</f>
        <v>67.81</v>
      </c>
      <c r="CZ713">
        <f>AH713</f>
        <v>9.51</v>
      </c>
      <c r="DA713">
        <f>AL713</f>
        <v>7.13</v>
      </c>
      <c r="DB713">
        <f>ROUND((ROUND(AT713*CZ713,2)*1.15),2)</f>
        <v>242.57</v>
      </c>
      <c r="DC713">
        <f>ROUND((ROUND(AT713*AG713,2)*1.15),2)</f>
        <v>0</v>
      </c>
    </row>
    <row r="714" spans="1:107" x14ac:dyDescent="0.2">
      <c r="A714">
        <f>ROW(Source!A343)</f>
        <v>343</v>
      </c>
      <c r="B714">
        <v>16630606</v>
      </c>
      <c r="C714">
        <v>16632733</v>
      </c>
      <c r="D714">
        <v>15430395</v>
      </c>
      <c r="E714">
        <v>1</v>
      </c>
      <c r="F714">
        <v>1</v>
      </c>
      <c r="G714">
        <v>1</v>
      </c>
      <c r="H714">
        <v>1</v>
      </c>
      <c r="I714" t="s">
        <v>1149</v>
      </c>
      <c r="J714" t="s">
        <v>6</v>
      </c>
      <c r="K714" t="s">
        <v>1150</v>
      </c>
      <c r="L714">
        <v>1191</v>
      </c>
      <c r="N714">
        <v>1013</v>
      </c>
      <c r="O714" t="s">
        <v>1148</v>
      </c>
      <c r="P714" t="s">
        <v>1148</v>
      </c>
      <c r="Q714">
        <v>1</v>
      </c>
      <c r="W714">
        <v>0</v>
      </c>
      <c r="X714">
        <v>-1417349443</v>
      </c>
      <c r="Y714">
        <v>0.56999999999999995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1</v>
      </c>
      <c r="AJ714">
        <v>1</v>
      </c>
      <c r="AK714">
        <v>7.13</v>
      </c>
      <c r="AL714">
        <v>1</v>
      </c>
      <c r="AN714">
        <v>0</v>
      </c>
      <c r="AO714">
        <v>1</v>
      </c>
      <c r="AP714">
        <v>0</v>
      </c>
      <c r="AQ714">
        <v>0</v>
      </c>
      <c r="AR714">
        <v>0</v>
      </c>
      <c r="AS714" t="s">
        <v>6</v>
      </c>
      <c r="AT714">
        <v>0.56999999999999995</v>
      </c>
      <c r="AU714" t="s">
        <v>6</v>
      </c>
      <c r="AV714">
        <v>2</v>
      </c>
      <c r="AW714">
        <v>2</v>
      </c>
      <c r="AX714">
        <v>16632751</v>
      </c>
      <c r="AY714">
        <v>1</v>
      </c>
      <c r="AZ714">
        <v>2048</v>
      </c>
      <c r="BA714">
        <v>707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Y714*Source!I343</f>
        <v>0.17099999999999999</v>
      </c>
      <c r="CY714">
        <f>AD714</f>
        <v>0</v>
      </c>
      <c r="CZ714">
        <f>AH714</f>
        <v>0</v>
      </c>
      <c r="DA714">
        <f>AL714</f>
        <v>1</v>
      </c>
      <c r="DB714">
        <f>ROUND(ROUND(AT714*CZ714,2),2)</f>
        <v>0</v>
      </c>
      <c r="DC714">
        <f>ROUND(ROUND(AT714*AG714,2),2)</f>
        <v>0</v>
      </c>
    </row>
    <row r="715" spans="1:107" x14ac:dyDescent="0.2">
      <c r="A715">
        <f>ROW(Source!A343)</f>
        <v>343</v>
      </c>
      <c r="B715">
        <v>16630606</v>
      </c>
      <c r="C715">
        <v>16632733</v>
      </c>
      <c r="D715">
        <v>15247974</v>
      </c>
      <c r="E715">
        <v>1</v>
      </c>
      <c r="F715">
        <v>1</v>
      </c>
      <c r="G715">
        <v>1</v>
      </c>
      <c r="H715">
        <v>2</v>
      </c>
      <c r="I715" t="s">
        <v>1151</v>
      </c>
      <c r="J715" t="s">
        <v>1152</v>
      </c>
      <c r="K715" t="s">
        <v>1153</v>
      </c>
      <c r="L715">
        <v>1368</v>
      </c>
      <c r="N715">
        <v>1011</v>
      </c>
      <c r="O715" t="s">
        <v>1154</v>
      </c>
      <c r="P715" t="s">
        <v>1154</v>
      </c>
      <c r="Q715">
        <v>1</v>
      </c>
      <c r="W715">
        <v>0</v>
      </c>
      <c r="X715">
        <v>1188625873</v>
      </c>
      <c r="Y715">
        <v>0.4</v>
      </c>
      <c r="AA715">
        <v>0</v>
      </c>
      <c r="AB715">
        <v>222.88</v>
      </c>
      <c r="AC715">
        <v>13.5</v>
      </c>
      <c r="AD715">
        <v>0</v>
      </c>
      <c r="AE715">
        <v>0</v>
      </c>
      <c r="AF715">
        <v>31.26</v>
      </c>
      <c r="AG715">
        <v>13.5</v>
      </c>
      <c r="AH715">
        <v>0</v>
      </c>
      <c r="AI715">
        <v>1</v>
      </c>
      <c r="AJ715">
        <v>7.13</v>
      </c>
      <c r="AK715">
        <v>1</v>
      </c>
      <c r="AL715">
        <v>1</v>
      </c>
      <c r="AN715">
        <v>0</v>
      </c>
      <c r="AO715">
        <v>1</v>
      </c>
      <c r="AP715">
        <v>1</v>
      </c>
      <c r="AQ715">
        <v>0</v>
      </c>
      <c r="AR715">
        <v>0</v>
      </c>
      <c r="AS715" t="s">
        <v>6</v>
      </c>
      <c r="AT715">
        <v>0.32</v>
      </c>
      <c r="AU715" t="s">
        <v>81</v>
      </c>
      <c r="AV715">
        <v>0</v>
      </c>
      <c r="AW715">
        <v>2</v>
      </c>
      <c r="AX715">
        <v>16632752</v>
      </c>
      <c r="AY715">
        <v>1</v>
      </c>
      <c r="AZ715">
        <v>0</v>
      </c>
      <c r="BA715">
        <v>708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Y715*Source!I343</f>
        <v>0.12</v>
      </c>
      <c r="CY715">
        <f>AB715</f>
        <v>222.88</v>
      </c>
      <c r="CZ715">
        <f>AF715</f>
        <v>31.26</v>
      </c>
      <c r="DA715">
        <f>AJ715</f>
        <v>7.13</v>
      </c>
      <c r="DB715">
        <f>ROUND((ROUND(AT715*CZ715,2)*1.25),2)</f>
        <v>12.5</v>
      </c>
      <c r="DC715">
        <f>ROUND((ROUND(AT715*AG715,2)*1.25),2)</f>
        <v>5.4</v>
      </c>
    </row>
    <row r="716" spans="1:107" x14ac:dyDescent="0.2">
      <c r="A716">
        <f>ROW(Source!A343)</f>
        <v>343</v>
      </c>
      <c r="B716">
        <v>16630606</v>
      </c>
      <c r="C716">
        <v>16632733</v>
      </c>
      <c r="D716">
        <v>15249073</v>
      </c>
      <c r="E716">
        <v>1</v>
      </c>
      <c r="F716">
        <v>1</v>
      </c>
      <c r="G716">
        <v>1</v>
      </c>
      <c r="H716">
        <v>2</v>
      </c>
      <c r="I716" t="s">
        <v>1157</v>
      </c>
      <c r="J716" t="s">
        <v>1158</v>
      </c>
      <c r="K716" t="s">
        <v>1159</v>
      </c>
      <c r="L716">
        <v>1368</v>
      </c>
      <c r="N716">
        <v>1011</v>
      </c>
      <c r="O716" t="s">
        <v>1154</v>
      </c>
      <c r="P716" t="s">
        <v>1154</v>
      </c>
      <c r="Q716">
        <v>1</v>
      </c>
      <c r="W716">
        <v>0</v>
      </c>
      <c r="X716">
        <v>1372534845</v>
      </c>
      <c r="Y716">
        <v>0.3125</v>
      </c>
      <c r="AA716">
        <v>0</v>
      </c>
      <c r="AB716">
        <v>468.51</v>
      </c>
      <c r="AC716">
        <v>11.6</v>
      </c>
      <c r="AD716">
        <v>0</v>
      </c>
      <c r="AE716">
        <v>0</v>
      </c>
      <c r="AF716">
        <v>65.709999999999994</v>
      </c>
      <c r="AG716">
        <v>11.6</v>
      </c>
      <c r="AH716">
        <v>0</v>
      </c>
      <c r="AI716">
        <v>1</v>
      </c>
      <c r="AJ716">
        <v>7.13</v>
      </c>
      <c r="AK716">
        <v>1</v>
      </c>
      <c r="AL716">
        <v>1</v>
      </c>
      <c r="AN716">
        <v>0</v>
      </c>
      <c r="AO716">
        <v>1</v>
      </c>
      <c r="AP716">
        <v>1</v>
      </c>
      <c r="AQ716">
        <v>0</v>
      </c>
      <c r="AR716">
        <v>0</v>
      </c>
      <c r="AS716" t="s">
        <v>6</v>
      </c>
      <c r="AT716">
        <v>0.25</v>
      </c>
      <c r="AU716" t="s">
        <v>81</v>
      </c>
      <c r="AV716">
        <v>0</v>
      </c>
      <c r="AW716">
        <v>2</v>
      </c>
      <c r="AX716">
        <v>16632753</v>
      </c>
      <c r="AY716">
        <v>1</v>
      </c>
      <c r="AZ716">
        <v>0</v>
      </c>
      <c r="BA716">
        <v>709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Y716*Source!I343</f>
        <v>9.375E-2</v>
      </c>
      <c r="CY716">
        <f>AB716</f>
        <v>468.51</v>
      </c>
      <c r="CZ716">
        <f>AF716</f>
        <v>65.709999999999994</v>
      </c>
      <c r="DA716">
        <f>AJ716</f>
        <v>7.13</v>
      </c>
      <c r="DB716">
        <f>ROUND((ROUND(AT716*CZ716,2)*1.25),2)</f>
        <v>20.54</v>
      </c>
      <c r="DC716">
        <f>ROUND((ROUND(AT716*AG716,2)*1.25),2)</f>
        <v>3.63</v>
      </c>
    </row>
    <row r="717" spans="1:107" x14ac:dyDescent="0.2">
      <c r="A717">
        <f>ROW(Source!A343)</f>
        <v>343</v>
      </c>
      <c r="B717">
        <v>16630606</v>
      </c>
      <c r="C717">
        <v>16632733</v>
      </c>
      <c r="D717">
        <v>15167955</v>
      </c>
      <c r="E717">
        <v>1</v>
      </c>
      <c r="F717">
        <v>1</v>
      </c>
      <c r="G717">
        <v>1</v>
      </c>
      <c r="H717">
        <v>3</v>
      </c>
      <c r="I717" t="s">
        <v>1596</v>
      </c>
      <c r="J717" t="s">
        <v>1597</v>
      </c>
      <c r="K717" t="s">
        <v>1598</v>
      </c>
      <c r="L717">
        <v>1348</v>
      </c>
      <c r="N717">
        <v>1009</v>
      </c>
      <c r="O717" t="s">
        <v>98</v>
      </c>
      <c r="P717" t="s">
        <v>98</v>
      </c>
      <c r="Q717">
        <v>1000</v>
      </c>
      <c r="W717">
        <v>0</v>
      </c>
      <c r="X717">
        <v>-1699345571</v>
      </c>
      <c r="Y717">
        <v>1E-3</v>
      </c>
      <c r="AA717">
        <v>214113.9</v>
      </c>
      <c r="AB717">
        <v>0</v>
      </c>
      <c r="AC717">
        <v>0</v>
      </c>
      <c r="AD717">
        <v>0</v>
      </c>
      <c r="AE717">
        <v>30030</v>
      </c>
      <c r="AF717">
        <v>0</v>
      </c>
      <c r="AG717">
        <v>0</v>
      </c>
      <c r="AH717">
        <v>0</v>
      </c>
      <c r="AI717">
        <v>7.13</v>
      </c>
      <c r="AJ717">
        <v>1</v>
      </c>
      <c r="AK717">
        <v>1</v>
      </c>
      <c r="AL717">
        <v>1</v>
      </c>
      <c r="AN717">
        <v>0</v>
      </c>
      <c r="AO717">
        <v>1</v>
      </c>
      <c r="AP717">
        <v>0</v>
      </c>
      <c r="AQ717">
        <v>0</v>
      </c>
      <c r="AR717">
        <v>0</v>
      </c>
      <c r="AS717" t="s">
        <v>6</v>
      </c>
      <c r="AT717">
        <v>1E-3</v>
      </c>
      <c r="AU717" t="s">
        <v>6</v>
      </c>
      <c r="AV717">
        <v>0</v>
      </c>
      <c r="AW717">
        <v>2</v>
      </c>
      <c r="AX717">
        <v>16632754</v>
      </c>
      <c r="AY717">
        <v>1</v>
      </c>
      <c r="AZ717">
        <v>0</v>
      </c>
      <c r="BA717">
        <v>710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Y717*Source!I343</f>
        <v>2.9999999999999997E-4</v>
      </c>
      <c r="CY717">
        <f t="shared" ref="CY717:CY728" si="130">AA717</f>
        <v>214113.9</v>
      </c>
      <c r="CZ717">
        <f t="shared" ref="CZ717:CZ728" si="131">AE717</f>
        <v>30030</v>
      </c>
      <c r="DA717">
        <f t="shared" ref="DA717:DA728" si="132">AI717</f>
        <v>7.13</v>
      </c>
      <c r="DB717">
        <f t="shared" ref="DB717:DB728" si="133">ROUND(ROUND(AT717*CZ717,2),2)</f>
        <v>30.03</v>
      </c>
      <c r="DC717">
        <f t="shared" ref="DC717:DC728" si="134">ROUND(ROUND(AT717*AG717,2),2)</f>
        <v>0</v>
      </c>
    </row>
    <row r="718" spans="1:107" x14ac:dyDescent="0.2">
      <c r="A718">
        <f>ROW(Source!A343)</f>
        <v>343</v>
      </c>
      <c r="B718">
        <v>16630606</v>
      </c>
      <c r="C718">
        <v>16632733</v>
      </c>
      <c r="D718">
        <v>15167963</v>
      </c>
      <c r="E718">
        <v>1</v>
      </c>
      <c r="F718">
        <v>1</v>
      </c>
      <c r="G718">
        <v>1</v>
      </c>
      <c r="H718">
        <v>3</v>
      </c>
      <c r="I718" t="s">
        <v>1533</v>
      </c>
      <c r="J718" t="s">
        <v>1534</v>
      </c>
      <c r="K718" t="s">
        <v>1535</v>
      </c>
      <c r="L718">
        <v>1346</v>
      </c>
      <c r="N718">
        <v>1009</v>
      </c>
      <c r="O718" t="s">
        <v>102</v>
      </c>
      <c r="P718" t="s">
        <v>102</v>
      </c>
      <c r="Q718">
        <v>1</v>
      </c>
      <c r="W718">
        <v>0</v>
      </c>
      <c r="X718">
        <v>-490687590</v>
      </c>
      <c r="Y718">
        <v>0.2</v>
      </c>
      <c r="AA718">
        <v>265.88</v>
      </c>
      <c r="AB718">
        <v>0</v>
      </c>
      <c r="AC718">
        <v>0</v>
      </c>
      <c r="AD718">
        <v>0</v>
      </c>
      <c r="AE718">
        <v>37.29</v>
      </c>
      <c r="AF718">
        <v>0</v>
      </c>
      <c r="AG718">
        <v>0</v>
      </c>
      <c r="AH718">
        <v>0</v>
      </c>
      <c r="AI718">
        <v>7.13</v>
      </c>
      <c r="AJ718">
        <v>1</v>
      </c>
      <c r="AK718">
        <v>1</v>
      </c>
      <c r="AL718">
        <v>1</v>
      </c>
      <c r="AN718">
        <v>0</v>
      </c>
      <c r="AO718">
        <v>1</v>
      </c>
      <c r="AP718">
        <v>0</v>
      </c>
      <c r="AQ718">
        <v>0</v>
      </c>
      <c r="AR718">
        <v>0</v>
      </c>
      <c r="AS718" t="s">
        <v>6</v>
      </c>
      <c r="AT718">
        <v>0.2</v>
      </c>
      <c r="AU718" t="s">
        <v>6</v>
      </c>
      <c r="AV718">
        <v>0</v>
      </c>
      <c r="AW718">
        <v>2</v>
      </c>
      <c r="AX718">
        <v>16632755</v>
      </c>
      <c r="AY718">
        <v>1</v>
      </c>
      <c r="AZ718">
        <v>0</v>
      </c>
      <c r="BA718">
        <v>711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Y718*Source!I343</f>
        <v>0.06</v>
      </c>
      <c r="CY718">
        <f t="shared" si="130"/>
        <v>265.88</v>
      </c>
      <c r="CZ718">
        <f t="shared" si="131"/>
        <v>37.29</v>
      </c>
      <c r="DA718">
        <f t="shared" si="132"/>
        <v>7.13</v>
      </c>
      <c r="DB718">
        <f t="shared" si="133"/>
        <v>7.46</v>
      </c>
      <c r="DC718">
        <f t="shared" si="134"/>
        <v>0</v>
      </c>
    </row>
    <row r="719" spans="1:107" x14ac:dyDescent="0.2">
      <c r="A719">
        <f>ROW(Source!A343)</f>
        <v>343</v>
      </c>
      <c r="B719">
        <v>16630606</v>
      </c>
      <c r="C719">
        <v>16632733</v>
      </c>
      <c r="D719">
        <v>15170072</v>
      </c>
      <c r="E719">
        <v>1</v>
      </c>
      <c r="F719">
        <v>1</v>
      </c>
      <c r="G719">
        <v>1</v>
      </c>
      <c r="H719">
        <v>3</v>
      </c>
      <c r="I719" t="s">
        <v>952</v>
      </c>
      <c r="J719" t="s">
        <v>954</v>
      </c>
      <c r="K719" t="s">
        <v>953</v>
      </c>
      <c r="L719">
        <v>1355</v>
      </c>
      <c r="N719">
        <v>1010</v>
      </c>
      <c r="O719" t="s">
        <v>243</v>
      </c>
      <c r="P719" t="s">
        <v>243</v>
      </c>
      <c r="Q719">
        <v>100</v>
      </c>
      <c r="W719">
        <v>0</v>
      </c>
      <c r="X719">
        <v>-66531260</v>
      </c>
      <c r="Y719">
        <v>0.2</v>
      </c>
      <c r="AA719">
        <v>591.79</v>
      </c>
      <c r="AB719">
        <v>0</v>
      </c>
      <c r="AC719">
        <v>0</v>
      </c>
      <c r="AD719">
        <v>0</v>
      </c>
      <c r="AE719">
        <v>83</v>
      </c>
      <c r="AF719">
        <v>0</v>
      </c>
      <c r="AG719">
        <v>0</v>
      </c>
      <c r="AH719">
        <v>0</v>
      </c>
      <c r="AI719">
        <v>7.13</v>
      </c>
      <c r="AJ719">
        <v>1</v>
      </c>
      <c r="AK719">
        <v>1</v>
      </c>
      <c r="AL719">
        <v>1</v>
      </c>
      <c r="AN719">
        <v>0</v>
      </c>
      <c r="AO719">
        <v>0</v>
      </c>
      <c r="AP719">
        <v>0</v>
      </c>
      <c r="AQ719">
        <v>0</v>
      </c>
      <c r="AR719">
        <v>0</v>
      </c>
      <c r="AS719" t="s">
        <v>6</v>
      </c>
      <c r="AT719">
        <v>0.2</v>
      </c>
      <c r="AU719" t="s">
        <v>6</v>
      </c>
      <c r="AV719">
        <v>0</v>
      </c>
      <c r="AW719">
        <v>1</v>
      </c>
      <c r="AX719">
        <v>-1</v>
      </c>
      <c r="AY719">
        <v>0</v>
      </c>
      <c r="AZ719">
        <v>0</v>
      </c>
      <c r="BA719" t="s">
        <v>6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Y719*Source!I343</f>
        <v>0.06</v>
      </c>
      <c r="CY719">
        <f t="shared" si="130"/>
        <v>591.79</v>
      </c>
      <c r="CZ719">
        <f t="shared" si="131"/>
        <v>83</v>
      </c>
      <c r="DA719">
        <f t="shared" si="132"/>
        <v>7.13</v>
      </c>
      <c r="DB719">
        <f t="shared" si="133"/>
        <v>16.600000000000001</v>
      </c>
      <c r="DC719">
        <f t="shared" si="134"/>
        <v>0</v>
      </c>
    </row>
    <row r="720" spans="1:107" x14ac:dyDescent="0.2">
      <c r="A720">
        <f>ROW(Source!A343)</f>
        <v>343</v>
      </c>
      <c r="B720">
        <v>16630606</v>
      </c>
      <c r="C720">
        <v>16632733</v>
      </c>
      <c r="D720">
        <v>15170804</v>
      </c>
      <c r="E720">
        <v>1</v>
      </c>
      <c r="F720">
        <v>1</v>
      </c>
      <c r="G720">
        <v>1</v>
      </c>
      <c r="H720">
        <v>3</v>
      </c>
      <c r="I720" t="s">
        <v>956</v>
      </c>
      <c r="J720" t="s">
        <v>958</v>
      </c>
      <c r="K720" t="s">
        <v>957</v>
      </c>
      <c r="L720">
        <v>1354</v>
      </c>
      <c r="N720">
        <v>1010</v>
      </c>
      <c r="O720" t="s">
        <v>132</v>
      </c>
      <c r="P720" t="s">
        <v>132</v>
      </c>
      <c r="Q720">
        <v>1</v>
      </c>
      <c r="W720">
        <v>0</v>
      </c>
      <c r="X720">
        <v>288337808</v>
      </c>
      <c r="Y720">
        <v>10</v>
      </c>
      <c r="AA720">
        <v>71.3</v>
      </c>
      <c r="AB720">
        <v>0</v>
      </c>
      <c r="AC720">
        <v>0</v>
      </c>
      <c r="AD720">
        <v>0</v>
      </c>
      <c r="AE720">
        <v>10</v>
      </c>
      <c r="AF720">
        <v>0</v>
      </c>
      <c r="AG720">
        <v>0</v>
      </c>
      <c r="AH720">
        <v>0</v>
      </c>
      <c r="AI720">
        <v>7.13</v>
      </c>
      <c r="AJ720">
        <v>1</v>
      </c>
      <c r="AK720">
        <v>1</v>
      </c>
      <c r="AL720">
        <v>1</v>
      </c>
      <c r="AN720">
        <v>0</v>
      </c>
      <c r="AO720">
        <v>0</v>
      </c>
      <c r="AP720">
        <v>0</v>
      </c>
      <c r="AQ720">
        <v>0</v>
      </c>
      <c r="AR720">
        <v>0</v>
      </c>
      <c r="AS720" t="s">
        <v>6</v>
      </c>
      <c r="AT720">
        <v>10</v>
      </c>
      <c r="AU720" t="s">
        <v>6</v>
      </c>
      <c r="AV720">
        <v>0</v>
      </c>
      <c r="AW720">
        <v>1</v>
      </c>
      <c r="AX720">
        <v>-1</v>
      </c>
      <c r="AY720">
        <v>0</v>
      </c>
      <c r="AZ720">
        <v>0</v>
      </c>
      <c r="BA720" t="s">
        <v>6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Y720*Source!I343</f>
        <v>3</v>
      </c>
      <c r="CY720">
        <f t="shared" si="130"/>
        <v>71.3</v>
      </c>
      <c r="CZ720">
        <f t="shared" si="131"/>
        <v>10</v>
      </c>
      <c r="DA720">
        <f t="shared" si="132"/>
        <v>7.13</v>
      </c>
      <c r="DB720">
        <f t="shared" si="133"/>
        <v>100</v>
      </c>
      <c r="DC720">
        <f t="shared" si="134"/>
        <v>0</v>
      </c>
    </row>
    <row r="721" spans="1:107" x14ac:dyDescent="0.2">
      <c r="A721">
        <f>ROW(Source!A343)</f>
        <v>343</v>
      </c>
      <c r="B721">
        <v>16630606</v>
      </c>
      <c r="C721">
        <v>16632733</v>
      </c>
      <c r="D721">
        <v>15170815</v>
      </c>
      <c r="E721">
        <v>1</v>
      </c>
      <c r="F721">
        <v>1</v>
      </c>
      <c r="G721">
        <v>1</v>
      </c>
      <c r="H721">
        <v>3</v>
      </c>
      <c r="I721" t="s">
        <v>1614</v>
      </c>
      <c r="J721" t="s">
        <v>1615</v>
      </c>
      <c r="K721" t="s">
        <v>1616</v>
      </c>
      <c r="L721">
        <v>1346</v>
      </c>
      <c r="N721">
        <v>1009</v>
      </c>
      <c r="O721" t="s">
        <v>102</v>
      </c>
      <c r="P721" t="s">
        <v>102</v>
      </c>
      <c r="Q721">
        <v>1</v>
      </c>
      <c r="W721">
        <v>0</v>
      </c>
      <c r="X721">
        <v>1706192078</v>
      </c>
      <c r="Y721">
        <v>0.8</v>
      </c>
      <c r="AA721">
        <v>96.68</v>
      </c>
      <c r="AB721">
        <v>0</v>
      </c>
      <c r="AC721">
        <v>0</v>
      </c>
      <c r="AD721">
        <v>0</v>
      </c>
      <c r="AE721">
        <v>13.56</v>
      </c>
      <c r="AF721">
        <v>0</v>
      </c>
      <c r="AG721">
        <v>0</v>
      </c>
      <c r="AH721">
        <v>0</v>
      </c>
      <c r="AI721">
        <v>7.13</v>
      </c>
      <c r="AJ721">
        <v>1</v>
      </c>
      <c r="AK721">
        <v>1</v>
      </c>
      <c r="AL721">
        <v>1</v>
      </c>
      <c r="AN721">
        <v>0</v>
      </c>
      <c r="AO721">
        <v>1</v>
      </c>
      <c r="AP721">
        <v>0</v>
      </c>
      <c r="AQ721">
        <v>0</v>
      </c>
      <c r="AR721">
        <v>0</v>
      </c>
      <c r="AS721" t="s">
        <v>6</v>
      </c>
      <c r="AT721">
        <v>0.8</v>
      </c>
      <c r="AU721" t="s">
        <v>6</v>
      </c>
      <c r="AV721">
        <v>0</v>
      </c>
      <c r="AW721">
        <v>2</v>
      </c>
      <c r="AX721">
        <v>16632759</v>
      </c>
      <c r="AY721">
        <v>1</v>
      </c>
      <c r="AZ721">
        <v>0</v>
      </c>
      <c r="BA721">
        <v>715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Y721*Source!I343</f>
        <v>0.24</v>
      </c>
      <c r="CY721">
        <f t="shared" si="130"/>
        <v>96.68</v>
      </c>
      <c r="CZ721">
        <f t="shared" si="131"/>
        <v>13.56</v>
      </c>
      <c r="DA721">
        <f t="shared" si="132"/>
        <v>7.13</v>
      </c>
      <c r="DB721">
        <f t="shared" si="133"/>
        <v>10.85</v>
      </c>
      <c r="DC721">
        <f t="shared" si="134"/>
        <v>0</v>
      </c>
    </row>
    <row r="722" spans="1:107" x14ac:dyDescent="0.2">
      <c r="A722">
        <f>ROW(Source!A343)</f>
        <v>343</v>
      </c>
      <c r="B722">
        <v>16630606</v>
      </c>
      <c r="C722">
        <v>16632733</v>
      </c>
      <c r="D722">
        <v>15194723</v>
      </c>
      <c r="E722">
        <v>1</v>
      </c>
      <c r="F722">
        <v>1</v>
      </c>
      <c r="G722">
        <v>1</v>
      </c>
      <c r="H722">
        <v>3</v>
      </c>
      <c r="I722" t="s">
        <v>1617</v>
      </c>
      <c r="J722" t="s">
        <v>1618</v>
      </c>
      <c r="K722" t="s">
        <v>1619</v>
      </c>
      <c r="L722">
        <v>1348</v>
      </c>
      <c r="N722">
        <v>1009</v>
      </c>
      <c r="O722" t="s">
        <v>98</v>
      </c>
      <c r="P722" t="s">
        <v>98</v>
      </c>
      <c r="Q722">
        <v>1000</v>
      </c>
      <c r="W722">
        <v>0</v>
      </c>
      <c r="X722">
        <v>-62883330</v>
      </c>
      <c r="Y722">
        <v>5.0000000000000001E-4</v>
      </c>
      <c r="AA722">
        <v>267496.21000000002</v>
      </c>
      <c r="AB722">
        <v>0</v>
      </c>
      <c r="AC722">
        <v>0</v>
      </c>
      <c r="AD722">
        <v>0</v>
      </c>
      <c r="AE722">
        <v>37517</v>
      </c>
      <c r="AF722">
        <v>0</v>
      </c>
      <c r="AG722">
        <v>0</v>
      </c>
      <c r="AH722">
        <v>0</v>
      </c>
      <c r="AI722">
        <v>7.13</v>
      </c>
      <c r="AJ722">
        <v>1</v>
      </c>
      <c r="AK722">
        <v>1</v>
      </c>
      <c r="AL722">
        <v>1</v>
      </c>
      <c r="AN722">
        <v>0</v>
      </c>
      <c r="AO722">
        <v>1</v>
      </c>
      <c r="AP722">
        <v>0</v>
      </c>
      <c r="AQ722">
        <v>0</v>
      </c>
      <c r="AR722">
        <v>0</v>
      </c>
      <c r="AS722" t="s">
        <v>6</v>
      </c>
      <c r="AT722">
        <v>5.0000000000000001E-4</v>
      </c>
      <c r="AU722" t="s">
        <v>6</v>
      </c>
      <c r="AV722">
        <v>0</v>
      </c>
      <c r="AW722">
        <v>2</v>
      </c>
      <c r="AX722">
        <v>16632760</v>
      </c>
      <c r="AY722">
        <v>1</v>
      </c>
      <c r="AZ722">
        <v>0</v>
      </c>
      <c r="BA722">
        <v>716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Y722*Source!I343</f>
        <v>1.4999999999999999E-4</v>
      </c>
      <c r="CY722">
        <f t="shared" si="130"/>
        <v>267496.21000000002</v>
      </c>
      <c r="CZ722">
        <f t="shared" si="131"/>
        <v>37517</v>
      </c>
      <c r="DA722">
        <f t="shared" si="132"/>
        <v>7.13</v>
      </c>
      <c r="DB722">
        <f t="shared" si="133"/>
        <v>18.760000000000002</v>
      </c>
      <c r="DC722">
        <f t="shared" si="134"/>
        <v>0</v>
      </c>
    </row>
    <row r="723" spans="1:107" x14ac:dyDescent="0.2">
      <c r="A723">
        <f>ROW(Source!A343)</f>
        <v>343</v>
      </c>
      <c r="B723">
        <v>16630606</v>
      </c>
      <c r="C723">
        <v>16632733</v>
      </c>
      <c r="D723">
        <v>15202525</v>
      </c>
      <c r="E723">
        <v>1</v>
      </c>
      <c r="F723">
        <v>1</v>
      </c>
      <c r="G723">
        <v>1</v>
      </c>
      <c r="H723">
        <v>3</v>
      </c>
      <c r="I723" t="s">
        <v>1620</v>
      </c>
      <c r="J723" t="s">
        <v>1621</v>
      </c>
      <c r="K723" t="s">
        <v>1622</v>
      </c>
      <c r="L723">
        <v>1348</v>
      </c>
      <c r="N723">
        <v>1009</v>
      </c>
      <c r="O723" t="s">
        <v>98</v>
      </c>
      <c r="P723" t="s">
        <v>98</v>
      </c>
      <c r="Q723">
        <v>1000</v>
      </c>
      <c r="W723">
        <v>0</v>
      </c>
      <c r="X723">
        <v>1676970864</v>
      </c>
      <c r="Y723">
        <v>8.0000000000000004E-4</v>
      </c>
      <c r="AA723">
        <v>87912.9</v>
      </c>
      <c r="AB723">
        <v>0</v>
      </c>
      <c r="AC723">
        <v>0</v>
      </c>
      <c r="AD723">
        <v>0</v>
      </c>
      <c r="AE723">
        <v>12330</v>
      </c>
      <c r="AF723">
        <v>0</v>
      </c>
      <c r="AG723">
        <v>0</v>
      </c>
      <c r="AH723">
        <v>0</v>
      </c>
      <c r="AI723">
        <v>7.13</v>
      </c>
      <c r="AJ723">
        <v>1</v>
      </c>
      <c r="AK723">
        <v>1</v>
      </c>
      <c r="AL723">
        <v>1</v>
      </c>
      <c r="AN723">
        <v>0</v>
      </c>
      <c r="AO723">
        <v>1</v>
      </c>
      <c r="AP723">
        <v>0</v>
      </c>
      <c r="AQ723">
        <v>0</v>
      </c>
      <c r="AR723">
        <v>0</v>
      </c>
      <c r="AS723" t="s">
        <v>6</v>
      </c>
      <c r="AT723">
        <v>8.0000000000000004E-4</v>
      </c>
      <c r="AU723" t="s">
        <v>6</v>
      </c>
      <c r="AV723">
        <v>0</v>
      </c>
      <c r="AW723">
        <v>2</v>
      </c>
      <c r="AX723">
        <v>16632761</v>
      </c>
      <c r="AY723">
        <v>1</v>
      </c>
      <c r="AZ723">
        <v>0</v>
      </c>
      <c r="BA723">
        <v>717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Y723*Source!I343</f>
        <v>2.4000000000000001E-4</v>
      </c>
      <c r="CY723">
        <f t="shared" si="130"/>
        <v>87912.9</v>
      </c>
      <c r="CZ723">
        <f t="shared" si="131"/>
        <v>12330</v>
      </c>
      <c r="DA723">
        <f t="shared" si="132"/>
        <v>7.13</v>
      </c>
      <c r="DB723">
        <f t="shared" si="133"/>
        <v>9.86</v>
      </c>
      <c r="DC723">
        <f t="shared" si="134"/>
        <v>0</v>
      </c>
    </row>
    <row r="724" spans="1:107" x14ac:dyDescent="0.2">
      <c r="A724">
        <f>ROW(Source!A343)</f>
        <v>343</v>
      </c>
      <c r="B724">
        <v>16630606</v>
      </c>
      <c r="C724">
        <v>16632733</v>
      </c>
      <c r="D724">
        <v>15203740</v>
      </c>
      <c r="E724">
        <v>1</v>
      </c>
      <c r="F724">
        <v>1</v>
      </c>
      <c r="G724">
        <v>1</v>
      </c>
      <c r="H724">
        <v>3</v>
      </c>
      <c r="I724" t="s">
        <v>1542</v>
      </c>
      <c r="J724" t="s">
        <v>1543</v>
      </c>
      <c r="K724" t="s">
        <v>1544</v>
      </c>
      <c r="L724">
        <v>1348</v>
      </c>
      <c r="N724">
        <v>1009</v>
      </c>
      <c r="O724" t="s">
        <v>98</v>
      </c>
      <c r="P724" t="s">
        <v>98</v>
      </c>
      <c r="Q724">
        <v>1000</v>
      </c>
      <c r="W724">
        <v>0</v>
      </c>
      <c r="X724">
        <v>570223526</v>
      </c>
      <c r="Y724">
        <v>4.0000000000000002E-4</v>
      </c>
      <c r="AA724">
        <v>107798.47</v>
      </c>
      <c r="AB724">
        <v>0</v>
      </c>
      <c r="AC724">
        <v>0</v>
      </c>
      <c r="AD724">
        <v>0</v>
      </c>
      <c r="AE724">
        <v>15119</v>
      </c>
      <c r="AF724">
        <v>0</v>
      </c>
      <c r="AG724">
        <v>0</v>
      </c>
      <c r="AH724">
        <v>0</v>
      </c>
      <c r="AI724">
        <v>7.13</v>
      </c>
      <c r="AJ724">
        <v>1</v>
      </c>
      <c r="AK724">
        <v>1</v>
      </c>
      <c r="AL724">
        <v>1</v>
      </c>
      <c r="AN724">
        <v>0</v>
      </c>
      <c r="AO724">
        <v>1</v>
      </c>
      <c r="AP724">
        <v>0</v>
      </c>
      <c r="AQ724">
        <v>0</v>
      </c>
      <c r="AR724">
        <v>0</v>
      </c>
      <c r="AS724" t="s">
        <v>6</v>
      </c>
      <c r="AT724">
        <v>4.0000000000000002E-4</v>
      </c>
      <c r="AU724" t="s">
        <v>6</v>
      </c>
      <c r="AV724">
        <v>0</v>
      </c>
      <c r="AW724">
        <v>2</v>
      </c>
      <c r="AX724">
        <v>16632762</v>
      </c>
      <c r="AY724">
        <v>1</v>
      </c>
      <c r="AZ724">
        <v>0</v>
      </c>
      <c r="BA724">
        <v>718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Y724*Source!I343</f>
        <v>1.2E-4</v>
      </c>
      <c r="CY724">
        <f t="shared" si="130"/>
        <v>107798.47</v>
      </c>
      <c r="CZ724">
        <f t="shared" si="131"/>
        <v>15119</v>
      </c>
      <c r="DA724">
        <f t="shared" si="132"/>
        <v>7.13</v>
      </c>
      <c r="DB724">
        <f t="shared" si="133"/>
        <v>6.05</v>
      </c>
      <c r="DC724">
        <f t="shared" si="134"/>
        <v>0</v>
      </c>
    </row>
    <row r="725" spans="1:107" x14ac:dyDescent="0.2">
      <c r="A725">
        <f>ROW(Source!A343)</f>
        <v>343</v>
      </c>
      <c r="B725">
        <v>16630606</v>
      </c>
      <c r="C725">
        <v>16632733</v>
      </c>
      <c r="D725">
        <v>15204468</v>
      </c>
      <c r="E725">
        <v>1</v>
      </c>
      <c r="F725">
        <v>1</v>
      </c>
      <c r="G725">
        <v>1</v>
      </c>
      <c r="H725">
        <v>3</v>
      </c>
      <c r="I725" t="s">
        <v>1545</v>
      </c>
      <c r="J725" t="s">
        <v>1546</v>
      </c>
      <c r="K725" t="s">
        <v>1547</v>
      </c>
      <c r="L725">
        <v>1348</v>
      </c>
      <c r="N725">
        <v>1009</v>
      </c>
      <c r="O725" t="s">
        <v>98</v>
      </c>
      <c r="P725" t="s">
        <v>98</v>
      </c>
      <c r="Q725">
        <v>1000</v>
      </c>
      <c r="W725">
        <v>0</v>
      </c>
      <c r="X725">
        <v>-909021926</v>
      </c>
      <c r="Y725">
        <v>2.0000000000000001E-4</v>
      </c>
      <c r="AA725">
        <v>120853.5</v>
      </c>
      <c r="AB725">
        <v>0</v>
      </c>
      <c r="AC725">
        <v>0</v>
      </c>
      <c r="AD725">
        <v>0</v>
      </c>
      <c r="AE725">
        <v>16950</v>
      </c>
      <c r="AF725">
        <v>0</v>
      </c>
      <c r="AG725">
        <v>0</v>
      </c>
      <c r="AH725">
        <v>0</v>
      </c>
      <c r="AI725">
        <v>7.13</v>
      </c>
      <c r="AJ725">
        <v>1</v>
      </c>
      <c r="AK725">
        <v>1</v>
      </c>
      <c r="AL725">
        <v>1</v>
      </c>
      <c r="AN725">
        <v>0</v>
      </c>
      <c r="AO725">
        <v>1</v>
      </c>
      <c r="AP725">
        <v>0</v>
      </c>
      <c r="AQ725">
        <v>0</v>
      </c>
      <c r="AR725">
        <v>0</v>
      </c>
      <c r="AS725" t="s">
        <v>6</v>
      </c>
      <c r="AT725">
        <v>2.0000000000000001E-4</v>
      </c>
      <c r="AU725" t="s">
        <v>6</v>
      </c>
      <c r="AV725">
        <v>0</v>
      </c>
      <c r="AW725">
        <v>2</v>
      </c>
      <c r="AX725">
        <v>16632764</v>
      </c>
      <c r="AY725">
        <v>1</v>
      </c>
      <c r="AZ725">
        <v>0</v>
      </c>
      <c r="BA725">
        <v>720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Y725*Source!I343</f>
        <v>6.0000000000000002E-5</v>
      </c>
      <c r="CY725">
        <f t="shared" si="130"/>
        <v>120853.5</v>
      </c>
      <c r="CZ725">
        <f t="shared" si="131"/>
        <v>16950</v>
      </c>
      <c r="DA725">
        <f t="shared" si="132"/>
        <v>7.13</v>
      </c>
      <c r="DB725">
        <f t="shared" si="133"/>
        <v>3.39</v>
      </c>
      <c r="DC725">
        <f t="shared" si="134"/>
        <v>0</v>
      </c>
    </row>
    <row r="726" spans="1:107" x14ac:dyDescent="0.2">
      <c r="A726">
        <f>ROW(Source!A343)</f>
        <v>343</v>
      </c>
      <c r="B726">
        <v>16630606</v>
      </c>
      <c r="C726">
        <v>16632733</v>
      </c>
      <c r="D726">
        <v>15211333</v>
      </c>
      <c r="E726">
        <v>1</v>
      </c>
      <c r="F726">
        <v>1</v>
      </c>
      <c r="G726">
        <v>1</v>
      </c>
      <c r="H726">
        <v>3</v>
      </c>
      <c r="I726" t="s">
        <v>1623</v>
      </c>
      <c r="J726" t="s">
        <v>1624</v>
      </c>
      <c r="K726" t="s">
        <v>1625</v>
      </c>
      <c r="L726">
        <v>1354</v>
      </c>
      <c r="N726">
        <v>1010</v>
      </c>
      <c r="O726" t="s">
        <v>132</v>
      </c>
      <c r="P726" t="s">
        <v>132</v>
      </c>
      <c r="Q726">
        <v>1</v>
      </c>
      <c r="W726">
        <v>0</v>
      </c>
      <c r="X726">
        <v>-134837626</v>
      </c>
      <c r="Y726">
        <v>10</v>
      </c>
      <c r="AA726">
        <v>2570.37</v>
      </c>
      <c r="AB726">
        <v>0</v>
      </c>
      <c r="AC726">
        <v>0</v>
      </c>
      <c r="AD726">
        <v>0</v>
      </c>
      <c r="AE726">
        <v>360.5</v>
      </c>
      <c r="AF726">
        <v>0</v>
      </c>
      <c r="AG726">
        <v>0</v>
      </c>
      <c r="AH726">
        <v>0</v>
      </c>
      <c r="AI726">
        <v>7.13</v>
      </c>
      <c r="AJ726">
        <v>1</v>
      </c>
      <c r="AK726">
        <v>1</v>
      </c>
      <c r="AL726">
        <v>1</v>
      </c>
      <c r="AN726">
        <v>0</v>
      </c>
      <c r="AO726">
        <v>1</v>
      </c>
      <c r="AP726">
        <v>0</v>
      </c>
      <c r="AQ726">
        <v>0</v>
      </c>
      <c r="AR726">
        <v>0</v>
      </c>
      <c r="AS726" t="s">
        <v>6</v>
      </c>
      <c r="AT726">
        <v>10</v>
      </c>
      <c r="AU726" t="s">
        <v>6</v>
      </c>
      <c r="AV726">
        <v>0</v>
      </c>
      <c r="AW726">
        <v>2</v>
      </c>
      <c r="AX726">
        <v>16632765</v>
      </c>
      <c r="AY726">
        <v>1</v>
      </c>
      <c r="AZ726">
        <v>0</v>
      </c>
      <c r="BA726">
        <v>721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Y726*Source!I343</f>
        <v>3</v>
      </c>
      <c r="CY726">
        <f t="shared" si="130"/>
        <v>2570.37</v>
      </c>
      <c r="CZ726">
        <f t="shared" si="131"/>
        <v>360.5</v>
      </c>
      <c r="DA726">
        <f t="shared" si="132"/>
        <v>7.13</v>
      </c>
      <c r="DB726">
        <f t="shared" si="133"/>
        <v>3605</v>
      </c>
      <c r="DC726">
        <f t="shared" si="134"/>
        <v>0</v>
      </c>
    </row>
    <row r="727" spans="1:107" x14ac:dyDescent="0.2">
      <c r="A727">
        <f>ROW(Source!A343)</f>
        <v>343</v>
      </c>
      <c r="B727">
        <v>16630606</v>
      </c>
      <c r="C727">
        <v>16632733</v>
      </c>
      <c r="D727">
        <v>15211695</v>
      </c>
      <c r="E727">
        <v>1</v>
      </c>
      <c r="F727">
        <v>1</v>
      </c>
      <c r="G727">
        <v>1</v>
      </c>
      <c r="H727">
        <v>3</v>
      </c>
      <c r="I727" t="s">
        <v>960</v>
      </c>
      <c r="J727" t="s">
        <v>962</v>
      </c>
      <c r="K727" t="s">
        <v>961</v>
      </c>
      <c r="L727">
        <v>1035</v>
      </c>
      <c r="N727">
        <v>1013</v>
      </c>
      <c r="O727" t="s">
        <v>177</v>
      </c>
      <c r="P727" t="s">
        <v>177</v>
      </c>
      <c r="Q727">
        <v>1</v>
      </c>
      <c r="W727">
        <v>0</v>
      </c>
      <c r="X727">
        <v>-565867749</v>
      </c>
      <c r="Y727">
        <v>10</v>
      </c>
      <c r="AA727">
        <v>2267.34</v>
      </c>
      <c r="AB727">
        <v>0</v>
      </c>
      <c r="AC727">
        <v>0</v>
      </c>
      <c r="AD727">
        <v>0</v>
      </c>
      <c r="AE727">
        <v>318</v>
      </c>
      <c r="AF727">
        <v>0</v>
      </c>
      <c r="AG727">
        <v>0</v>
      </c>
      <c r="AH727">
        <v>0</v>
      </c>
      <c r="AI727">
        <v>7.13</v>
      </c>
      <c r="AJ727">
        <v>1</v>
      </c>
      <c r="AK727">
        <v>1</v>
      </c>
      <c r="AL727">
        <v>1</v>
      </c>
      <c r="AN727">
        <v>0</v>
      </c>
      <c r="AO727">
        <v>0</v>
      </c>
      <c r="AP727">
        <v>0</v>
      </c>
      <c r="AQ727">
        <v>0</v>
      </c>
      <c r="AR727">
        <v>0</v>
      </c>
      <c r="AS727" t="s">
        <v>6</v>
      </c>
      <c r="AT727">
        <v>10</v>
      </c>
      <c r="AU727" t="s">
        <v>6</v>
      </c>
      <c r="AV727">
        <v>0</v>
      </c>
      <c r="AW727">
        <v>1</v>
      </c>
      <c r="AX727">
        <v>-1</v>
      </c>
      <c r="AY727">
        <v>0</v>
      </c>
      <c r="AZ727">
        <v>0</v>
      </c>
      <c r="BA727" t="s">
        <v>6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Y727*Source!I343</f>
        <v>3</v>
      </c>
      <c r="CY727">
        <f t="shared" si="130"/>
        <v>2267.34</v>
      </c>
      <c r="CZ727">
        <f t="shared" si="131"/>
        <v>318</v>
      </c>
      <c r="DA727">
        <f t="shared" si="132"/>
        <v>7.13</v>
      </c>
      <c r="DB727">
        <f t="shared" si="133"/>
        <v>3180</v>
      </c>
      <c r="DC727">
        <f t="shared" si="134"/>
        <v>0</v>
      </c>
    </row>
    <row r="728" spans="1:107" x14ac:dyDescent="0.2">
      <c r="A728">
        <f>ROW(Source!A343)</f>
        <v>343</v>
      </c>
      <c r="B728">
        <v>16630606</v>
      </c>
      <c r="C728">
        <v>16632733</v>
      </c>
      <c r="D728">
        <v>15211997</v>
      </c>
      <c r="E728">
        <v>1</v>
      </c>
      <c r="F728">
        <v>1</v>
      </c>
      <c r="G728">
        <v>1</v>
      </c>
      <c r="H728">
        <v>3</v>
      </c>
      <c r="I728" t="s">
        <v>1626</v>
      </c>
      <c r="J728" t="s">
        <v>1627</v>
      </c>
      <c r="K728" t="s">
        <v>1628</v>
      </c>
      <c r="L728">
        <v>1354</v>
      </c>
      <c r="N728">
        <v>1010</v>
      </c>
      <c r="O728" t="s">
        <v>132</v>
      </c>
      <c r="P728" t="s">
        <v>132</v>
      </c>
      <c r="Q728">
        <v>1</v>
      </c>
      <c r="W728">
        <v>0</v>
      </c>
      <c r="X728">
        <v>1814100721</v>
      </c>
      <c r="Y728">
        <v>10</v>
      </c>
      <c r="AA728">
        <v>417.11</v>
      </c>
      <c r="AB728">
        <v>0</v>
      </c>
      <c r="AC728">
        <v>0</v>
      </c>
      <c r="AD728">
        <v>0</v>
      </c>
      <c r="AE728">
        <v>58.5</v>
      </c>
      <c r="AF728">
        <v>0</v>
      </c>
      <c r="AG728">
        <v>0</v>
      </c>
      <c r="AH728">
        <v>0</v>
      </c>
      <c r="AI728">
        <v>7.13</v>
      </c>
      <c r="AJ728">
        <v>1</v>
      </c>
      <c r="AK728">
        <v>1</v>
      </c>
      <c r="AL728">
        <v>1</v>
      </c>
      <c r="AN728">
        <v>0</v>
      </c>
      <c r="AO728">
        <v>1</v>
      </c>
      <c r="AP728">
        <v>0</v>
      </c>
      <c r="AQ728">
        <v>0</v>
      </c>
      <c r="AR728">
        <v>0</v>
      </c>
      <c r="AS728" t="s">
        <v>6</v>
      </c>
      <c r="AT728">
        <v>10</v>
      </c>
      <c r="AU728" t="s">
        <v>6</v>
      </c>
      <c r="AV728">
        <v>0</v>
      </c>
      <c r="AW728">
        <v>2</v>
      </c>
      <c r="AX728">
        <v>16632766</v>
      </c>
      <c r="AY728">
        <v>1</v>
      </c>
      <c r="AZ728">
        <v>0</v>
      </c>
      <c r="BA728">
        <v>722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Y728*Source!I343</f>
        <v>3</v>
      </c>
      <c r="CY728">
        <f t="shared" si="130"/>
        <v>417.11</v>
      </c>
      <c r="CZ728">
        <f t="shared" si="131"/>
        <v>58.5</v>
      </c>
      <c r="DA728">
        <f t="shared" si="132"/>
        <v>7.13</v>
      </c>
      <c r="DB728">
        <f t="shared" si="133"/>
        <v>585</v>
      </c>
      <c r="DC728">
        <f t="shared" si="134"/>
        <v>0</v>
      </c>
    </row>
    <row r="729" spans="1:107" x14ac:dyDescent="0.2">
      <c r="A729">
        <f>ROW(Source!A347)</f>
        <v>347</v>
      </c>
      <c r="B729">
        <v>16630606</v>
      </c>
      <c r="C729">
        <v>16632771</v>
      </c>
      <c r="D729">
        <v>15436556</v>
      </c>
      <c r="E729">
        <v>1</v>
      </c>
      <c r="F729">
        <v>1</v>
      </c>
      <c r="G729">
        <v>1</v>
      </c>
      <c r="H729">
        <v>1</v>
      </c>
      <c r="I729" t="s">
        <v>1354</v>
      </c>
      <c r="J729" t="s">
        <v>6</v>
      </c>
      <c r="K729" t="s">
        <v>1355</v>
      </c>
      <c r="L729">
        <v>1191</v>
      </c>
      <c r="N729">
        <v>1013</v>
      </c>
      <c r="O729" t="s">
        <v>1148</v>
      </c>
      <c r="P729" t="s">
        <v>1148</v>
      </c>
      <c r="Q729">
        <v>1</v>
      </c>
      <c r="W729">
        <v>0</v>
      </c>
      <c r="X729">
        <v>1069510174</v>
      </c>
      <c r="Y729">
        <v>19.917999999999999</v>
      </c>
      <c r="AA729">
        <v>0</v>
      </c>
      <c r="AB729">
        <v>0</v>
      </c>
      <c r="AC729">
        <v>0</v>
      </c>
      <c r="AD729">
        <v>68.59</v>
      </c>
      <c r="AE729">
        <v>0</v>
      </c>
      <c r="AF729">
        <v>0</v>
      </c>
      <c r="AG729">
        <v>0</v>
      </c>
      <c r="AH729">
        <v>9.6199999999999992</v>
      </c>
      <c r="AI729">
        <v>1</v>
      </c>
      <c r="AJ729">
        <v>1</v>
      </c>
      <c r="AK729">
        <v>1</v>
      </c>
      <c r="AL729">
        <v>7.13</v>
      </c>
      <c r="AN729">
        <v>0</v>
      </c>
      <c r="AO729">
        <v>1</v>
      </c>
      <c r="AP729">
        <v>1</v>
      </c>
      <c r="AQ729">
        <v>0</v>
      </c>
      <c r="AR729">
        <v>0</v>
      </c>
      <c r="AS729" t="s">
        <v>6</v>
      </c>
      <c r="AT729">
        <v>17.32</v>
      </c>
      <c r="AU729" t="s">
        <v>82</v>
      </c>
      <c r="AV729">
        <v>1</v>
      </c>
      <c r="AW729">
        <v>2</v>
      </c>
      <c r="AX729">
        <v>16632781</v>
      </c>
      <c r="AY729">
        <v>1</v>
      </c>
      <c r="AZ729">
        <v>0</v>
      </c>
      <c r="BA729">
        <v>724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Y729*Source!I347</f>
        <v>5.9753999999999996</v>
      </c>
      <c r="CY729">
        <f>AD729</f>
        <v>68.59</v>
      </c>
      <c r="CZ729">
        <f>AH729</f>
        <v>9.6199999999999992</v>
      </c>
      <c r="DA729">
        <f>AL729</f>
        <v>7.13</v>
      </c>
      <c r="DB729">
        <f>ROUND((ROUND(AT729*CZ729,2)*1.15),2)</f>
        <v>191.61</v>
      </c>
      <c r="DC729">
        <f>ROUND((ROUND(AT729*AG729,2)*1.15),2)</f>
        <v>0</v>
      </c>
    </row>
    <row r="730" spans="1:107" x14ac:dyDescent="0.2">
      <c r="A730">
        <f>ROW(Source!A347)</f>
        <v>347</v>
      </c>
      <c r="B730">
        <v>16630606</v>
      </c>
      <c r="C730">
        <v>16632771</v>
      </c>
      <c r="D730">
        <v>15430395</v>
      </c>
      <c r="E730">
        <v>1</v>
      </c>
      <c r="F730">
        <v>1</v>
      </c>
      <c r="G730">
        <v>1</v>
      </c>
      <c r="H730">
        <v>1</v>
      </c>
      <c r="I730" t="s">
        <v>1149</v>
      </c>
      <c r="J730" t="s">
        <v>6</v>
      </c>
      <c r="K730" t="s">
        <v>1150</v>
      </c>
      <c r="L730">
        <v>1191</v>
      </c>
      <c r="N730">
        <v>1013</v>
      </c>
      <c r="O730" t="s">
        <v>1148</v>
      </c>
      <c r="P730" t="s">
        <v>1148</v>
      </c>
      <c r="Q730">
        <v>1</v>
      </c>
      <c r="W730">
        <v>0</v>
      </c>
      <c r="X730">
        <v>-1417349443</v>
      </c>
      <c r="Y730">
        <v>0.27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1</v>
      </c>
      <c r="AJ730">
        <v>1</v>
      </c>
      <c r="AK730">
        <v>7.13</v>
      </c>
      <c r="AL730">
        <v>1</v>
      </c>
      <c r="AN730">
        <v>0</v>
      </c>
      <c r="AO730">
        <v>1</v>
      </c>
      <c r="AP730">
        <v>0</v>
      </c>
      <c r="AQ730">
        <v>0</v>
      </c>
      <c r="AR730">
        <v>0</v>
      </c>
      <c r="AS730" t="s">
        <v>6</v>
      </c>
      <c r="AT730">
        <v>0.27</v>
      </c>
      <c r="AU730" t="s">
        <v>6</v>
      </c>
      <c r="AV730">
        <v>2</v>
      </c>
      <c r="AW730">
        <v>2</v>
      </c>
      <c r="AX730">
        <v>16632782</v>
      </c>
      <c r="AY730">
        <v>1</v>
      </c>
      <c r="AZ730">
        <v>2048</v>
      </c>
      <c r="BA730">
        <v>725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Y730*Source!I347</f>
        <v>8.1000000000000003E-2</v>
      </c>
      <c r="CY730">
        <f>AD730</f>
        <v>0</v>
      </c>
      <c r="CZ730">
        <f>AH730</f>
        <v>0</v>
      </c>
      <c r="DA730">
        <f>AL730</f>
        <v>1</v>
      </c>
      <c r="DB730">
        <f>ROUND(ROUND(AT730*CZ730,2),2)</f>
        <v>0</v>
      </c>
      <c r="DC730">
        <f>ROUND(ROUND(AT730*AG730,2),2)</f>
        <v>0</v>
      </c>
    </row>
    <row r="731" spans="1:107" x14ac:dyDescent="0.2">
      <c r="A731">
        <f>ROW(Source!A347)</f>
        <v>347</v>
      </c>
      <c r="B731">
        <v>16630606</v>
      </c>
      <c r="C731">
        <v>16632771</v>
      </c>
      <c r="D731">
        <v>15247974</v>
      </c>
      <c r="E731">
        <v>1</v>
      </c>
      <c r="F731">
        <v>1</v>
      </c>
      <c r="G731">
        <v>1</v>
      </c>
      <c r="H731">
        <v>2</v>
      </c>
      <c r="I731" t="s">
        <v>1151</v>
      </c>
      <c r="J731" t="s">
        <v>1152</v>
      </c>
      <c r="K731" t="s">
        <v>1153</v>
      </c>
      <c r="L731">
        <v>1368</v>
      </c>
      <c r="N731">
        <v>1011</v>
      </c>
      <c r="O731" t="s">
        <v>1154</v>
      </c>
      <c r="P731" t="s">
        <v>1154</v>
      </c>
      <c r="Q731">
        <v>1</v>
      </c>
      <c r="W731">
        <v>0</v>
      </c>
      <c r="X731">
        <v>1188625873</v>
      </c>
      <c r="Y731">
        <v>0.16250000000000001</v>
      </c>
      <c r="AA731">
        <v>0</v>
      </c>
      <c r="AB731">
        <v>222.88</v>
      </c>
      <c r="AC731">
        <v>13.5</v>
      </c>
      <c r="AD731">
        <v>0</v>
      </c>
      <c r="AE731">
        <v>0</v>
      </c>
      <c r="AF731">
        <v>31.26</v>
      </c>
      <c r="AG731">
        <v>13.5</v>
      </c>
      <c r="AH731">
        <v>0</v>
      </c>
      <c r="AI731">
        <v>1</v>
      </c>
      <c r="AJ731">
        <v>7.13</v>
      </c>
      <c r="AK731">
        <v>1</v>
      </c>
      <c r="AL731">
        <v>1</v>
      </c>
      <c r="AN731">
        <v>0</v>
      </c>
      <c r="AO731">
        <v>1</v>
      </c>
      <c r="AP731">
        <v>1</v>
      </c>
      <c r="AQ731">
        <v>0</v>
      </c>
      <c r="AR731">
        <v>0</v>
      </c>
      <c r="AS731" t="s">
        <v>6</v>
      </c>
      <c r="AT731">
        <v>0.13</v>
      </c>
      <c r="AU731" t="s">
        <v>81</v>
      </c>
      <c r="AV731">
        <v>0</v>
      </c>
      <c r="AW731">
        <v>2</v>
      </c>
      <c r="AX731">
        <v>16632783</v>
      </c>
      <c r="AY731">
        <v>1</v>
      </c>
      <c r="AZ731">
        <v>0</v>
      </c>
      <c r="BA731">
        <v>726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Y731*Source!I347</f>
        <v>4.8750000000000002E-2</v>
      </c>
      <c r="CY731">
        <f>AB731</f>
        <v>222.88</v>
      </c>
      <c r="CZ731">
        <f>AF731</f>
        <v>31.26</v>
      </c>
      <c r="DA731">
        <f>AJ731</f>
        <v>7.13</v>
      </c>
      <c r="DB731">
        <f>ROUND((ROUND(AT731*CZ731,2)*1.25),2)</f>
        <v>5.08</v>
      </c>
      <c r="DC731">
        <f>ROUND((ROUND(AT731*AG731,2)*1.25),2)</f>
        <v>2.2000000000000002</v>
      </c>
    </row>
    <row r="732" spans="1:107" x14ac:dyDescent="0.2">
      <c r="A732">
        <f>ROW(Source!A347)</f>
        <v>347</v>
      </c>
      <c r="B732">
        <v>16630606</v>
      </c>
      <c r="C732">
        <v>16632771</v>
      </c>
      <c r="D732">
        <v>15249073</v>
      </c>
      <c r="E732">
        <v>1</v>
      </c>
      <c r="F732">
        <v>1</v>
      </c>
      <c r="G732">
        <v>1</v>
      </c>
      <c r="H732">
        <v>2</v>
      </c>
      <c r="I732" t="s">
        <v>1157</v>
      </c>
      <c r="J732" t="s">
        <v>1158</v>
      </c>
      <c r="K732" t="s">
        <v>1159</v>
      </c>
      <c r="L732">
        <v>1368</v>
      </c>
      <c r="N732">
        <v>1011</v>
      </c>
      <c r="O732" t="s">
        <v>1154</v>
      </c>
      <c r="P732" t="s">
        <v>1154</v>
      </c>
      <c r="Q732">
        <v>1</v>
      </c>
      <c r="W732">
        <v>0</v>
      </c>
      <c r="X732">
        <v>1372534845</v>
      </c>
      <c r="Y732">
        <v>0.17500000000000002</v>
      </c>
      <c r="AA732">
        <v>0</v>
      </c>
      <c r="AB732">
        <v>468.51</v>
      </c>
      <c r="AC732">
        <v>11.6</v>
      </c>
      <c r="AD732">
        <v>0</v>
      </c>
      <c r="AE732">
        <v>0</v>
      </c>
      <c r="AF732">
        <v>65.709999999999994</v>
      </c>
      <c r="AG732">
        <v>11.6</v>
      </c>
      <c r="AH732">
        <v>0</v>
      </c>
      <c r="AI732">
        <v>1</v>
      </c>
      <c r="AJ732">
        <v>7.13</v>
      </c>
      <c r="AK732">
        <v>1</v>
      </c>
      <c r="AL732">
        <v>1</v>
      </c>
      <c r="AN732">
        <v>0</v>
      </c>
      <c r="AO732">
        <v>1</v>
      </c>
      <c r="AP732">
        <v>1</v>
      </c>
      <c r="AQ732">
        <v>0</v>
      </c>
      <c r="AR732">
        <v>0</v>
      </c>
      <c r="AS732" t="s">
        <v>6</v>
      </c>
      <c r="AT732">
        <v>0.14000000000000001</v>
      </c>
      <c r="AU732" t="s">
        <v>81</v>
      </c>
      <c r="AV732">
        <v>0</v>
      </c>
      <c r="AW732">
        <v>2</v>
      </c>
      <c r="AX732">
        <v>16632784</v>
      </c>
      <c r="AY732">
        <v>1</v>
      </c>
      <c r="AZ732">
        <v>0</v>
      </c>
      <c r="BA732">
        <v>727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Y732*Source!I347</f>
        <v>5.2500000000000005E-2</v>
      </c>
      <c r="CY732">
        <f>AB732</f>
        <v>468.51</v>
      </c>
      <c r="CZ732">
        <f>AF732</f>
        <v>65.709999999999994</v>
      </c>
      <c r="DA732">
        <f>AJ732</f>
        <v>7.13</v>
      </c>
      <c r="DB732">
        <f>ROUND((ROUND(AT732*CZ732,2)*1.25),2)</f>
        <v>11.5</v>
      </c>
      <c r="DC732">
        <f>ROUND((ROUND(AT732*AG732,2)*1.25),2)</f>
        <v>2.0299999999999998</v>
      </c>
    </row>
    <row r="733" spans="1:107" x14ac:dyDescent="0.2">
      <c r="A733">
        <f>ROW(Source!A347)</f>
        <v>347</v>
      </c>
      <c r="B733">
        <v>16630606</v>
      </c>
      <c r="C733">
        <v>16632771</v>
      </c>
      <c r="D733">
        <v>15167955</v>
      </c>
      <c r="E733">
        <v>1</v>
      </c>
      <c r="F733">
        <v>1</v>
      </c>
      <c r="G733">
        <v>1</v>
      </c>
      <c r="H733">
        <v>3</v>
      </c>
      <c r="I733" t="s">
        <v>1596</v>
      </c>
      <c r="J733" t="s">
        <v>1597</v>
      </c>
      <c r="K733" t="s">
        <v>1598</v>
      </c>
      <c r="L733">
        <v>1348</v>
      </c>
      <c r="N733">
        <v>1009</v>
      </c>
      <c r="O733" t="s">
        <v>98</v>
      </c>
      <c r="P733" t="s">
        <v>98</v>
      </c>
      <c r="Q733">
        <v>1000</v>
      </c>
      <c r="W733">
        <v>0</v>
      </c>
      <c r="X733">
        <v>-1699345571</v>
      </c>
      <c r="Y733">
        <v>1.4E-3</v>
      </c>
      <c r="AA733">
        <v>214113.9</v>
      </c>
      <c r="AB733">
        <v>0</v>
      </c>
      <c r="AC733">
        <v>0</v>
      </c>
      <c r="AD733">
        <v>0</v>
      </c>
      <c r="AE733">
        <v>30030</v>
      </c>
      <c r="AF733">
        <v>0</v>
      </c>
      <c r="AG733">
        <v>0</v>
      </c>
      <c r="AH733">
        <v>0</v>
      </c>
      <c r="AI733">
        <v>7.13</v>
      </c>
      <c r="AJ733">
        <v>1</v>
      </c>
      <c r="AK733">
        <v>1</v>
      </c>
      <c r="AL733">
        <v>1</v>
      </c>
      <c r="AN733">
        <v>0</v>
      </c>
      <c r="AO733">
        <v>1</v>
      </c>
      <c r="AP733">
        <v>0</v>
      </c>
      <c r="AQ733">
        <v>0</v>
      </c>
      <c r="AR733">
        <v>0</v>
      </c>
      <c r="AS733" t="s">
        <v>6</v>
      </c>
      <c r="AT733">
        <v>1.4E-3</v>
      </c>
      <c r="AU733" t="s">
        <v>6</v>
      </c>
      <c r="AV733">
        <v>0</v>
      </c>
      <c r="AW733">
        <v>2</v>
      </c>
      <c r="AX733">
        <v>16632785</v>
      </c>
      <c r="AY733">
        <v>1</v>
      </c>
      <c r="AZ733">
        <v>0</v>
      </c>
      <c r="BA733">
        <v>728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Y733*Source!I347</f>
        <v>4.1999999999999996E-4</v>
      </c>
      <c r="CY733">
        <f>AA733</f>
        <v>214113.9</v>
      </c>
      <c r="CZ733">
        <f>AE733</f>
        <v>30030</v>
      </c>
      <c r="DA733">
        <f>AI733</f>
        <v>7.13</v>
      </c>
      <c r="DB733">
        <f>ROUND(ROUND(AT733*CZ733,2),2)</f>
        <v>42.04</v>
      </c>
      <c r="DC733">
        <f>ROUND(ROUND(AT733*AG733,2),2)</f>
        <v>0</v>
      </c>
    </row>
    <row r="734" spans="1:107" x14ac:dyDescent="0.2">
      <c r="A734">
        <f>ROW(Source!A347)</f>
        <v>347</v>
      </c>
      <c r="B734">
        <v>16630606</v>
      </c>
      <c r="C734">
        <v>16632771</v>
      </c>
      <c r="D734">
        <v>15167963</v>
      </c>
      <c r="E734">
        <v>1</v>
      </c>
      <c r="F734">
        <v>1</v>
      </c>
      <c r="G734">
        <v>1</v>
      </c>
      <c r="H734">
        <v>3</v>
      </c>
      <c r="I734" t="s">
        <v>1533</v>
      </c>
      <c r="J734" t="s">
        <v>1534</v>
      </c>
      <c r="K734" t="s">
        <v>1535</v>
      </c>
      <c r="L734">
        <v>1346</v>
      </c>
      <c r="N734">
        <v>1009</v>
      </c>
      <c r="O734" t="s">
        <v>102</v>
      </c>
      <c r="P734" t="s">
        <v>102</v>
      </c>
      <c r="Q734">
        <v>1</v>
      </c>
      <c r="W734">
        <v>0</v>
      </c>
      <c r="X734">
        <v>-490687590</v>
      </c>
      <c r="Y734">
        <v>0.13</v>
      </c>
      <c r="AA734">
        <v>265.88</v>
      </c>
      <c r="AB734">
        <v>0</v>
      </c>
      <c r="AC734">
        <v>0</v>
      </c>
      <c r="AD734">
        <v>0</v>
      </c>
      <c r="AE734">
        <v>37.29</v>
      </c>
      <c r="AF734">
        <v>0</v>
      </c>
      <c r="AG734">
        <v>0</v>
      </c>
      <c r="AH734">
        <v>0</v>
      </c>
      <c r="AI734">
        <v>7.13</v>
      </c>
      <c r="AJ734">
        <v>1</v>
      </c>
      <c r="AK734">
        <v>1</v>
      </c>
      <c r="AL734">
        <v>1</v>
      </c>
      <c r="AN734">
        <v>0</v>
      </c>
      <c r="AO734">
        <v>1</v>
      </c>
      <c r="AP734">
        <v>0</v>
      </c>
      <c r="AQ734">
        <v>0</v>
      </c>
      <c r="AR734">
        <v>0</v>
      </c>
      <c r="AS734" t="s">
        <v>6</v>
      </c>
      <c r="AT734">
        <v>0.13</v>
      </c>
      <c r="AU734" t="s">
        <v>6</v>
      </c>
      <c r="AV734">
        <v>0</v>
      </c>
      <c r="AW734">
        <v>2</v>
      </c>
      <c r="AX734">
        <v>16632786</v>
      </c>
      <c r="AY734">
        <v>1</v>
      </c>
      <c r="AZ734">
        <v>0</v>
      </c>
      <c r="BA734">
        <v>729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Y734*Source!I347</f>
        <v>3.9E-2</v>
      </c>
      <c r="CY734">
        <f>AA734</f>
        <v>265.88</v>
      </c>
      <c r="CZ734">
        <f>AE734</f>
        <v>37.29</v>
      </c>
      <c r="DA734">
        <f>AI734</f>
        <v>7.13</v>
      </c>
      <c r="DB734">
        <f>ROUND(ROUND(AT734*CZ734,2),2)</f>
        <v>4.8499999999999996</v>
      </c>
      <c r="DC734">
        <f>ROUND(ROUND(AT734*AG734,2),2)</f>
        <v>0</v>
      </c>
    </row>
    <row r="735" spans="1:107" x14ac:dyDescent="0.2">
      <c r="A735">
        <f>ROW(Source!A347)</f>
        <v>347</v>
      </c>
      <c r="B735">
        <v>16630606</v>
      </c>
      <c r="C735">
        <v>16632771</v>
      </c>
      <c r="D735">
        <v>15203740</v>
      </c>
      <c r="E735">
        <v>1</v>
      </c>
      <c r="F735">
        <v>1</v>
      </c>
      <c r="G735">
        <v>1</v>
      </c>
      <c r="H735">
        <v>3</v>
      </c>
      <c r="I735" t="s">
        <v>1542</v>
      </c>
      <c r="J735" t="s">
        <v>1543</v>
      </c>
      <c r="K735" t="s">
        <v>1544</v>
      </c>
      <c r="L735">
        <v>1348</v>
      </c>
      <c r="N735">
        <v>1009</v>
      </c>
      <c r="O735" t="s">
        <v>98</v>
      </c>
      <c r="P735" t="s">
        <v>98</v>
      </c>
      <c r="Q735">
        <v>1000</v>
      </c>
      <c r="W735">
        <v>0</v>
      </c>
      <c r="X735">
        <v>570223526</v>
      </c>
      <c r="Y735">
        <v>2.7E-4</v>
      </c>
      <c r="AA735">
        <v>107798.47</v>
      </c>
      <c r="AB735">
        <v>0</v>
      </c>
      <c r="AC735">
        <v>0</v>
      </c>
      <c r="AD735">
        <v>0</v>
      </c>
      <c r="AE735">
        <v>15119</v>
      </c>
      <c r="AF735">
        <v>0</v>
      </c>
      <c r="AG735">
        <v>0</v>
      </c>
      <c r="AH735">
        <v>0</v>
      </c>
      <c r="AI735">
        <v>7.13</v>
      </c>
      <c r="AJ735">
        <v>1</v>
      </c>
      <c r="AK735">
        <v>1</v>
      </c>
      <c r="AL735">
        <v>1</v>
      </c>
      <c r="AN735">
        <v>0</v>
      </c>
      <c r="AO735">
        <v>1</v>
      </c>
      <c r="AP735">
        <v>0</v>
      </c>
      <c r="AQ735">
        <v>0</v>
      </c>
      <c r="AR735">
        <v>0</v>
      </c>
      <c r="AS735" t="s">
        <v>6</v>
      </c>
      <c r="AT735">
        <v>2.7E-4</v>
      </c>
      <c r="AU735" t="s">
        <v>6</v>
      </c>
      <c r="AV735">
        <v>0</v>
      </c>
      <c r="AW735">
        <v>2</v>
      </c>
      <c r="AX735">
        <v>16632790</v>
      </c>
      <c r="AY735">
        <v>1</v>
      </c>
      <c r="AZ735">
        <v>0</v>
      </c>
      <c r="BA735">
        <v>733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Y735*Source!I347</f>
        <v>8.1000000000000004E-5</v>
      </c>
      <c r="CY735">
        <f>AA735</f>
        <v>107798.47</v>
      </c>
      <c r="CZ735">
        <f>AE735</f>
        <v>15119</v>
      </c>
      <c r="DA735">
        <f>AI735</f>
        <v>7.13</v>
      </c>
      <c r="DB735">
        <f>ROUND(ROUND(AT735*CZ735,2),2)</f>
        <v>4.08</v>
      </c>
      <c r="DC735">
        <f>ROUND(ROUND(AT735*AG735,2),2)</f>
        <v>0</v>
      </c>
    </row>
    <row r="736" spans="1:107" x14ac:dyDescent="0.2">
      <c r="A736">
        <f>ROW(Source!A347)</f>
        <v>347</v>
      </c>
      <c r="B736">
        <v>16630606</v>
      </c>
      <c r="C736">
        <v>16632771</v>
      </c>
      <c r="D736">
        <v>15204468</v>
      </c>
      <c r="E736">
        <v>1</v>
      </c>
      <c r="F736">
        <v>1</v>
      </c>
      <c r="G736">
        <v>1</v>
      </c>
      <c r="H736">
        <v>3</v>
      </c>
      <c r="I736" t="s">
        <v>1545</v>
      </c>
      <c r="J736" t="s">
        <v>1546</v>
      </c>
      <c r="K736" t="s">
        <v>1547</v>
      </c>
      <c r="L736">
        <v>1348</v>
      </c>
      <c r="N736">
        <v>1009</v>
      </c>
      <c r="O736" t="s">
        <v>98</v>
      </c>
      <c r="P736" t="s">
        <v>98</v>
      </c>
      <c r="Q736">
        <v>1000</v>
      </c>
      <c r="W736">
        <v>0</v>
      </c>
      <c r="X736">
        <v>-909021926</v>
      </c>
      <c r="Y736">
        <v>1.2999999999999999E-4</v>
      </c>
      <c r="AA736">
        <v>120853.5</v>
      </c>
      <c r="AB736">
        <v>0</v>
      </c>
      <c r="AC736">
        <v>0</v>
      </c>
      <c r="AD736">
        <v>0</v>
      </c>
      <c r="AE736">
        <v>16950</v>
      </c>
      <c r="AF736">
        <v>0</v>
      </c>
      <c r="AG736">
        <v>0</v>
      </c>
      <c r="AH736">
        <v>0</v>
      </c>
      <c r="AI736">
        <v>7.13</v>
      </c>
      <c r="AJ736">
        <v>1</v>
      </c>
      <c r="AK736">
        <v>1</v>
      </c>
      <c r="AL736">
        <v>1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6</v>
      </c>
      <c r="AT736">
        <v>1.2999999999999999E-4</v>
      </c>
      <c r="AU736" t="s">
        <v>6</v>
      </c>
      <c r="AV736">
        <v>0</v>
      </c>
      <c r="AW736">
        <v>2</v>
      </c>
      <c r="AX736">
        <v>16632792</v>
      </c>
      <c r="AY736">
        <v>1</v>
      </c>
      <c r="AZ736">
        <v>0</v>
      </c>
      <c r="BA736">
        <v>735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Y736*Source!I347</f>
        <v>3.8999999999999993E-5</v>
      </c>
      <c r="CY736">
        <f>AA736</f>
        <v>120853.5</v>
      </c>
      <c r="CZ736">
        <f>AE736</f>
        <v>16950</v>
      </c>
      <c r="DA736">
        <f>AI736</f>
        <v>7.13</v>
      </c>
      <c r="DB736">
        <f>ROUND(ROUND(AT736*CZ736,2),2)</f>
        <v>2.2000000000000002</v>
      </c>
      <c r="DC736">
        <f>ROUND(ROUND(AT736*AG736,2),2)</f>
        <v>0</v>
      </c>
    </row>
    <row r="737" spans="1:107" x14ac:dyDescent="0.2">
      <c r="A737">
        <f>ROW(Source!A347)</f>
        <v>347</v>
      </c>
      <c r="B737">
        <v>16630606</v>
      </c>
      <c r="C737">
        <v>16632771</v>
      </c>
      <c r="D737">
        <v>15211742</v>
      </c>
      <c r="E737">
        <v>1</v>
      </c>
      <c r="F737">
        <v>1</v>
      </c>
      <c r="G737">
        <v>1</v>
      </c>
      <c r="H737">
        <v>3</v>
      </c>
      <c r="I737" t="s">
        <v>968</v>
      </c>
      <c r="J737" t="s">
        <v>970</v>
      </c>
      <c r="K737" t="s">
        <v>969</v>
      </c>
      <c r="L737">
        <v>1035</v>
      </c>
      <c r="N737">
        <v>1013</v>
      </c>
      <c r="O737" t="s">
        <v>177</v>
      </c>
      <c r="P737" t="s">
        <v>177</v>
      </c>
      <c r="Q737">
        <v>1</v>
      </c>
      <c r="W737">
        <v>0</v>
      </c>
      <c r="X737">
        <v>-1135544732</v>
      </c>
      <c r="Y737">
        <v>10</v>
      </c>
      <c r="AA737">
        <v>1996.4</v>
      </c>
      <c r="AB737">
        <v>0</v>
      </c>
      <c r="AC737">
        <v>0</v>
      </c>
      <c r="AD737">
        <v>0</v>
      </c>
      <c r="AE737">
        <v>280</v>
      </c>
      <c r="AF737">
        <v>0</v>
      </c>
      <c r="AG737">
        <v>0</v>
      </c>
      <c r="AH737">
        <v>0</v>
      </c>
      <c r="AI737">
        <v>7.13</v>
      </c>
      <c r="AJ737">
        <v>1</v>
      </c>
      <c r="AK737">
        <v>1</v>
      </c>
      <c r="AL737">
        <v>1</v>
      </c>
      <c r="AN737">
        <v>0</v>
      </c>
      <c r="AO737">
        <v>0</v>
      </c>
      <c r="AP737">
        <v>0</v>
      </c>
      <c r="AQ737">
        <v>0</v>
      </c>
      <c r="AR737">
        <v>0</v>
      </c>
      <c r="AS737" t="s">
        <v>6</v>
      </c>
      <c r="AT737">
        <v>10</v>
      </c>
      <c r="AU737" t="s">
        <v>6</v>
      </c>
      <c r="AV737">
        <v>0</v>
      </c>
      <c r="AW737">
        <v>1</v>
      </c>
      <c r="AX737">
        <v>-1</v>
      </c>
      <c r="AY737">
        <v>0</v>
      </c>
      <c r="AZ737">
        <v>0</v>
      </c>
      <c r="BA737" t="s">
        <v>6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Y737*Source!I347</f>
        <v>3</v>
      </c>
      <c r="CY737">
        <f>AA737</f>
        <v>1996.4</v>
      </c>
      <c r="CZ737">
        <f>AE737</f>
        <v>280</v>
      </c>
      <c r="DA737">
        <f>AI737</f>
        <v>7.13</v>
      </c>
      <c r="DB737">
        <f>ROUND(ROUND(AT737*CZ737,2),2)</f>
        <v>2800</v>
      </c>
      <c r="DC737">
        <f>ROUND(ROUND(AT737*AG737,2),2)</f>
        <v>0</v>
      </c>
    </row>
    <row r="738" spans="1:107" x14ac:dyDescent="0.2">
      <c r="A738">
        <f>ROW(Source!A349)</f>
        <v>349</v>
      </c>
      <c r="B738">
        <v>16630606</v>
      </c>
      <c r="C738">
        <v>16632795</v>
      </c>
      <c r="D738">
        <v>15436556</v>
      </c>
      <c r="E738">
        <v>1</v>
      </c>
      <c r="F738">
        <v>1</v>
      </c>
      <c r="G738">
        <v>1</v>
      </c>
      <c r="H738">
        <v>1</v>
      </c>
      <c r="I738" t="s">
        <v>1354</v>
      </c>
      <c r="J738" t="s">
        <v>6</v>
      </c>
      <c r="K738" t="s">
        <v>1355</v>
      </c>
      <c r="L738">
        <v>1191</v>
      </c>
      <c r="N738">
        <v>1013</v>
      </c>
      <c r="O738" t="s">
        <v>1148</v>
      </c>
      <c r="P738" t="s">
        <v>1148</v>
      </c>
      <c r="Q738">
        <v>1</v>
      </c>
      <c r="W738">
        <v>0</v>
      </c>
      <c r="X738">
        <v>1069510174</v>
      </c>
      <c r="Y738">
        <v>10.3385</v>
      </c>
      <c r="AA738">
        <v>0</v>
      </c>
      <c r="AB738">
        <v>0</v>
      </c>
      <c r="AC738">
        <v>0</v>
      </c>
      <c r="AD738">
        <v>68.59</v>
      </c>
      <c r="AE738">
        <v>0</v>
      </c>
      <c r="AF738">
        <v>0</v>
      </c>
      <c r="AG738">
        <v>0</v>
      </c>
      <c r="AH738">
        <v>9.6199999999999992</v>
      </c>
      <c r="AI738">
        <v>1</v>
      </c>
      <c r="AJ738">
        <v>1</v>
      </c>
      <c r="AK738">
        <v>1</v>
      </c>
      <c r="AL738">
        <v>7.13</v>
      </c>
      <c r="AN738">
        <v>0</v>
      </c>
      <c r="AO738">
        <v>1</v>
      </c>
      <c r="AP738">
        <v>1</v>
      </c>
      <c r="AQ738">
        <v>0</v>
      </c>
      <c r="AR738">
        <v>0</v>
      </c>
      <c r="AS738" t="s">
        <v>6</v>
      </c>
      <c r="AT738">
        <v>8.99</v>
      </c>
      <c r="AU738" t="s">
        <v>82</v>
      </c>
      <c r="AV738">
        <v>1</v>
      </c>
      <c r="AW738">
        <v>2</v>
      </c>
      <c r="AX738">
        <v>16632807</v>
      </c>
      <c r="AY738">
        <v>1</v>
      </c>
      <c r="AZ738">
        <v>0</v>
      </c>
      <c r="BA738">
        <v>737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Y738*Source!I349</f>
        <v>5.1692499999999999</v>
      </c>
      <c r="CY738">
        <f>AD738</f>
        <v>68.59</v>
      </c>
      <c r="CZ738">
        <f>AH738</f>
        <v>9.6199999999999992</v>
      </c>
      <c r="DA738">
        <f>AL738</f>
        <v>7.13</v>
      </c>
      <c r="DB738">
        <f>ROUND((ROUND(AT738*CZ738,2)*1.15),2)</f>
        <v>99.45</v>
      </c>
      <c r="DC738">
        <f>ROUND((ROUND(AT738*AG738,2)*1.15),2)</f>
        <v>0</v>
      </c>
    </row>
    <row r="739" spans="1:107" x14ac:dyDescent="0.2">
      <c r="A739">
        <f>ROW(Source!A349)</f>
        <v>349</v>
      </c>
      <c r="B739">
        <v>16630606</v>
      </c>
      <c r="C739">
        <v>16632795</v>
      </c>
      <c r="D739">
        <v>15430395</v>
      </c>
      <c r="E739">
        <v>1</v>
      </c>
      <c r="F739">
        <v>1</v>
      </c>
      <c r="G739">
        <v>1</v>
      </c>
      <c r="H739">
        <v>1</v>
      </c>
      <c r="I739" t="s">
        <v>1149</v>
      </c>
      <c r="J739" t="s">
        <v>6</v>
      </c>
      <c r="K739" t="s">
        <v>1150</v>
      </c>
      <c r="L739">
        <v>1191</v>
      </c>
      <c r="N739">
        <v>1013</v>
      </c>
      <c r="O739" t="s">
        <v>1148</v>
      </c>
      <c r="P739" t="s">
        <v>1148</v>
      </c>
      <c r="Q739">
        <v>1</v>
      </c>
      <c r="W739">
        <v>0</v>
      </c>
      <c r="X739">
        <v>-1417349443</v>
      </c>
      <c r="Y739">
        <v>0.21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1</v>
      </c>
      <c r="AJ739">
        <v>1</v>
      </c>
      <c r="AK739">
        <v>7.13</v>
      </c>
      <c r="AL739">
        <v>1</v>
      </c>
      <c r="AN739">
        <v>0</v>
      </c>
      <c r="AO739">
        <v>1</v>
      </c>
      <c r="AP739">
        <v>0</v>
      </c>
      <c r="AQ739">
        <v>0</v>
      </c>
      <c r="AR739">
        <v>0</v>
      </c>
      <c r="AS739" t="s">
        <v>6</v>
      </c>
      <c r="AT739">
        <v>0.21</v>
      </c>
      <c r="AU739" t="s">
        <v>6</v>
      </c>
      <c r="AV739">
        <v>2</v>
      </c>
      <c r="AW739">
        <v>2</v>
      </c>
      <c r="AX739">
        <v>16632808</v>
      </c>
      <c r="AY739">
        <v>1</v>
      </c>
      <c r="AZ739">
        <v>2048</v>
      </c>
      <c r="BA739">
        <v>738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Y739*Source!I349</f>
        <v>0.105</v>
      </c>
      <c r="CY739">
        <f>AD739</f>
        <v>0</v>
      </c>
      <c r="CZ739">
        <f>AH739</f>
        <v>0</v>
      </c>
      <c r="DA739">
        <f>AL739</f>
        <v>1</v>
      </c>
      <c r="DB739">
        <f>ROUND(ROUND(AT739*CZ739,2),2)</f>
        <v>0</v>
      </c>
      <c r="DC739">
        <f>ROUND(ROUND(AT739*AG739,2),2)</f>
        <v>0</v>
      </c>
    </row>
    <row r="740" spans="1:107" x14ac:dyDescent="0.2">
      <c r="A740">
        <f>ROW(Source!A349)</f>
        <v>349</v>
      </c>
      <c r="B740">
        <v>16630606</v>
      </c>
      <c r="C740">
        <v>16632795</v>
      </c>
      <c r="D740">
        <v>15247974</v>
      </c>
      <c r="E740">
        <v>1</v>
      </c>
      <c r="F740">
        <v>1</v>
      </c>
      <c r="G740">
        <v>1</v>
      </c>
      <c r="H740">
        <v>2</v>
      </c>
      <c r="I740" t="s">
        <v>1151</v>
      </c>
      <c r="J740" t="s">
        <v>1152</v>
      </c>
      <c r="K740" t="s">
        <v>1153</v>
      </c>
      <c r="L740">
        <v>1368</v>
      </c>
      <c r="N740">
        <v>1011</v>
      </c>
      <c r="O740" t="s">
        <v>1154</v>
      </c>
      <c r="P740" t="s">
        <v>1154</v>
      </c>
      <c r="Q740">
        <v>1</v>
      </c>
      <c r="W740">
        <v>0</v>
      </c>
      <c r="X740">
        <v>1188625873</v>
      </c>
      <c r="Y740">
        <v>8.7500000000000008E-2</v>
      </c>
      <c r="AA740">
        <v>0</v>
      </c>
      <c r="AB740">
        <v>222.88</v>
      </c>
      <c r="AC740">
        <v>13.5</v>
      </c>
      <c r="AD740">
        <v>0</v>
      </c>
      <c r="AE740">
        <v>0</v>
      </c>
      <c r="AF740">
        <v>31.26</v>
      </c>
      <c r="AG740">
        <v>13.5</v>
      </c>
      <c r="AH740">
        <v>0</v>
      </c>
      <c r="AI740">
        <v>1</v>
      </c>
      <c r="AJ740">
        <v>7.13</v>
      </c>
      <c r="AK740">
        <v>1</v>
      </c>
      <c r="AL740">
        <v>1</v>
      </c>
      <c r="AN740">
        <v>0</v>
      </c>
      <c r="AO740">
        <v>1</v>
      </c>
      <c r="AP740">
        <v>1</v>
      </c>
      <c r="AQ740">
        <v>0</v>
      </c>
      <c r="AR740">
        <v>0</v>
      </c>
      <c r="AS740" t="s">
        <v>6</v>
      </c>
      <c r="AT740">
        <v>7.0000000000000007E-2</v>
      </c>
      <c r="AU740" t="s">
        <v>81</v>
      </c>
      <c r="AV740">
        <v>0</v>
      </c>
      <c r="AW740">
        <v>2</v>
      </c>
      <c r="AX740">
        <v>16632809</v>
      </c>
      <c r="AY740">
        <v>1</v>
      </c>
      <c r="AZ740">
        <v>0</v>
      </c>
      <c r="BA740">
        <v>739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Y740*Source!I349</f>
        <v>4.3750000000000004E-2</v>
      </c>
      <c r="CY740">
        <f>AB740</f>
        <v>222.88</v>
      </c>
      <c r="CZ740">
        <f>AF740</f>
        <v>31.26</v>
      </c>
      <c r="DA740">
        <f>AJ740</f>
        <v>7.13</v>
      </c>
      <c r="DB740">
        <f>ROUND((ROUND(AT740*CZ740,2)*1.25),2)</f>
        <v>2.74</v>
      </c>
      <c r="DC740">
        <f>ROUND((ROUND(AT740*AG740,2)*1.25),2)</f>
        <v>1.19</v>
      </c>
    </row>
    <row r="741" spans="1:107" x14ac:dyDescent="0.2">
      <c r="A741">
        <f>ROW(Source!A349)</f>
        <v>349</v>
      </c>
      <c r="B741">
        <v>16630606</v>
      </c>
      <c r="C741">
        <v>16632795</v>
      </c>
      <c r="D741">
        <v>15249073</v>
      </c>
      <c r="E741">
        <v>1</v>
      </c>
      <c r="F741">
        <v>1</v>
      </c>
      <c r="G741">
        <v>1</v>
      </c>
      <c r="H741">
        <v>2</v>
      </c>
      <c r="I741" t="s">
        <v>1157</v>
      </c>
      <c r="J741" t="s">
        <v>1158</v>
      </c>
      <c r="K741" t="s">
        <v>1159</v>
      </c>
      <c r="L741">
        <v>1368</v>
      </c>
      <c r="N741">
        <v>1011</v>
      </c>
      <c r="O741" t="s">
        <v>1154</v>
      </c>
      <c r="P741" t="s">
        <v>1154</v>
      </c>
      <c r="Q741">
        <v>1</v>
      </c>
      <c r="W741">
        <v>0</v>
      </c>
      <c r="X741">
        <v>1372534845</v>
      </c>
      <c r="Y741">
        <v>0.17500000000000002</v>
      </c>
      <c r="AA741">
        <v>0</v>
      </c>
      <c r="AB741">
        <v>468.51</v>
      </c>
      <c r="AC741">
        <v>11.6</v>
      </c>
      <c r="AD741">
        <v>0</v>
      </c>
      <c r="AE741">
        <v>0</v>
      </c>
      <c r="AF741">
        <v>65.709999999999994</v>
      </c>
      <c r="AG741">
        <v>11.6</v>
      </c>
      <c r="AH741">
        <v>0</v>
      </c>
      <c r="AI741">
        <v>1</v>
      </c>
      <c r="AJ741">
        <v>7.13</v>
      </c>
      <c r="AK741">
        <v>1</v>
      </c>
      <c r="AL741">
        <v>1</v>
      </c>
      <c r="AN741">
        <v>0</v>
      </c>
      <c r="AO741">
        <v>1</v>
      </c>
      <c r="AP741">
        <v>1</v>
      </c>
      <c r="AQ741">
        <v>0</v>
      </c>
      <c r="AR741">
        <v>0</v>
      </c>
      <c r="AS741" t="s">
        <v>6</v>
      </c>
      <c r="AT741">
        <v>0.14000000000000001</v>
      </c>
      <c r="AU741" t="s">
        <v>81</v>
      </c>
      <c r="AV741">
        <v>0</v>
      </c>
      <c r="AW741">
        <v>2</v>
      </c>
      <c r="AX741">
        <v>16632810</v>
      </c>
      <c r="AY741">
        <v>1</v>
      </c>
      <c r="AZ741">
        <v>0</v>
      </c>
      <c r="BA741">
        <v>740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Y741*Source!I349</f>
        <v>8.7500000000000008E-2</v>
      </c>
      <c r="CY741">
        <f>AB741</f>
        <v>468.51</v>
      </c>
      <c r="CZ741">
        <f>AF741</f>
        <v>65.709999999999994</v>
      </c>
      <c r="DA741">
        <f>AJ741</f>
        <v>7.13</v>
      </c>
      <c r="DB741">
        <f>ROUND((ROUND(AT741*CZ741,2)*1.25),2)</f>
        <v>11.5</v>
      </c>
      <c r="DC741">
        <f>ROUND((ROUND(AT741*AG741,2)*1.25),2)</f>
        <v>2.0299999999999998</v>
      </c>
    </row>
    <row r="742" spans="1:107" x14ac:dyDescent="0.2">
      <c r="A742">
        <f>ROW(Source!A349)</f>
        <v>349</v>
      </c>
      <c r="B742">
        <v>16630606</v>
      </c>
      <c r="C742">
        <v>16632795</v>
      </c>
      <c r="D742">
        <v>15167955</v>
      </c>
      <c r="E742">
        <v>1</v>
      </c>
      <c r="F742">
        <v>1</v>
      </c>
      <c r="G742">
        <v>1</v>
      </c>
      <c r="H742">
        <v>3</v>
      </c>
      <c r="I742" t="s">
        <v>1596</v>
      </c>
      <c r="J742" t="s">
        <v>1597</v>
      </c>
      <c r="K742" t="s">
        <v>1598</v>
      </c>
      <c r="L742">
        <v>1348</v>
      </c>
      <c r="N742">
        <v>1009</v>
      </c>
      <c r="O742" t="s">
        <v>98</v>
      </c>
      <c r="P742" t="s">
        <v>98</v>
      </c>
      <c r="Q742">
        <v>1000</v>
      </c>
      <c r="W742">
        <v>0</v>
      </c>
      <c r="X742">
        <v>-1699345571</v>
      </c>
      <c r="Y742">
        <v>1.4E-3</v>
      </c>
      <c r="AA742">
        <v>214113.9</v>
      </c>
      <c r="AB742">
        <v>0</v>
      </c>
      <c r="AC742">
        <v>0</v>
      </c>
      <c r="AD742">
        <v>0</v>
      </c>
      <c r="AE742">
        <v>30030</v>
      </c>
      <c r="AF742">
        <v>0</v>
      </c>
      <c r="AG742">
        <v>0</v>
      </c>
      <c r="AH742">
        <v>0</v>
      </c>
      <c r="AI742">
        <v>7.13</v>
      </c>
      <c r="AJ742">
        <v>1</v>
      </c>
      <c r="AK742">
        <v>1</v>
      </c>
      <c r="AL742">
        <v>1</v>
      </c>
      <c r="AN742">
        <v>0</v>
      </c>
      <c r="AO742">
        <v>1</v>
      </c>
      <c r="AP742">
        <v>0</v>
      </c>
      <c r="AQ742">
        <v>0</v>
      </c>
      <c r="AR742">
        <v>0</v>
      </c>
      <c r="AS742" t="s">
        <v>6</v>
      </c>
      <c r="AT742">
        <v>1.4E-3</v>
      </c>
      <c r="AU742" t="s">
        <v>6</v>
      </c>
      <c r="AV742">
        <v>0</v>
      </c>
      <c r="AW742">
        <v>2</v>
      </c>
      <c r="AX742">
        <v>16632811</v>
      </c>
      <c r="AY742">
        <v>1</v>
      </c>
      <c r="AZ742">
        <v>0</v>
      </c>
      <c r="BA742">
        <v>741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Y742*Source!I349</f>
        <v>6.9999999999999999E-4</v>
      </c>
      <c r="CY742">
        <f t="shared" ref="CY742:CY748" si="135">AA742</f>
        <v>214113.9</v>
      </c>
      <c r="CZ742">
        <f t="shared" ref="CZ742:CZ748" si="136">AE742</f>
        <v>30030</v>
      </c>
      <c r="DA742">
        <f t="shared" ref="DA742:DA748" si="137">AI742</f>
        <v>7.13</v>
      </c>
      <c r="DB742">
        <f t="shared" ref="DB742:DB748" si="138">ROUND(ROUND(AT742*CZ742,2),2)</f>
        <v>42.04</v>
      </c>
      <c r="DC742">
        <f t="shared" ref="DC742:DC748" si="139">ROUND(ROUND(AT742*AG742,2),2)</f>
        <v>0</v>
      </c>
    </row>
    <row r="743" spans="1:107" x14ac:dyDescent="0.2">
      <c r="A743">
        <f>ROW(Source!A349)</f>
        <v>349</v>
      </c>
      <c r="B743">
        <v>16630606</v>
      </c>
      <c r="C743">
        <v>16632795</v>
      </c>
      <c r="D743">
        <v>15167963</v>
      </c>
      <c r="E743">
        <v>1</v>
      </c>
      <c r="F743">
        <v>1</v>
      </c>
      <c r="G743">
        <v>1</v>
      </c>
      <c r="H743">
        <v>3</v>
      </c>
      <c r="I743" t="s">
        <v>1533</v>
      </c>
      <c r="J743" t="s">
        <v>1534</v>
      </c>
      <c r="K743" t="s">
        <v>1535</v>
      </c>
      <c r="L743">
        <v>1346</v>
      </c>
      <c r="N743">
        <v>1009</v>
      </c>
      <c r="O743" t="s">
        <v>102</v>
      </c>
      <c r="P743" t="s">
        <v>102</v>
      </c>
      <c r="Q743">
        <v>1</v>
      </c>
      <c r="W743">
        <v>0</v>
      </c>
      <c r="X743">
        <v>-490687590</v>
      </c>
      <c r="Y743">
        <v>0.02</v>
      </c>
      <c r="AA743">
        <v>265.88</v>
      </c>
      <c r="AB743">
        <v>0</v>
      </c>
      <c r="AC743">
        <v>0</v>
      </c>
      <c r="AD743">
        <v>0</v>
      </c>
      <c r="AE743">
        <v>37.29</v>
      </c>
      <c r="AF743">
        <v>0</v>
      </c>
      <c r="AG743">
        <v>0</v>
      </c>
      <c r="AH743">
        <v>0</v>
      </c>
      <c r="AI743">
        <v>7.13</v>
      </c>
      <c r="AJ743">
        <v>1</v>
      </c>
      <c r="AK743">
        <v>1</v>
      </c>
      <c r="AL743">
        <v>1</v>
      </c>
      <c r="AN743">
        <v>0</v>
      </c>
      <c r="AO743">
        <v>1</v>
      </c>
      <c r="AP743">
        <v>0</v>
      </c>
      <c r="AQ743">
        <v>0</v>
      </c>
      <c r="AR743">
        <v>0</v>
      </c>
      <c r="AS743" t="s">
        <v>6</v>
      </c>
      <c r="AT743">
        <v>0.02</v>
      </c>
      <c r="AU743" t="s">
        <v>6</v>
      </c>
      <c r="AV743">
        <v>0</v>
      </c>
      <c r="AW743">
        <v>2</v>
      </c>
      <c r="AX743">
        <v>16632812</v>
      </c>
      <c r="AY743">
        <v>1</v>
      </c>
      <c r="AZ743">
        <v>0</v>
      </c>
      <c r="BA743">
        <v>742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Y743*Source!I349</f>
        <v>0.01</v>
      </c>
      <c r="CY743">
        <f t="shared" si="135"/>
        <v>265.88</v>
      </c>
      <c r="CZ743">
        <f t="shared" si="136"/>
        <v>37.29</v>
      </c>
      <c r="DA743">
        <f t="shared" si="137"/>
        <v>7.13</v>
      </c>
      <c r="DB743">
        <f t="shared" si="138"/>
        <v>0.75</v>
      </c>
      <c r="DC743">
        <f t="shared" si="139"/>
        <v>0</v>
      </c>
    </row>
    <row r="744" spans="1:107" x14ac:dyDescent="0.2">
      <c r="A744">
        <f>ROW(Source!A349)</f>
        <v>349</v>
      </c>
      <c r="B744">
        <v>16630606</v>
      </c>
      <c r="C744">
        <v>16632795</v>
      </c>
      <c r="D744">
        <v>15170072</v>
      </c>
      <c r="E744">
        <v>1</v>
      </c>
      <c r="F744">
        <v>1</v>
      </c>
      <c r="G744">
        <v>1</v>
      </c>
      <c r="H744">
        <v>3</v>
      </c>
      <c r="I744" t="s">
        <v>952</v>
      </c>
      <c r="J744" t="s">
        <v>954</v>
      </c>
      <c r="K744" t="s">
        <v>953</v>
      </c>
      <c r="L744">
        <v>1355</v>
      </c>
      <c r="N744">
        <v>1010</v>
      </c>
      <c r="O744" t="s">
        <v>243</v>
      </c>
      <c r="P744" t="s">
        <v>243</v>
      </c>
      <c r="Q744">
        <v>100</v>
      </c>
      <c r="W744">
        <v>0</v>
      </c>
      <c r="X744">
        <v>-66531260</v>
      </c>
      <c r="Y744">
        <v>0.4</v>
      </c>
      <c r="AA744">
        <v>591.79</v>
      </c>
      <c r="AB744">
        <v>0</v>
      </c>
      <c r="AC744">
        <v>0</v>
      </c>
      <c r="AD744">
        <v>0</v>
      </c>
      <c r="AE744">
        <v>83</v>
      </c>
      <c r="AF744">
        <v>0</v>
      </c>
      <c r="AG744">
        <v>0</v>
      </c>
      <c r="AH744">
        <v>0</v>
      </c>
      <c r="AI744">
        <v>7.13</v>
      </c>
      <c r="AJ744">
        <v>1</v>
      </c>
      <c r="AK744">
        <v>1</v>
      </c>
      <c r="AL744">
        <v>1</v>
      </c>
      <c r="AN744">
        <v>0</v>
      </c>
      <c r="AO744">
        <v>0</v>
      </c>
      <c r="AP744">
        <v>0</v>
      </c>
      <c r="AQ744">
        <v>0</v>
      </c>
      <c r="AR744">
        <v>0</v>
      </c>
      <c r="AS744" t="s">
        <v>6</v>
      </c>
      <c r="AT744">
        <v>0.4</v>
      </c>
      <c r="AU744" t="s">
        <v>6</v>
      </c>
      <c r="AV744">
        <v>0</v>
      </c>
      <c r="AW744">
        <v>1</v>
      </c>
      <c r="AX744">
        <v>-1</v>
      </c>
      <c r="AY744">
        <v>0</v>
      </c>
      <c r="AZ744">
        <v>0</v>
      </c>
      <c r="BA744" t="s">
        <v>6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Y744*Source!I349</f>
        <v>0.2</v>
      </c>
      <c r="CY744">
        <f t="shared" si="135"/>
        <v>591.79</v>
      </c>
      <c r="CZ744">
        <f t="shared" si="136"/>
        <v>83</v>
      </c>
      <c r="DA744">
        <f t="shared" si="137"/>
        <v>7.13</v>
      </c>
      <c r="DB744">
        <f t="shared" si="138"/>
        <v>33.200000000000003</v>
      </c>
      <c r="DC744">
        <f t="shared" si="139"/>
        <v>0</v>
      </c>
    </row>
    <row r="745" spans="1:107" x14ac:dyDescent="0.2">
      <c r="A745">
        <f>ROW(Source!A349)</f>
        <v>349</v>
      </c>
      <c r="B745">
        <v>16630606</v>
      </c>
      <c r="C745">
        <v>16632795</v>
      </c>
      <c r="D745">
        <v>15172117</v>
      </c>
      <c r="E745">
        <v>1</v>
      </c>
      <c r="F745">
        <v>1</v>
      </c>
      <c r="G745">
        <v>1</v>
      </c>
      <c r="H745">
        <v>3</v>
      </c>
      <c r="I745" t="s">
        <v>1611</v>
      </c>
      <c r="J745" t="s">
        <v>1612</v>
      </c>
      <c r="K745" t="s">
        <v>1613</v>
      </c>
      <c r="L745">
        <v>1348</v>
      </c>
      <c r="N745">
        <v>1009</v>
      </c>
      <c r="O745" t="s">
        <v>98</v>
      </c>
      <c r="P745" t="s">
        <v>98</v>
      </c>
      <c r="Q745">
        <v>1000</v>
      </c>
      <c r="W745">
        <v>0</v>
      </c>
      <c r="X745">
        <v>1529337430</v>
      </c>
      <c r="Y745">
        <v>2E-3</v>
      </c>
      <c r="AA745">
        <v>13090.68</v>
      </c>
      <c r="AB745">
        <v>0</v>
      </c>
      <c r="AC745">
        <v>0</v>
      </c>
      <c r="AD745">
        <v>0</v>
      </c>
      <c r="AE745">
        <v>1836</v>
      </c>
      <c r="AF745">
        <v>0</v>
      </c>
      <c r="AG745">
        <v>0</v>
      </c>
      <c r="AH745">
        <v>0</v>
      </c>
      <c r="AI745">
        <v>7.13</v>
      </c>
      <c r="AJ745">
        <v>1</v>
      </c>
      <c r="AK745">
        <v>1</v>
      </c>
      <c r="AL745">
        <v>1</v>
      </c>
      <c r="AN745">
        <v>0</v>
      </c>
      <c r="AO745">
        <v>1</v>
      </c>
      <c r="AP745">
        <v>0</v>
      </c>
      <c r="AQ745">
        <v>0</v>
      </c>
      <c r="AR745">
        <v>0</v>
      </c>
      <c r="AS745" t="s">
        <v>6</v>
      </c>
      <c r="AT745">
        <v>2E-3</v>
      </c>
      <c r="AU745" t="s">
        <v>6</v>
      </c>
      <c r="AV745">
        <v>0</v>
      </c>
      <c r="AW745">
        <v>2</v>
      </c>
      <c r="AX745">
        <v>16632815</v>
      </c>
      <c r="AY745">
        <v>1</v>
      </c>
      <c r="AZ745">
        <v>0</v>
      </c>
      <c r="BA745">
        <v>745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Y745*Source!I349</f>
        <v>1E-3</v>
      </c>
      <c r="CY745">
        <f t="shared" si="135"/>
        <v>13090.68</v>
      </c>
      <c r="CZ745">
        <f t="shared" si="136"/>
        <v>1836</v>
      </c>
      <c r="DA745">
        <f t="shared" si="137"/>
        <v>7.13</v>
      </c>
      <c r="DB745">
        <f t="shared" si="138"/>
        <v>3.67</v>
      </c>
      <c r="DC745">
        <f t="shared" si="139"/>
        <v>0</v>
      </c>
    </row>
    <row r="746" spans="1:107" x14ac:dyDescent="0.2">
      <c r="A746">
        <f>ROW(Source!A349)</f>
        <v>349</v>
      </c>
      <c r="B746">
        <v>16630606</v>
      </c>
      <c r="C746">
        <v>16632795</v>
      </c>
      <c r="D746">
        <v>15196322</v>
      </c>
      <c r="E746">
        <v>1</v>
      </c>
      <c r="F746">
        <v>1</v>
      </c>
      <c r="G746">
        <v>1</v>
      </c>
      <c r="H746">
        <v>3</v>
      </c>
      <c r="I746" t="s">
        <v>976</v>
      </c>
      <c r="J746" t="s">
        <v>978</v>
      </c>
      <c r="K746" t="s">
        <v>977</v>
      </c>
      <c r="L746">
        <v>1354</v>
      </c>
      <c r="N746">
        <v>1010</v>
      </c>
      <c r="O746" t="s">
        <v>132</v>
      </c>
      <c r="P746" t="s">
        <v>132</v>
      </c>
      <c r="Q746">
        <v>1</v>
      </c>
      <c r="W746">
        <v>0</v>
      </c>
      <c r="X746">
        <v>479796345</v>
      </c>
      <c r="Y746">
        <v>10</v>
      </c>
      <c r="AA746">
        <v>3284.58</v>
      </c>
      <c r="AB746">
        <v>0</v>
      </c>
      <c r="AC746">
        <v>0</v>
      </c>
      <c r="AD746">
        <v>0</v>
      </c>
      <c r="AE746">
        <v>460.67</v>
      </c>
      <c r="AF746">
        <v>0</v>
      </c>
      <c r="AG746">
        <v>0</v>
      </c>
      <c r="AH746">
        <v>0</v>
      </c>
      <c r="AI746">
        <v>7.13</v>
      </c>
      <c r="AJ746">
        <v>1</v>
      </c>
      <c r="AK746">
        <v>1</v>
      </c>
      <c r="AL746">
        <v>1</v>
      </c>
      <c r="AN746">
        <v>0</v>
      </c>
      <c r="AO746">
        <v>0</v>
      </c>
      <c r="AP746">
        <v>0</v>
      </c>
      <c r="AQ746">
        <v>0</v>
      </c>
      <c r="AR746">
        <v>0</v>
      </c>
      <c r="AS746" t="s">
        <v>6</v>
      </c>
      <c r="AT746">
        <v>10</v>
      </c>
      <c r="AU746" t="s">
        <v>6</v>
      </c>
      <c r="AV746">
        <v>0</v>
      </c>
      <c r="AW746">
        <v>1</v>
      </c>
      <c r="AX746">
        <v>-1</v>
      </c>
      <c r="AY746">
        <v>0</v>
      </c>
      <c r="AZ746">
        <v>0</v>
      </c>
      <c r="BA746" t="s">
        <v>6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Y746*Source!I349</f>
        <v>5</v>
      </c>
      <c r="CY746">
        <f t="shared" si="135"/>
        <v>3284.58</v>
      </c>
      <c r="CZ746">
        <f t="shared" si="136"/>
        <v>460.67</v>
      </c>
      <c r="DA746">
        <f t="shared" si="137"/>
        <v>7.13</v>
      </c>
      <c r="DB746">
        <f t="shared" si="138"/>
        <v>4606.7</v>
      </c>
      <c r="DC746">
        <f t="shared" si="139"/>
        <v>0</v>
      </c>
    </row>
    <row r="747" spans="1:107" x14ac:dyDescent="0.2">
      <c r="A747">
        <f>ROW(Source!A349)</f>
        <v>349</v>
      </c>
      <c r="B747">
        <v>16630606</v>
      </c>
      <c r="C747">
        <v>16632795</v>
      </c>
      <c r="D747">
        <v>15203740</v>
      </c>
      <c r="E747">
        <v>1</v>
      </c>
      <c r="F747">
        <v>1</v>
      </c>
      <c r="G747">
        <v>1</v>
      </c>
      <c r="H747">
        <v>3</v>
      </c>
      <c r="I747" t="s">
        <v>1542</v>
      </c>
      <c r="J747" t="s">
        <v>1543</v>
      </c>
      <c r="K747" t="s">
        <v>1544</v>
      </c>
      <c r="L747">
        <v>1348</v>
      </c>
      <c r="N747">
        <v>1009</v>
      </c>
      <c r="O747" t="s">
        <v>98</v>
      </c>
      <c r="P747" t="s">
        <v>98</v>
      </c>
      <c r="Q747">
        <v>1000</v>
      </c>
      <c r="W747">
        <v>0</v>
      </c>
      <c r="X747">
        <v>570223526</v>
      </c>
      <c r="Y747">
        <v>4.0000000000000002E-4</v>
      </c>
      <c r="AA747">
        <v>107798.47</v>
      </c>
      <c r="AB747">
        <v>0</v>
      </c>
      <c r="AC747">
        <v>0</v>
      </c>
      <c r="AD747">
        <v>0</v>
      </c>
      <c r="AE747">
        <v>15119</v>
      </c>
      <c r="AF747">
        <v>0</v>
      </c>
      <c r="AG747">
        <v>0</v>
      </c>
      <c r="AH747">
        <v>0</v>
      </c>
      <c r="AI747">
        <v>7.13</v>
      </c>
      <c r="AJ747">
        <v>1</v>
      </c>
      <c r="AK747">
        <v>1</v>
      </c>
      <c r="AL747">
        <v>1</v>
      </c>
      <c r="AN747">
        <v>0</v>
      </c>
      <c r="AO747">
        <v>1</v>
      </c>
      <c r="AP747">
        <v>0</v>
      </c>
      <c r="AQ747">
        <v>0</v>
      </c>
      <c r="AR747">
        <v>0</v>
      </c>
      <c r="AS747" t="s">
        <v>6</v>
      </c>
      <c r="AT747">
        <v>4.0000000000000002E-4</v>
      </c>
      <c r="AU747" t="s">
        <v>6</v>
      </c>
      <c r="AV747">
        <v>0</v>
      </c>
      <c r="AW747">
        <v>2</v>
      </c>
      <c r="AX747">
        <v>16632816</v>
      </c>
      <c r="AY747">
        <v>1</v>
      </c>
      <c r="AZ747">
        <v>0</v>
      </c>
      <c r="BA747">
        <v>746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Y747*Source!I349</f>
        <v>2.0000000000000001E-4</v>
      </c>
      <c r="CY747">
        <f t="shared" si="135"/>
        <v>107798.47</v>
      </c>
      <c r="CZ747">
        <f t="shared" si="136"/>
        <v>15119</v>
      </c>
      <c r="DA747">
        <f t="shared" si="137"/>
        <v>7.13</v>
      </c>
      <c r="DB747">
        <f t="shared" si="138"/>
        <v>6.05</v>
      </c>
      <c r="DC747">
        <f t="shared" si="139"/>
        <v>0</v>
      </c>
    </row>
    <row r="748" spans="1:107" x14ac:dyDescent="0.2">
      <c r="A748">
        <f>ROW(Source!A349)</f>
        <v>349</v>
      </c>
      <c r="B748">
        <v>16630606</v>
      </c>
      <c r="C748">
        <v>16632795</v>
      </c>
      <c r="D748">
        <v>15204468</v>
      </c>
      <c r="E748">
        <v>1</v>
      </c>
      <c r="F748">
        <v>1</v>
      </c>
      <c r="G748">
        <v>1</v>
      </c>
      <c r="H748">
        <v>3</v>
      </c>
      <c r="I748" t="s">
        <v>1545</v>
      </c>
      <c r="J748" t="s">
        <v>1546</v>
      </c>
      <c r="K748" t="s">
        <v>1547</v>
      </c>
      <c r="L748">
        <v>1348</v>
      </c>
      <c r="N748">
        <v>1009</v>
      </c>
      <c r="O748" t="s">
        <v>98</v>
      </c>
      <c r="P748" t="s">
        <v>98</v>
      </c>
      <c r="Q748">
        <v>1000</v>
      </c>
      <c r="W748">
        <v>0</v>
      </c>
      <c r="X748">
        <v>-909021926</v>
      </c>
      <c r="Y748">
        <v>2.0000000000000001E-4</v>
      </c>
      <c r="AA748">
        <v>120853.5</v>
      </c>
      <c r="AB748">
        <v>0</v>
      </c>
      <c r="AC748">
        <v>0</v>
      </c>
      <c r="AD748">
        <v>0</v>
      </c>
      <c r="AE748">
        <v>16950</v>
      </c>
      <c r="AF748">
        <v>0</v>
      </c>
      <c r="AG748">
        <v>0</v>
      </c>
      <c r="AH748">
        <v>0</v>
      </c>
      <c r="AI748">
        <v>7.13</v>
      </c>
      <c r="AJ748">
        <v>1</v>
      </c>
      <c r="AK748">
        <v>1</v>
      </c>
      <c r="AL748">
        <v>1</v>
      </c>
      <c r="AN748">
        <v>0</v>
      </c>
      <c r="AO748">
        <v>1</v>
      </c>
      <c r="AP748">
        <v>0</v>
      </c>
      <c r="AQ748">
        <v>0</v>
      </c>
      <c r="AR748">
        <v>0</v>
      </c>
      <c r="AS748" t="s">
        <v>6</v>
      </c>
      <c r="AT748">
        <v>2.0000000000000001E-4</v>
      </c>
      <c r="AU748" t="s">
        <v>6</v>
      </c>
      <c r="AV748">
        <v>0</v>
      </c>
      <c r="AW748">
        <v>2</v>
      </c>
      <c r="AX748">
        <v>16632818</v>
      </c>
      <c r="AY748">
        <v>1</v>
      </c>
      <c r="AZ748">
        <v>0</v>
      </c>
      <c r="BA748">
        <v>748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Y748*Source!I349</f>
        <v>1E-4</v>
      </c>
      <c r="CY748">
        <f t="shared" si="135"/>
        <v>120853.5</v>
      </c>
      <c r="CZ748">
        <f t="shared" si="136"/>
        <v>16950</v>
      </c>
      <c r="DA748">
        <f t="shared" si="137"/>
        <v>7.13</v>
      </c>
      <c r="DB748">
        <f t="shared" si="138"/>
        <v>3.39</v>
      </c>
      <c r="DC748">
        <f t="shared" si="139"/>
        <v>0</v>
      </c>
    </row>
    <row r="749" spans="1:107" x14ac:dyDescent="0.2">
      <c r="A749">
        <f>ROW(Source!A352)</f>
        <v>352</v>
      </c>
      <c r="B749">
        <v>16630606</v>
      </c>
      <c r="C749">
        <v>16632822</v>
      </c>
      <c r="D749">
        <v>15436556</v>
      </c>
      <c r="E749">
        <v>1</v>
      </c>
      <c r="F749">
        <v>1</v>
      </c>
      <c r="G749">
        <v>1</v>
      </c>
      <c r="H749">
        <v>1</v>
      </c>
      <c r="I749" t="s">
        <v>1354</v>
      </c>
      <c r="J749" t="s">
        <v>6</v>
      </c>
      <c r="K749" t="s">
        <v>1355</v>
      </c>
      <c r="L749">
        <v>1191</v>
      </c>
      <c r="N749">
        <v>1013</v>
      </c>
      <c r="O749" t="s">
        <v>1148</v>
      </c>
      <c r="P749" t="s">
        <v>1148</v>
      </c>
      <c r="Q749">
        <v>1</v>
      </c>
      <c r="W749">
        <v>0</v>
      </c>
      <c r="X749">
        <v>1069510174</v>
      </c>
      <c r="Y749">
        <v>3.2199999999999998</v>
      </c>
      <c r="AA749">
        <v>0</v>
      </c>
      <c r="AB749">
        <v>0</v>
      </c>
      <c r="AC749">
        <v>0</v>
      </c>
      <c r="AD749">
        <v>68.59</v>
      </c>
      <c r="AE749">
        <v>0</v>
      </c>
      <c r="AF749">
        <v>0</v>
      </c>
      <c r="AG749">
        <v>0</v>
      </c>
      <c r="AH749">
        <v>9.6199999999999992</v>
      </c>
      <c r="AI749">
        <v>1</v>
      </c>
      <c r="AJ749">
        <v>1</v>
      </c>
      <c r="AK749">
        <v>1</v>
      </c>
      <c r="AL749">
        <v>7.13</v>
      </c>
      <c r="AN749">
        <v>0</v>
      </c>
      <c r="AO749">
        <v>1</v>
      </c>
      <c r="AP749">
        <v>1</v>
      </c>
      <c r="AQ749">
        <v>0</v>
      </c>
      <c r="AR749">
        <v>0</v>
      </c>
      <c r="AS749" t="s">
        <v>6</v>
      </c>
      <c r="AT749">
        <v>2.8</v>
      </c>
      <c r="AU749" t="s">
        <v>82</v>
      </c>
      <c r="AV749">
        <v>1</v>
      </c>
      <c r="AW749">
        <v>2</v>
      </c>
      <c r="AX749">
        <v>16632827</v>
      </c>
      <c r="AY749">
        <v>1</v>
      </c>
      <c r="AZ749">
        <v>0</v>
      </c>
      <c r="BA749">
        <v>750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Y749*Source!I352</f>
        <v>1.288</v>
      </c>
      <c r="CY749">
        <f>AD749</f>
        <v>68.59</v>
      </c>
      <c r="CZ749">
        <f>AH749</f>
        <v>9.6199999999999992</v>
      </c>
      <c r="DA749">
        <f>AL749</f>
        <v>7.13</v>
      </c>
      <c r="DB749">
        <f>ROUND((ROUND(AT749*CZ749,2)*1.15),2)</f>
        <v>30.98</v>
      </c>
      <c r="DC749">
        <f>ROUND((ROUND(AT749*AG749,2)*1.15),2)</f>
        <v>0</v>
      </c>
    </row>
    <row r="750" spans="1:107" x14ac:dyDescent="0.2">
      <c r="A750">
        <f>ROW(Source!A352)</f>
        <v>352</v>
      </c>
      <c r="B750">
        <v>16630606</v>
      </c>
      <c r="C750">
        <v>16632822</v>
      </c>
      <c r="D750">
        <v>15170071</v>
      </c>
      <c r="E750">
        <v>1</v>
      </c>
      <c r="F750">
        <v>1</v>
      </c>
      <c r="G750">
        <v>1</v>
      </c>
      <c r="H750">
        <v>3</v>
      </c>
      <c r="I750" t="s">
        <v>986</v>
      </c>
      <c r="J750" t="s">
        <v>988</v>
      </c>
      <c r="K750" t="s">
        <v>987</v>
      </c>
      <c r="L750">
        <v>1355</v>
      </c>
      <c r="N750">
        <v>1010</v>
      </c>
      <c r="O750" t="s">
        <v>243</v>
      </c>
      <c r="P750" t="s">
        <v>243</v>
      </c>
      <c r="Q750">
        <v>100</v>
      </c>
      <c r="W750">
        <v>0</v>
      </c>
      <c r="X750">
        <v>-1552274619</v>
      </c>
      <c r="Y750">
        <v>0.2</v>
      </c>
      <c r="AA750">
        <v>327.27</v>
      </c>
      <c r="AB750">
        <v>0</v>
      </c>
      <c r="AC750">
        <v>0</v>
      </c>
      <c r="AD750">
        <v>0</v>
      </c>
      <c r="AE750">
        <v>45.9</v>
      </c>
      <c r="AF750">
        <v>0</v>
      </c>
      <c r="AG750">
        <v>0</v>
      </c>
      <c r="AH750">
        <v>0</v>
      </c>
      <c r="AI750">
        <v>7.13</v>
      </c>
      <c r="AJ750">
        <v>1</v>
      </c>
      <c r="AK750">
        <v>1</v>
      </c>
      <c r="AL750">
        <v>1</v>
      </c>
      <c r="AN750">
        <v>0</v>
      </c>
      <c r="AO750">
        <v>0</v>
      </c>
      <c r="AP750">
        <v>0</v>
      </c>
      <c r="AQ750">
        <v>0</v>
      </c>
      <c r="AR750">
        <v>0</v>
      </c>
      <c r="AS750" t="s">
        <v>6</v>
      </c>
      <c r="AT750">
        <v>0.2</v>
      </c>
      <c r="AU750" t="s">
        <v>6</v>
      </c>
      <c r="AV750">
        <v>0</v>
      </c>
      <c r="AW750">
        <v>1</v>
      </c>
      <c r="AX750">
        <v>-1</v>
      </c>
      <c r="AY750">
        <v>0</v>
      </c>
      <c r="AZ750">
        <v>0</v>
      </c>
      <c r="BA750" t="s">
        <v>6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Y750*Source!I352</f>
        <v>8.0000000000000016E-2</v>
      </c>
      <c r="CY750">
        <f>AA750</f>
        <v>327.27</v>
      </c>
      <c r="CZ750">
        <f>AE750</f>
        <v>45.9</v>
      </c>
      <c r="DA750">
        <f>AI750</f>
        <v>7.13</v>
      </c>
      <c r="DB750">
        <f>ROUND(ROUND(AT750*CZ750,2),2)</f>
        <v>9.18</v>
      </c>
      <c r="DC750">
        <f>ROUND(ROUND(AT750*AG750,2),2)</f>
        <v>0</v>
      </c>
    </row>
    <row r="751" spans="1:107" x14ac:dyDescent="0.2">
      <c r="A751">
        <f>ROW(Source!A352)</f>
        <v>352</v>
      </c>
      <c r="B751">
        <v>16630606</v>
      </c>
      <c r="C751">
        <v>16632822</v>
      </c>
      <c r="D751">
        <v>15189796</v>
      </c>
      <c r="E751">
        <v>1</v>
      </c>
      <c r="F751">
        <v>1</v>
      </c>
      <c r="G751">
        <v>1</v>
      </c>
      <c r="H751">
        <v>3</v>
      </c>
      <c r="I751" t="s">
        <v>1163</v>
      </c>
      <c r="J751" t="s">
        <v>1164</v>
      </c>
      <c r="K751" t="s">
        <v>1165</v>
      </c>
      <c r="L751">
        <v>1348</v>
      </c>
      <c r="N751">
        <v>1009</v>
      </c>
      <c r="O751" t="s">
        <v>98</v>
      </c>
      <c r="P751" t="s">
        <v>98</v>
      </c>
      <c r="Q751">
        <v>1000</v>
      </c>
      <c r="W751">
        <v>0</v>
      </c>
      <c r="X751">
        <v>-1756095795</v>
      </c>
      <c r="Y751">
        <v>1E-4</v>
      </c>
      <c r="AA751">
        <v>42701.57</v>
      </c>
      <c r="AB751">
        <v>0</v>
      </c>
      <c r="AC751">
        <v>0</v>
      </c>
      <c r="AD751">
        <v>0</v>
      </c>
      <c r="AE751">
        <v>5989</v>
      </c>
      <c r="AF751">
        <v>0</v>
      </c>
      <c r="AG751">
        <v>0</v>
      </c>
      <c r="AH751">
        <v>0</v>
      </c>
      <c r="AI751">
        <v>7.13</v>
      </c>
      <c r="AJ751">
        <v>1</v>
      </c>
      <c r="AK751">
        <v>1</v>
      </c>
      <c r="AL751">
        <v>1</v>
      </c>
      <c r="AN751">
        <v>0</v>
      </c>
      <c r="AO751">
        <v>1</v>
      </c>
      <c r="AP751">
        <v>0</v>
      </c>
      <c r="AQ751">
        <v>0</v>
      </c>
      <c r="AR751">
        <v>0</v>
      </c>
      <c r="AS751" t="s">
        <v>6</v>
      </c>
      <c r="AT751">
        <v>1E-4</v>
      </c>
      <c r="AU751" t="s">
        <v>6</v>
      </c>
      <c r="AV751">
        <v>0</v>
      </c>
      <c r="AW751">
        <v>2</v>
      </c>
      <c r="AX751">
        <v>16632830</v>
      </c>
      <c r="AY751">
        <v>1</v>
      </c>
      <c r="AZ751">
        <v>0</v>
      </c>
      <c r="BA751">
        <v>753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Y751*Source!I352</f>
        <v>4.0000000000000003E-5</v>
      </c>
      <c r="CY751">
        <f>AA751</f>
        <v>42701.57</v>
      </c>
      <c r="CZ751">
        <f>AE751</f>
        <v>5989</v>
      </c>
      <c r="DA751">
        <f>AI751</f>
        <v>7.13</v>
      </c>
      <c r="DB751">
        <f>ROUND(ROUND(AT751*CZ751,2),2)</f>
        <v>0.6</v>
      </c>
      <c r="DC751">
        <f>ROUND(ROUND(AT751*AG751,2),2)</f>
        <v>0</v>
      </c>
    </row>
    <row r="752" spans="1:107" x14ac:dyDescent="0.2">
      <c r="A752">
        <f>ROW(Source!A352)</f>
        <v>352</v>
      </c>
      <c r="B752">
        <v>16630606</v>
      </c>
      <c r="C752">
        <v>16632822</v>
      </c>
      <c r="D752">
        <v>15211937</v>
      </c>
      <c r="E752">
        <v>1</v>
      </c>
      <c r="F752">
        <v>1</v>
      </c>
      <c r="G752">
        <v>1</v>
      </c>
      <c r="H752">
        <v>3</v>
      </c>
      <c r="I752" t="s">
        <v>990</v>
      </c>
      <c r="J752" t="s">
        <v>992</v>
      </c>
      <c r="K752" t="s">
        <v>991</v>
      </c>
      <c r="L752">
        <v>1327</v>
      </c>
      <c r="N752">
        <v>1005</v>
      </c>
      <c r="O752" t="s">
        <v>87</v>
      </c>
      <c r="P752" t="s">
        <v>87</v>
      </c>
      <c r="Q752">
        <v>1</v>
      </c>
      <c r="W752">
        <v>0</v>
      </c>
      <c r="X752">
        <v>-95337833</v>
      </c>
      <c r="Y752">
        <v>3</v>
      </c>
      <c r="AA752">
        <v>1510.21</v>
      </c>
      <c r="AB752">
        <v>0</v>
      </c>
      <c r="AC752">
        <v>0</v>
      </c>
      <c r="AD752">
        <v>0</v>
      </c>
      <c r="AE752">
        <v>211.81</v>
      </c>
      <c r="AF752">
        <v>0</v>
      </c>
      <c r="AG752">
        <v>0</v>
      </c>
      <c r="AH752">
        <v>0</v>
      </c>
      <c r="AI752">
        <v>7.13</v>
      </c>
      <c r="AJ752">
        <v>1</v>
      </c>
      <c r="AK752">
        <v>1</v>
      </c>
      <c r="AL752">
        <v>1</v>
      </c>
      <c r="AN752">
        <v>0</v>
      </c>
      <c r="AO752">
        <v>0</v>
      </c>
      <c r="AP752">
        <v>0</v>
      </c>
      <c r="AQ752">
        <v>0</v>
      </c>
      <c r="AR752">
        <v>0</v>
      </c>
      <c r="AS752" t="s">
        <v>6</v>
      </c>
      <c r="AT752">
        <v>3</v>
      </c>
      <c r="AU752" t="s">
        <v>6</v>
      </c>
      <c r="AV752">
        <v>0</v>
      </c>
      <c r="AW752">
        <v>1</v>
      </c>
      <c r="AX752">
        <v>-1</v>
      </c>
      <c r="AY752">
        <v>0</v>
      </c>
      <c r="AZ752">
        <v>0</v>
      </c>
      <c r="BA752" t="s">
        <v>6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Y752*Source!I352</f>
        <v>1.2000000000000002</v>
      </c>
      <c r="CY752">
        <f>AA752</f>
        <v>1510.21</v>
      </c>
      <c r="CZ752">
        <f>AE752</f>
        <v>211.81</v>
      </c>
      <c r="DA752">
        <f>AI752</f>
        <v>7.13</v>
      </c>
      <c r="DB752">
        <f>ROUND(ROUND(AT752*CZ752,2),2)</f>
        <v>635.42999999999995</v>
      </c>
      <c r="DC752">
        <f>ROUND(ROUND(AT752*AG752,2),2)</f>
        <v>0</v>
      </c>
    </row>
    <row r="753" spans="1:107" x14ac:dyDescent="0.2">
      <c r="A753">
        <f>ROW(Source!A355)</f>
        <v>355</v>
      </c>
      <c r="B753">
        <v>16630606</v>
      </c>
      <c r="C753">
        <v>16632834</v>
      </c>
      <c r="D753">
        <v>15430767</v>
      </c>
      <c r="E753">
        <v>1</v>
      </c>
      <c r="F753">
        <v>1</v>
      </c>
      <c r="G753">
        <v>1</v>
      </c>
      <c r="H753">
        <v>1</v>
      </c>
      <c r="I753" t="s">
        <v>1171</v>
      </c>
      <c r="J753" t="s">
        <v>6</v>
      </c>
      <c r="K753" t="s">
        <v>1172</v>
      </c>
      <c r="L753">
        <v>1191</v>
      </c>
      <c r="N753">
        <v>1013</v>
      </c>
      <c r="O753" t="s">
        <v>1148</v>
      </c>
      <c r="P753" t="s">
        <v>1148</v>
      </c>
      <c r="Q753">
        <v>1</v>
      </c>
      <c r="W753">
        <v>0</v>
      </c>
      <c r="X753">
        <v>-400197608</v>
      </c>
      <c r="Y753">
        <v>8.1074999999999999</v>
      </c>
      <c r="AA753">
        <v>0</v>
      </c>
      <c r="AB753">
        <v>0</v>
      </c>
      <c r="AC753">
        <v>0</v>
      </c>
      <c r="AD753">
        <v>60.82</v>
      </c>
      <c r="AE753">
        <v>0</v>
      </c>
      <c r="AF753">
        <v>0</v>
      </c>
      <c r="AG753">
        <v>0</v>
      </c>
      <c r="AH753">
        <v>8.5299999999999994</v>
      </c>
      <c r="AI753">
        <v>1</v>
      </c>
      <c r="AJ753">
        <v>1</v>
      </c>
      <c r="AK753">
        <v>1</v>
      </c>
      <c r="AL753">
        <v>7.13</v>
      </c>
      <c r="AN753">
        <v>0</v>
      </c>
      <c r="AO753">
        <v>1</v>
      </c>
      <c r="AP753">
        <v>1</v>
      </c>
      <c r="AQ753">
        <v>0</v>
      </c>
      <c r="AR753">
        <v>0</v>
      </c>
      <c r="AS753" t="s">
        <v>6</v>
      </c>
      <c r="AT753">
        <v>7.05</v>
      </c>
      <c r="AU753" t="s">
        <v>82</v>
      </c>
      <c r="AV753">
        <v>1</v>
      </c>
      <c r="AW753">
        <v>2</v>
      </c>
      <c r="AX753">
        <v>16632843</v>
      </c>
      <c r="AY753">
        <v>1</v>
      </c>
      <c r="AZ753">
        <v>0</v>
      </c>
      <c r="BA753">
        <v>755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Y753*Source!I355</f>
        <v>24.322499999999998</v>
      </c>
      <c r="CY753">
        <f>AD753</f>
        <v>60.82</v>
      </c>
      <c r="CZ753">
        <f>AH753</f>
        <v>8.5299999999999994</v>
      </c>
      <c r="DA753">
        <f>AL753</f>
        <v>7.13</v>
      </c>
      <c r="DB753">
        <f>ROUND((ROUND(AT753*CZ753,2)*1.15),2)</f>
        <v>69.16</v>
      </c>
      <c r="DC753">
        <f>ROUND((ROUND(AT753*AG753,2)*1.15),2)</f>
        <v>0</v>
      </c>
    </row>
    <row r="754" spans="1:107" x14ac:dyDescent="0.2">
      <c r="A754">
        <f>ROW(Source!A355)</f>
        <v>355</v>
      </c>
      <c r="B754">
        <v>16630606</v>
      </c>
      <c r="C754">
        <v>16632834</v>
      </c>
      <c r="D754">
        <v>15430395</v>
      </c>
      <c r="E754">
        <v>1</v>
      </c>
      <c r="F754">
        <v>1</v>
      </c>
      <c r="G754">
        <v>1</v>
      </c>
      <c r="H754">
        <v>1</v>
      </c>
      <c r="I754" t="s">
        <v>1149</v>
      </c>
      <c r="J754" t="s">
        <v>6</v>
      </c>
      <c r="K754" t="s">
        <v>1150</v>
      </c>
      <c r="L754">
        <v>1191</v>
      </c>
      <c r="N754">
        <v>1013</v>
      </c>
      <c r="O754" t="s">
        <v>1148</v>
      </c>
      <c r="P754" t="s">
        <v>1148</v>
      </c>
      <c r="Q754">
        <v>1</v>
      </c>
      <c r="W754">
        <v>0</v>
      </c>
      <c r="X754">
        <v>-1417349443</v>
      </c>
      <c r="Y754">
        <v>0.01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1</v>
      </c>
      <c r="AJ754">
        <v>1</v>
      </c>
      <c r="AK754">
        <v>7.13</v>
      </c>
      <c r="AL754">
        <v>1</v>
      </c>
      <c r="AN754">
        <v>0</v>
      </c>
      <c r="AO754">
        <v>1</v>
      </c>
      <c r="AP754">
        <v>0</v>
      </c>
      <c r="AQ754">
        <v>0</v>
      </c>
      <c r="AR754">
        <v>0</v>
      </c>
      <c r="AS754" t="s">
        <v>6</v>
      </c>
      <c r="AT754">
        <v>0.01</v>
      </c>
      <c r="AU754" t="s">
        <v>6</v>
      </c>
      <c r="AV754">
        <v>2</v>
      </c>
      <c r="AW754">
        <v>2</v>
      </c>
      <c r="AX754">
        <v>16632844</v>
      </c>
      <c r="AY754">
        <v>1</v>
      </c>
      <c r="AZ754">
        <v>2048</v>
      </c>
      <c r="BA754">
        <v>756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Y754*Source!I355</f>
        <v>0.03</v>
      </c>
      <c r="CY754">
        <f>AD754</f>
        <v>0</v>
      </c>
      <c r="CZ754">
        <f>AH754</f>
        <v>0</v>
      </c>
      <c r="DA754">
        <f>AL754</f>
        <v>1</v>
      </c>
      <c r="DB754">
        <f>ROUND(ROUND(AT754*CZ754,2),2)</f>
        <v>0</v>
      </c>
      <c r="DC754">
        <f>ROUND(ROUND(AT754*AG754,2),2)</f>
        <v>0</v>
      </c>
    </row>
    <row r="755" spans="1:107" x14ac:dyDescent="0.2">
      <c r="A755">
        <f>ROW(Source!A355)</f>
        <v>355</v>
      </c>
      <c r="B755">
        <v>16630606</v>
      </c>
      <c r="C755">
        <v>16632834</v>
      </c>
      <c r="D755">
        <v>15249073</v>
      </c>
      <c r="E755">
        <v>1</v>
      </c>
      <c r="F755">
        <v>1</v>
      </c>
      <c r="G755">
        <v>1</v>
      </c>
      <c r="H755">
        <v>2</v>
      </c>
      <c r="I755" t="s">
        <v>1157</v>
      </c>
      <c r="J755" t="s">
        <v>1158</v>
      </c>
      <c r="K755" t="s">
        <v>1159</v>
      </c>
      <c r="L755">
        <v>1368</v>
      </c>
      <c r="N755">
        <v>1011</v>
      </c>
      <c r="O755" t="s">
        <v>1154</v>
      </c>
      <c r="P755" t="s">
        <v>1154</v>
      </c>
      <c r="Q755">
        <v>1</v>
      </c>
      <c r="W755">
        <v>0</v>
      </c>
      <c r="X755">
        <v>1372534845</v>
      </c>
      <c r="Y755">
        <v>1.2500000000000001E-2</v>
      </c>
      <c r="AA755">
        <v>0</v>
      </c>
      <c r="AB755">
        <v>468.51</v>
      </c>
      <c r="AC755">
        <v>11.6</v>
      </c>
      <c r="AD755">
        <v>0</v>
      </c>
      <c r="AE755">
        <v>0</v>
      </c>
      <c r="AF755">
        <v>65.709999999999994</v>
      </c>
      <c r="AG755">
        <v>11.6</v>
      </c>
      <c r="AH755">
        <v>0</v>
      </c>
      <c r="AI755">
        <v>1</v>
      </c>
      <c r="AJ755">
        <v>7.13</v>
      </c>
      <c r="AK755">
        <v>1</v>
      </c>
      <c r="AL755">
        <v>1</v>
      </c>
      <c r="AN755">
        <v>0</v>
      </c>
      <c r="AO755">
        <v>1</v>
      </c>
      <c r="AP755">
        <v>1</v>
      </c>
      <c r="AQ755">
        <v>0</v>
      </c>
      <c r="AR755">
        <v>0</v>
      </c>
      <c r="AS755" t="s">
        <v>6</v>
      </c>
      <c r="AT755">
        <v>0.01</v>
      </c>
      <c r="AU755" t="s">
        <v>81</v>
      </c>
      <c r="AV755">
        <v>0</v>
      </c>
      <c r="AW755">
        <v>2</v>
      </c>
      <c r="AX755">
        <v>16632845</v>
      </c>
      <c r="AY755">
        <v>1</v>
      </c>
      <c r="AZ755">
        <v>0</v>
      </c>
      <c r="BA755">
        <v>757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Y755*Source!I355</f>
        <v>3.7500000000000006E-2</v>
      </c>
      <c r="CY755">
        <f>AB755</f>
        <v>468.51</v>
      </c>
      <c r="CZ755">
        <f>AF755</f>
        <v>65.709999999999994</v>
      </c>
      <c r="DA755">
        <f>AJ755</f>
        <v>7.13</v>
      </c>
      <c r="DB755">
        <f>ROUND((ROUND(AT755*CZ755,2)*1.25),2)</f>
        <v>0.83</v>
      </c>
      <c r="DC755">
        <f>ROUND((ROUND(AT755*AG755,2)*1.25),2)</f>
        <v>0.15</v>
      </c>
    </row>
    <row r="756" spans="1:107" x14ac:dyDescent="0.2">
      <c r="A756">
        <f>ROW(Source!A355)</f>
        <v>355</v>
      </c>
      <c r="B756">
        <v>16630606</v>
      </c>
      <c r="C756">
        <v>16632834</v>
      </c>
      <c r="D756">
        <v>15167964</v>
      </c>
      <c r="E756">
        <v>1</v>
      </c>
      <c r="F756">
        <v>1</v>
      </c>
      <c r="G756">
        <v>1</v>
      </c>
      <c r="H756">
        <v>3</v>
      </c>
      <c r="I756" t="s">
        <v>1629</v>
      </c>
      <c r="J756" t="s">
        <v>1630</v>
      </c>
      <c r="K756" t="s">
        <v>1631</v>
      </c>
      <c r="L756">
        <v>1346</v>
      </c>
      <c r="N756">
        <v>1009</v>
      </c>
      <c r="O756" t="s">
        <v>102</v>
      </c>
      <c r="P756" t="s">
        <v>102</v>
      </c>
      <c r="Q756">
        <v>1</v>
      </c>
      <c r="W756">
        <v>0</v>
      </c>
      <c r="X756">
        <v>382130935</v>
      </c>
      <c r="Y756">
        <v>4.2000000000000002E-4</v>
      </c>
      <c r="AA756">
        <v>64.459999999999994</v>
      </c>
      <c r="AB756">
        <v>0</v>
      </c>
      <c r="AC756">
        <v>0</v>
      </c>
      <c r="AD756">
        <v>0</v>
      </c>
      <c r="AE756">
        <v>9.0399999999999991</v>
      </c>
      <c r="AF756">
        <v>0</v>
      </c>
      <c r="AG756">
        <v>0</v>
      </c>
      <c r="AH756">
        <v>0</v>
      </c>
      <c r="AI756">
        <v>7.13</v>
      </c>
      <c r="AJ756">
        <v>1</v>
      </c>
      <c r="AK756">
        <v>1</v>
      </c>
      <c r="AL756">
        <v>1</v>
      </c>
      <c r="AN756">
        <v>0</v>
      </c>
      <c r="AO756">
        <v>1</v>
      </c>
      <c r="AP756">
        <v>0</v>
      </c>
      <c r="AQ756">
        <v>0</v>
      </c>
      <c r="AR756">
        <v>0</v>
      </c>
      <c r="AS756" t="s">
        <v>6</v>
      </c>
      <c r="AT756">
        <v>4.2000000000000002E-4</v>
      </c>
      <c r="AU756" t="s">
        <v>6</v>
      </c>
      <c r="AV756">
        <v>0</v>
      </c>
      <c r="AW756">
        <v>2</v>
      </c>
      <c r="AX756">
        <v>16632846</v>
      </c>
      <c r="AY756">
        <v>1</v>
      </c>
      <c r="AZ756">
        <v>0</v>
      </c>
      <c r="BA756">
        <v>758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Y756*Source!I355</f>
        <v>1.2600000000000001E-3</v>
      </c>
      <c r="CY756">
        <f>AA756</f>
        <v>64.459999999999994</v>
      </c>
      <c r="CZ756">
        <f>AE756</f>
        <v>9.0399999999999991</v>
      </c>
      <c r="DA756">
        <f>AI756</f>
        <v>7.13</v>
      </c>
      <c r="DB756">
        <f>ROUND(ROUND(AT756*CZ756,2),2)</f>
        <v>0</v>
      </c>
      <c r="DC756">
        <f>ROUND(ROUND(AT756*AG756,2),2)</f>
        <v>0</v>
      </c>
    </row>
    <row r="757" spans="1:107" x14ac:dyDescent="0.2">
      <c r="A757">
        <f>ROW(Source!A355)</f>
        <v>355</v>
      </c>
      <c r="B757">
        <v>16630606</v>
      </c>
      <c r="C757">
        <v>16632834</v>
      </c>
      <c r="D757">
        <v>15172117</v>
      </c>
      <c r="E757">
        <v>1</v>
      </c>
      <c r="F757">
        <v>1</v>
      </c>
      <c r="G757">
        <v>1</v>
      </c>
      <c r="H757">
        <v>3</v>
      </c>
      <c r="I757" t="s">
        <v>1611</v>
      </c>
      <c r="J757" t="s">
        <v>1612</v>
      </c>
      <c r="K757" t="s">
        <v>1613</v>
      </c>
      <c r="L757">
        <v>1348</v>
      </c>
      <c r="N757">
        <v>1009</v>
      </c>
      <c r="O757" t="s">
        <v>98</v>
      </c>
      <c r="P757" t="s">
        <v>98</v>
      </c>
      <c r="Q757">
        <v>1000</v>
      </c>
      <c r="W757">
        <v>0</v>
      </c>
      <c r="X757">
        <v>1529337430</v>
      </c>
      <c r="Y757">
        <v>1.1999999999999999E-3</v>
      </c>
      <c r="AA757">
        <v>13090.68</v>
      </c>
      <c r="AB757">
        <v>0</v>
      </c>
      <c r="AC757">
        <v>0</v>
      </c>
      <c r="AD757">
        <v>0</v>
      </c>
      <c r="AE757">
        <v>1836</v>
      </c>
      <c r="AF757">
        <v>0</v>
      </c>
      <c r="AG757">
        <v>0</v>
      </c>
      <c r="AH757">
        <v>0</v>
      </c>
      <c r="AI757">
        <v>7.13</v>
      </c>
      <c r="AJ757">
        <v>1</v>
      </c>
      <c r="AK757">
        <v>1</v>
      </c>
      <c r="AL757">
        <v>1</v>
      </c>
      <c r="AN757">
        <v>0</v>
      </c>
      <c r="AO757">
        <v>1</v>
      </c>
      <c r="AP757">
        <v>0</v>
      </c>
      <c r="AQ757">
        <v>0</v>
      </c>
      <c r="AR757">
        <v>0</v>
      </c>
      <c r="AS757" t="s">
        <v>6</v>
      </c>
      <c r="AT757">
        <v>1.1999999999999999E-3</v>
      </c>
      <c r="AU757" t="s">
        <v>6</v>
      </c>
      <c r="AV757">
        <v>0</v>
      </c>
      <c r="AW757">
        <v>2</v>
      </c>
      <c r="AX757">
        <v>16632847</v>
      </c>
      <c r="AY757">
        <v>1</v>
      </c>
      <c r="AZ757">
        <v>0</v>
      </c>
      <c r="BA757">
        <v>759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Y757*Source!I355</f>
        <v>3.5999999999999999E-3</v>
      </c>
      <c r="CY757">
        <f>AA757</f>
        <v>13090.68</v>
      </c>
      <c r="CZ757">
        <f>AE757</f>
        <v>1836</v>
      </c>
      <c r="DA757">
        <f>AI757</f>
        <v>7.13</v>
      </c>
      <c r="DB757">
        <f>ROUND(ROUND(AT757*CZ757,2),2)</f>
        <v>2.2000000000000002</v>
      </c>
      <c r="DC757">
        <f>ROUND(ROUND(AT757*AG757,2),2)</f>
        <v>0</v>
      </c>
    </row>
    <row r="758" spans="1:107" x14ac:dyDescent="0.2">
      <c r="A758">
        <f>ROW(Source!A355)</f>
        <v>355</v>
      </c>
      <c r="B758">
        <v>16630606</v>
      </c>
      <c r="C758">
        <v>16632834</v>
      </c>
      <c r="D758">
        <v>15232306</v>
      </c>
      <c r="E758">
        <v>1</v>
      </c>
      <c r="F758">
        <v>1</v>
      </c>
      <c r="G758">
        <v>1</v>
      </c>
      <c r="H758">
        <v>3</v>
      </c>
      <c r="I758" t="s">
        <v>1632</v>
      </c>
      <c r="J758" t="s">
        <v>1633</v>
      </c>
      <c r="K758" t="s">
        <v>1634</v>
      </c>
      <c r="L758">
        <v>1354</v>
      </c>
      <c r="N758">
        <v>1010</v>
      </c>
      <c r="O758" t="s">
        <v>132</v>
      </c>
      <c r="P758" t="s">
        <v>132</v>
      </c>
      <c r="Q758">
        <v>1</v>
      </c>
      <c r="W758">
        <v>0</v>
      </c>
      <c r="X758">
        <v>-1005374742</v>
      </c>
      <c r="Y758">
        <v>1</v>
      </c>
      <c r="AA758">
        <v>239.57</v>
      </c>
      <c r="AB758">
        <v>0</v>
      </c>
      <c r="AC758">
        <v>0</v>
      </c>
      <c r="AD758">
        <v>0</v>
      </c>
      <c r="AE758">
        <v>33.6</v>
      </c>
      <c r="AF758">
        <v>0</v>
      </c>
      <c r="AG758">
        <v>0</v>
      </c>
      <c r="AH758">
        <v>0</v>
      </c>
      <c r="AI758">
        <v>7.13</v>
      </c>
      <c r="AJ758">
        <v>1</v>
      </c>
      <c r="AK758">
        <v>1</v>
      </c>
      <c r="AL758">
        <v>1</v>
      </c>
      <c r="AN758">
        <v>0</v>
      </c>
      <c r="AO758">
        <v>1</v>
      </c>
      <c r="AP758">
        <v>0</v>
      </c>
      <c r="AQ758">
        <v>0</v>
      </c>
      <c r="AR758">
        <v>0</v>
      </c>
      <c r="AS758" t="s">
        <v>6</v>
      </c>
      <c r="AT758">
        <v>1</v>
      </c>
      <c r="AU758" t="s">
        <v>6</v>
      </c>
      <c r="AV758">
        <v>0</v>
      </c>
      <c r="AW758">
        <v>2</v>
      </c>
      <c r="AX758">
        <v>16632848</v>
      </c>
      <c r="AY758">
        <v>1</v>
      </c>
      <c r="AZ758">
        <v>0</v>
      </c>
      <c r="BA758">
        <v>760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Y758*Source!I355</f>
        <v>3</v>
      </c>
      <c r="CY758">
        <f>AA758</f>
        <v>239.57</v>
      </c>
      <c r="CZ758">
        <f>AE758</f>
        <v>33.6</v>
      </c>
      <c r="DA758">
        <f>AI758</f>
        <v>7.13</v>
      </c>
      <c r="DB758">
        <f>ROUND(ROUND(AT758*CZ758,2),2)</f>
        <v>33.6</v>
      </c>
      <c r="DC758">
        <f>ROUND(ROUND(AT758*AG758,2),2)</f>
        <v>0</v>
      </c>
    </row>
    <row r="759" spans="1:107" x14ac:dyDescent="0.2">
      <c r="A759">
        <f>ROW(Source!A355)</f>
        <v>355</v>
      </c>
      <c r="B759">
        <v>16630606</v>
      </c>
      <c r="C759">
        <v>16632834</v>
      </c>
      <c r="D759">
        <v>15232445</v>
      </c>
      <c r="E759">
        <v>1</v>
      </c>
      <c r="F759">
        <v>1</v>
      </c>
      <c r="G759">
        <v>1</v>
      </c>
      <c r="H759">
        <v>3</v>
      </c>
      <c r="I759" t="s">
        <v>1635</v>
      </c>
      <c r="J759" t="s">
        <v>1636</v>
      </c>
      <c r="K759" t="s">
        <v>1637</v>
      </c>
      <c r="L759">
        <v>1354</v>
      </c>
      <c r="N759">
        <v>1010</v>
      </c>
      <c r="O759" t="s">
        <v>132</v>
      </c>
      <c r="P759" t="s">
        <v>132</v>
      </c>
      <c r="Q759">
        <v>1</v>
      </c>
      <c r="W759">
        <v>0</v>
      </c>
      <c r="X759">
        <v>-2073882562</v>
      </c>
      <c r="Y759">
        <v>1</v>
      </c>
      <c r="AA759">
        <v>71.3</v>
      </c>
      <c r="AB759">
        <v>0</v>
      </c>
      <c r="AC759">
        <v>0</v>
      </c>
      <c r="AD759">
        <v>0</v>
      </c>
      <c r="AE759">
        <v>10</v>
      </c>
      <c r="AF759">
        <v>0</v>
      </c>
      <c r="AG759">
        <v>0</v>
      </c>
      <c r="AH759">
        <v>0</v>
      </c>
      <c r="AI759">
        <v>7.13</v>
      </c>
      <c r="AJ759">
        <v>1</v>
      </c>
      <c r="AK759">
        <v>1</v>
      </c>
      <c r="AL759">
        <v>1</v>
      </c>
      <c r="AN759">
        <v>0</v>
      </c>
      <c r="AO759">
        <v>1</v>
      </c>
      <c r="AP759">
        <v>0</v>
      </c>
      <c r="AQ759">
        <v>0</v>
      </c>
      <c r="AR759">
        <v>0</v>
      </c>
      <c r="AS759" t="s">
        <v>6</v>
      </c>
      <c r="AT759">
        <v>1</v>
      </c>
      <c r="AU759" t="s">
        <v>6</v>
      </c>
      <c r="AV759">
        <v>0</v>
      </c>
      <c r="AW759">
        <v>2</v>
      </c>
      <c r="AX759">
        <v>16632849</v>
      </c>
      <c r="AY759">
        <v>1</v>
      </c>
      <c r="AZ759">
        <v>0</v>
      </c>
      <c r="BA759">
        <v>761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Y759*Source!I355</f>
        <v>3</v>
      </c>
      <c r="CY759">
        <f>AA759</f>
        <v>71.3</v>
      </c>
      <c r="CZ759">
        <f>AE759</f>
        <v>10</v>
      </c>
      <c r="DA759">
        <f>AI759</f>
        <v>7.13</v>
      </c>
      <c r="DB759">
        <f>ROUND(ROUND(AT759*CZ759,2),2)</f>
        <v>10</v>
      </c>
      <c r="DC759">
        <f>ROUND(ROUND(AT759*AG759,2),2)</f>
        <v>0</v>
      </c>
    </row>
    <row r="760" spans="1:107" x14ac:dyDescent="0.2">
      <c r="A760">
        <f>ROW(Source!A355)</f>
        <v>355</v>
      </c>
      <c r="B760">
        <v>16630606</v>
      </c>
      <c r="C760">
        <v>16632834</v>
      </c>
      <c r="D760">
        <v>15232695</v>
      </c>
      <c r="E760">
        <v>1</v>
      </c>
      <c r="F760">
        <v>1</v>
      </c>
      <c r="G760">
        <v>1</v>
      </c>
      <c r="H760">
        <v>3</v>
      </c>
      <c r="I760" t="s">
        <v>1638</v>
      </c>
      <c r="J760" t="s">
        <v>1639</v>
      </c>
      <c r="K760" t="s">
        <v>1640</v>
      </c>
      <c r="L760">
        <v>1354</v>
      </c>
      <c r="N760">
        <v>1010</v>
      </c>
      <c r="O760" t="s">
        <v>132</v>
      </c>
      <c r="P760" t="s">
        <v>132</v>
      </c>
      <c r="Q760">
        <v>1</v>
      </c>
      <c r="W760">
        <v>0</v>
      </c>
      <c r="X760">
        <v>-201822490</v>
      </c>
      <c r="Y760">
        <v>1</v>
      </c>
      <c r="AA760">
        <v>173.26</v>
      </c>
      <c r="AB760">
        <v>0</v>
      </c>
      <c r="AC760">
        <v>0</v>
      </c>
      <c r="AD760">
        <v>0</v>
      </c>
      <c r="AE760">
        <v>24.3</v>
      </c>
      <c r="AF760">
        <v>0</v>
      </c>
      <c r="AG760">
        <v>0</v>
      </c>
      <c r="AH760">
        <v>0</v>
      </c>
      <c r="AI760">
        <v>7.13</v>
      </c>
      <c r="AJ760">
        <v>1</v>
      </c>
      <c r="AK760">
        <v>1</v>
      </c>
      <c r="AL760">
        <v>1</v>
      </c>
      <c r="AN760">
        <v>0</v>
      </c>
      <c r="AO760">
        <v>1</v>
      </c>
      <c r="AP760">
        <v>0</v>
      </c>
      <c r="AQ760">
        <v>0</v>
      </c>
      <c r="AR760">
        <v>0</v>
      </c>
      <c r="AS760" t="s">
        <v>6</v>
      </c>
      <c r="AT760">
        <v>1</v>
      </c>
      <c r="AU760" t="s">
        <v>6</v>
      </c>
      <c r="AV760">
        <v>0</v>
      </c>
      <c r="AW760">
        <v>2</v>
      </c>
      <c r="AX760">
        <v>16632850</v>
      </c>
      <c r="AY760">
        <v>1</v>
      </c>
      <c r="AZ760">
        <v>0</v>
      </c>
      <c r="BA760">
        <v>762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Y760*Source!I355</f>
        <v>3</v>
      </c>
      <c r="CY760">
        <f>AA760</f>
        <v>173.26</v>
      </c>
      <c r="CZ760">
        <f>AE760</f>
        <v>24.3</v>
      </c>
      <c r="DA760">
        <f>AI760</f>
        <v>7.13</v>
      </c>
      <c r="DB760">
        <f>ROUND(ROUND(AT760*CZ760,2),2)</f>
        <v>24.3</v>
      </c>
      <c r="DC760">
        <f>ROUND(ROUND(AT760*AG760,2),2)</f>
        <v>0</v>
      </c>
    </row>
    <row r="761" spans="1:107" x14ac:dyDescent="0.2">
      <c r="A761">
        <f>ROW(Source!A356)</f>
        <v>356</v>
      </c>
      <c r="B761">
        <v>16630606</v>
      </c>
      <c r="C761">
        <v>16632851</v>
      </c>
      <c r="D761">
        <v>15430767</v>
      </c>
      <c r="E761">
        <v>1</v>
      </c>
      <c r="F761">
        <v>1</v>
      </c>
      <c r="G761">
        <v>1</v>
      </c>
      <c r="H761">
        <v>1</v>
      </c>
      <c r="I761" t="s">
        <v>1171</v>
      </c>
      <c r="J761" t="s">
        <v>6</v>
      </c>
      <c r="K761" t="s">
        <v>1172</v>
      </c>
      <c r="L761">
        <v>1191</v>
      </c>
      <c r="N761">
        <v>1013</v>
      </c>
      <c r="O761" t="s">
        <v>1148</v>
      </c>
      <c r="P761" t="s">
        <v>1148</v>
      </c>
      <c r="Q761">
        <v>1</v>
      </c>
      <c r="W761">
        <v>0</v>
      </c>
      <c r="X761">
        <v>-400197608</v>
      </c>
      <c r="Y761">
        <v>10.280999999999999</v>
      </c>
      <c r="AA761">
        <v>0</v>
      </c>
      <c r="AB761">
        <v>0</v>
      </c>
      <c r="AC761">
        <v>0</v>
      </c>
      <c r="AD761">
        <v>60.82</v>
      </c>
      <c r="AE761">
        <v>0</v>
      </c>
      <c r="AF761">
        <v>0</v>
      </c>
      <c r="AG761">
        <v>0</v>
      </c>
      <c r="AH761">
        <v>8.5299999999999994</v>
      </c>
      <c r="AI761">
        <v>1</v>
      </c>
      <c r="AJ761">
        <v>1</v>
      </c>
      <c r="AK761">
        <v>1</v>
      </c>
      <c r="AL761">
        <v>7.13</v>
      </c>
      <c r="AN761">
        <v>0</v>
      </c>
      <c r="AO761">
        <v>1</v>
      </c>
      <c r="AP761">
        <v>1</v>
      </c>
      <c r="AQ761">
        <v>0</v>
      </c>
      <c r="AR761">
        <v>0</v>
      </c>
      <c r="AS761" t="s">
        <v>6</v>
      </c>
      <c r="AT761">
        <v>8.94</v>
      </c>
      <c r="AU761" t="s">
        <v>82</v>
      </c>
      <c r="AV761">
        <v>1</v>
      </c>
      <c r="AW761">
        <v>2</v>
      </c>
      <c r="AX761">
        <v>16632860</v>
      </c>
      <c r="AY761">
        <v>1</v>
      </c>
      <c r="AZ761">
        <v>0</v>
      </c>
      <c r="BA761">
        <v>763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Y761*Source!I356</f>
        <v>30.842999999999996</v>
      </c>
      <c r="CY761">
        <f>AD761</f>
        <v>60.82</v>
      </c>
      <c r="CZ761">
        <f>AH761</f>
        <v>8.5299999999999994</v>
      </c>
      <c r="DA761">
        <f>AL761</f>
        <v>7.13</v>
      </c>
      <c r="DB761">
        <f>ROUND((ROUND(AT761*CZ761,2)*1.15),2)</f>
        <v>87.7</v>
      </c>
      <c r="DC761">
        <f>ROUND((ROUND(AT761*AG761,2)*1.15),2)</f>
        <v>0</v>
      </c>
    </row>
    <row r="762" spans="1:107" x14ac:dyDescent="0.2">
      <c r="A762">
        <f>ROW(Source!A356)</f>
        <v>356</v>
      </c>
      <c r="B762">
        <v>16630606</v>
      </c>
      <c r="C762">
        <v>16632851</v>
      </c>
      <c r="D762">
        <v>15430395</v>
      </c>
      <c r="E762">
        <v>1</v>
      </c>
      <c r="F762">
        <v>1</v>
      </c>
      <c r="G762">
        <v>1</v>
      </c>
      <c r="H762">
        <v>1</v>
      </c>
      <c r="I762" t="s">
        <v>1149</v>
      </c>
      <c r="J762" t="s">
        <v>6</v>
      </c>
      <c r="K762" t="s">
        <v>1150</v>
      </c>
      <c r="L762">
        <v>1191</v>
      </c>
      <c r="N762">
        <v>1013</v>
      </c>
      <c r="O762" t="s">
        <v>1148</v>
      </c>
      <c r="P762" t="s">
        <v>1148</v>
      </c>
      <c r="Q762">
        <v>1</v>
      </c>
      <c r="W762">
        <v>0</v>
      </c>
      <c r="X762">
        <v>-1417349443</v>
      </c>
      <c r="Y762">
        <v>0.01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1</v>
      </c>
      <c r="AJ762">
        <v>1</v>
      </c>
      <c r="AK762">
        <v>7.13</v>
      </c>
      <c r="AL762">
        <v>1</v>
      </c>
      <c r="AN762">
        <v>0</v>
      </c>
      <c r="AO762">
        <v>1</v>
      </c>
      <c r="AP762">
        <v>0</v>
      </c>
      <c r="AQ762">
        <v>0</v>
      </c>
      <c r="AR762">
        <v>0</v>
      </c>
      <c r="AS762" t="s">
        <v>6</v>
      </c>
      <c r="AT762">
        <v>0.01</v>
      </c>
      <c r="AU762" t="s">
        <v>6</v>
      </c>
      <c r="AV762">
        <v>2</v>
      </c>
      <c r="AW762">
        <v>2</v>
      </c>
      <c r="AX762">
        <v>16632861</v>
      </c>
      <c r="AY762">
        <v>1</v>
      </c>
      <c r="AZ762">
        <v>2048</v>
      </c>
      <c r="BA762">
        <v>764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Y762*Source!I356</f>
        <v>0.03</v>
      </c>
      <c r="CY762">
        <f>AD762</f>
        <v>0</v>
      </c>
      <c r="CZ762">
        <f>AH762</f>
        <v>0</v>
      </c>
      <c r="DA762">
        <f>AL762</f>
        <v>1</v>
      </c>
      <c r="DB762">
        <f>ROUND(ROUND(AT762*CZ762,2),2)</f>
        <v>0</v>
      </c>
      <c r="DC762">
        <f>ROUND(ROUND(AT762*AG762,2),2)</f>
        <v>0</v>
      </c>
    </row>
    <row r="763" spans="1:107" x14ac:dyDescent="0.2">
      <c r="A763">
        <f>ROW(Source!A356)</f>
        <v>356</v>
      </c>
      <c r="B763">
        <v>16630606</v>
      </c>
      <c r="C763">
        <v>16632851</v>
      </c>
      <c r="D763">
        <v>15249073</v>
      </c>
      <c r="E763">
        <v>1</v>
      </c>
      <c r="F763">
        <v>1</v>
      </c>
      <c r="G763">
        <v>1</v>
      </c>
      <c r="H763">
        <v>2</v>
      </c>
      <c r="I763" t="s">
        <v>1157</v>
      </c>
      <c r="J763" t="s">
        <v>1158</v>
      </c>
      <c r="K763" t="s">
        <v>1159</v>
      </c>
      <c r="L763">
        <v>1368</v>
      </c>
      <c r="N763">
        <v>1011</v>
      </c>
      <c r="O763" t="s">
        <v>1154</v>
      </c>
      <c r="P763" t="s">
        <v>1154</v>
      </c>
      <c r="Q763">
        <v>1</v>
      </c>
      <c r="W763">
        <v>0</v>
      </c>
      <c r="X763">
        <v>1372534845</v>
      </c>
      <c r="Y763">
        <v>1.2500000000000001E-2</v>
      </c>
      <c r="AA763">
        <v>0</v>
      </c>
      <c r="AB763">
        <v>468.51</v>
      </c>
      <c r="AC763">
        <v>11.6</v>
      </c>
      <c r="AD763">
        <v>0</v>
      </c>
      <c r="AE763">
        <v>0</v>
      </c>
      <c r="AF763">
        <v>65.709999999999994</v>
      </c>
      <c r="AG763">
        <v>11.6</v>
      </c>
      <c r="AH763">
        <v>0</v>
      </c>
      <c r="AI763">
        <v>1</v>
      </c>
      <c r="AJ763">
        <v>7.13</v>
      </c>
      <c r="AK763">
        <v>1</v>
      </c>
      <c r="AL763">
        <v>1</v>
      </c>
      <c r="AN763">
        <v>0</v>
      </c>
      <c r="AO763">
        <v>1</v>
      </c>
      <c r="AP763">
        <v>1</v>
      </c>
      <c r="AQ763">
        <v>0</v>
      </c>
      <c r="AR763">
        <v>0</v>
      </c>
      <c r="AS763" t="s">
        <v>6</v>
      </c>
      <c r="AT763">
        <v>0.01</v>
      </c>
      <c r="AU763" t="s">
        <v>81</v>
      </c>
      <c r="AV763">
        <v>0</v>
      </c>
      <c r="AW763">
        <v>2</v>
      </c>
      <c r="AX763">
        <v>16632862</v>
      </c>
      <c r="AY763">
        <v>1</v>
      </c>
      <c r="AZ763">
        <v>0</v>
      </c>
      <c r="BA763">
        <v>765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Y763*Source!I356</f>
        <v>3.7500000000000006E-2</v>
      </c>
      <c r="CY763">
        <f>AB763</f>
        <v>468.51</v>
      </c>
      <c r="CZ763">
        <f>AF763</f>
        <v>65.709999999999994</v>
      </c>
      <c r="DA763">
        <f>AJ763</f>
        <v>7.13</v>
      </c>
      <c r="DB763">
        <f>ROUND((ROUND(AT763*CZ763,2)*1.25),2)</f>
        <v>0.83</v>
      </c>
      <c r="DC763">
        <f>ROUND((ROUND(AT763*AG763,2)*1.25),2)</f>
        <v>0.15</v>
      </c>
    </row>
    <row r="764" spans="1:107" x14ac:dyDescent="0.2">
      <c r="A764">
        <f>ROW(Source!A356)</f>
        <v>356</v>
      </c>
      <c r="B764">
        <v>16630606</v>
      </c>
      <c r="C764">
        <v>16632851</v>
      </c>
      <c r="D764">
        <v>15167964</v>
      </c>
      <c r="E764">
        <v>1</v>
      </c>
      <c r="F764">
        <v>1</v>
      </c>
      <c r="G764">
        <v>1</v>
      </c>
      <c r="H764">
        <v>3</v>
      </c>
      <c r="I764" t="s">
        <v>1629</v>
      </c>
      <c r="J764" t="s">
        <v>1630</v>
      </c>
      <c r="K764" t="s">
        <v>1631</v>
      </c>
      <c r="L764">
        <v>1346</v>
      </c>
      <c r="N764">
        <v>1009</v>
      </c>
      <c r="O764" t="s">
        <v>102</v>
      </c>
      <c r="P764" t="s">
        <v>102</v>
      </c>
      <c r="Q764">
        <v>1</v>
      </c>
      <c r="W764">
        <v>0</v>
      </c>
      <c r="X764">
        <v>382130935</v>
      </c>
      <c r="Y764">
        <v>7.2000000000000005E-4</v>
      </c>
      <c r="AA764">
        <v>64.459999999999994</v>
      </c>
      <c r="AB764">
        <v>0</v>
      </c>
      <c r="AC764">
        <v>0</v>
      </c>
      <c r="AD764">
        <v>0</v>
      </c>
      <c r="AE764">
        <v>9.0399999999999991</v>
      </c>
      <c r="AF764">
        <v>0</v>
      </c>
      <c r="AG764">
        <v>0</v>
      </c>
      <c r="AH764">
        <v>0</v>
      </c>
      <c r="AI764">
        <v>7.13</v>
      </c>
      <c r="AJ764">
        <v>1</v>
      </c>
      <c r="AK764">
        <v>1</v>
      </c>
      <c r="AL764">
        <v>1</v>
      </c>
      <c r="AN764">
        <v>0</v>
      </c>
      <c r="AO764">
        <v>1</v>
      </c>
      <c r="AP764">
        <v>0</v>
      </c>
      <c r="AQ764">
        <v>0</v>
      </c>
      <c r="AR764">
        <v>0</v>
      </c>
      <c r="AS764" t="s">
        <v>6</v>
      </c>
      <c r="AT764">
        <v>7.2000000000000005E-4</v>
      </c>
      <c r="AU764" t="s">
        <v>6</v>
      </c>
      <c r="AV764">
        <v>0</v>
      </c>
      <c r="AW764">
        <v>2</v>
      </c>
      <c r="AX764">
        <v>16632863</v>
      </c>
      <c r="AY764">
        <v>1</v>
      </c>
      <c r="AZ764">
        <v>0</v>
      </c>
      <c r="BA764">
        <v>766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Y764*Source!I356</f>
        <v>2.16E-3</v>
      </c>
      <c r="CY764">
        <f>AA764</f>
        <v>64.459999999999994</v>
      </c>
      <c r="CZ764">
        <f>AE764</f>
        <v>9.0399999999999991</v>
      </c>
      <c r="DA764">
        <f>AI764</f>
        <v>7.13</v>
      </c>
      <c r="DB764">
        <f t="shared" ref="DB764:DB772" si="140">ROUND(ROUND(AT764*CZ764,2),2)</f>
        <v>0.01</v>
      </c>
      <c r="DC764">
        <f t="shared" ref="DC764:DC772" si="141">ROUND(ROUND(AT764*AG764,2),2)</f>
        <v>0</v>
      </c>
    </row>
    <row r="765" spans="1:107" x14ac:dyDescent="0.2">
      <c r="A765">
        <f>ROW(Source!A356)</f>
        <v>356</v>
      </c>
      <c r="B765">
        <v>16630606</v>
      </c>
      <c r="C765">
        <v>16632851</v>
      </c>
      <c r="D765">
        <v>15172117</v>
      </c>
      <c r="E765">
        <v>1</v>
      </c>
      <c r="F765">
        <v>1</v>
      </c>
      <c r="G765">
        <v>1</v>
      </c>
      <c r="H765">
        <v>3</v>
      </c>
      <c r="I765" t="s">
        <v>1611</v>
      </c>
      <c r="J765" t="s">
        <v>1612</v>
      </c>
      <c r="K765" t="s">
        <v>1613</v>
      </c>
      <c r="L765">
        <v>1348</v>
      </c>
      <c r="N765">
        <v>1009</v>
      </c>
      <c r="O765" t="s">
        <v>98</v>
      </c>
      <c r="P765" t="s">
        <v>98</v>
      </c>
      <c r="Q765">
        <v>1000</v>
      </c>
      <c r="W765">
        <v>0</v>
      </c>
      <c r="X765">
        <v>1529337430</v>
      </c>
      <c r="Y765">
        <v>1.92E-3</v>
      </c>
      <c r="AA765">
        <v>13090.68</v>
      </c>
      <c r="AB765">
        <v>0</v>
      </c>
      <c r="AC765">
        <v>0</v>
      </c>
      <c r="AD765">
        <v>0</v>
      </c>
      <c r="AE765">
        <v>1836</v>
      </c>
      <c r="AF765">
        <v>0</v>
      </c>
      <c r="AG765">
        <v>0</v>
      </c>
      <c r="AH765">
        <v>0</v>
      </c>
      <c r="AI765">
        <v>7.13</v>
      </c>
      <c r="AJ765">
        <v>1</v>
      </c>
      <c r="AK765">
        <v>1</v>
      </c>
      <c r="AL765">
        <v>1</v>
      </c>
      <c r="AN765">
        <v>0</v>
      </c>
      <c r="AO765">
        <v>1</v>
      </c>
      <c r="AP765">
        <v>0</v>
      </c>
      <c r="AQ765">
        <v>0</v>
      </c>
      <c r="AR765">
        <v>0</v>
      </c>
      <c r="AS765" t="s">
        <v>6</v>
      </c>
      <c r="AT765">
        <v>1.92E-3</v>
      </c>
      <c r="AU765" t="s">
        <v>6</v>
      </c>
      <c r="AV765">
        <v>0</v>
      </c>
      <c r="AW765">
        <v>2</v>
      </c>
      <c r="AX765">
        <v>16632864</v>
      </c>
      <c r="AY765">
        <v>1</v>
      </c>
      <c r="AZ765">
        <v>0</v>
      </c>
      <c r="BA765">
        <v>767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Y765*Source!I356</f>
        <v>5.7600000000000004E-3</v>
      </c>
      <c r="CY765">
        <f>AA765</f>
        <v>13090.68</v>
      </c>
      <c r="CZ765">
        <f>AE765</f>
        <v>1836</v>
      </c>
      <c r="DA765">
        <f>AI765</f>
        <v>7.13</v>
      </c>
      <c r="DB765">
        <f t="shared" si="140"/>
        <v>3.53</v>
      </c>
      <c r="DC765">
        <f t="shared" si="141"/>
        <v>0</v>
      </c>
    </row>
    <row r="766" spans="1:107" x14ac:dyDescent="0.2">
      <c r="A766">
        <f>ROW(Source!A356)</f>
        <v>356</v>
      </c>
      <c r="B766">
        <v>16630606</v>
      </c>
      <c r="C766">
        <v>16632851</v>
      </c>
      <c r="D766">
        <v>15232307</v>
      </c>
      <c r="E766">
        <v>1</v>
      </c>
      <c r="F766">
        <v>1</v>
      </c>
      <c r="G766">
        <v>1</v>
      </c>
      <c r="H766">
        <v>3</v>
      </c>
      <c r="I766" t="s">
        <v>1641</v>
      </c>
      <c r="J766" t="s">
        <v>1642</v>
      </c>
      <c r="K766" t="s">
        <v>1643</v>
      </c>
      <c r="L766">
        <v>1354</v>
      </c>
      <c r="N766">
        <v>1010</v>
      </c>
      <c r="O766" t="s">
        <v>132</v>
      </c>
      <c r="P766" t="s">
        <v>132</v>
      </c>
      <c r="Q766">
        <v>1</v>
      </c>
      <c r="W766">
        <v>0</v>
      </c>
      <c r="X766">
        <v>-1893675147</v>
      </c>
      <c r="Y766">
        <v>1</v>
      </c>
      <c r="AA766">
        <v>554.42999999999995</v>
      </c>
      <c r="AB766">
        <v>0</v>
      </c>
      <c r="AC766">
        <v>0</v>
      </c>
      <c r="AD766">
        <v>0</v>
      </c>
      <c r="AE766">
        <v>77.760000000000005</v>
      </c>
      <c r="AF766">
        <v>0</v>
      </c>
      <c r="AG766">
        <v>0</v>
      </c>
      <c r="AH766">
        <v>0</v>
      </c>
      <c r="AI766">
        <v>7.13</v>
      </c>
      <c r="AJ766">
        <v>1</v>
      </c>
      <c r="AK766">
        <v>1</v>
      </c>
      <c r="AL766">
        <v>1</v>
      </c>
      <c r="AN766">
        <v>0</v>
      </c>
      <c r="AO766">
        <v>1</v>
      </c>
      <c r="AP766">
        <v>0</v>
      </c>
      <c r="AQ766">
        <v>0</v>
      </c>
      <c r="AR766">
        <v>0</v>
      </c>
      <c r="AS766" t="s">
        <v>6</v>
      </c>
      <c r="AT766">
        <v>1</v>
      </c>
      <c r="AU766" t="s">
        <v>6</v>
      </c>
      <c r="AV766">
        <v>0</v>
      </c>
      <c r="AW766">
        <v>2</v>
      </c>
      <c r="AX766">
        <v>16632865</v>
      </c>
      <c r="AY766">
        <v>1</v>
      </c>
      <c r="AZ766">
        <v>0</v>
      </c>
      <c r="BA766">
        <v>768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Y766*Source!I356</f>
        <v>3</v>
      </c>
      <c r="CY766">
        <f>AA766</f>
        <v>554.42999999999995</v>
      </c>
      <c r="CZ766">
        <f>AE766</f>
        <v>77.760000000000005</v>
      </c>
      <c r="DA766">
        <f>AI766</f>
        <v>7.13</v>
      </c>
      <c r="DB766">
        <f t="shared" si="140"/>
        <v>77.760000000000005</v>
      </c>
      <c r="DC766">
        <f t="shared" si="141"/>
        <v>0</v>
      </c>
    </row>
    <row r="767" spans="1:107" x14ac:dyDescent="0.2">
      <c r="A767">
        <f>ROW(Source!A356)</f>
        <v>356</v>
      </c>
      <c r="B767">
        <v>16630606</v>
      </c>
      <c r="C767">
        <v>16632851</v>
      </c>
      <c r="D767">
        <v>15232446</v>
      </c>
      <c r="E767">
        <v>1</v>
      </c>
      <c r="F767">
        <v>1</v>
      </c>
      <c r="G767">
        <v>1</v>
      </c>
      <c r="H767">
        <v>3</v>
      </c>
      <c r="I767" t="s">
        <v>1644</v>
      </c>
      <c r="J767" t="s">
        <v>1645</v>
      </c>
      <c r="K767" t="s">
        <v>1646</v>
      </c>
      <c r="L767">
        <v>1354</v>
      </c>
      <c r="N767">
        <v>1010</v>
      </c>
      <c r="O767" t="s">
        <v>132</v>
      </c>
      <c r="P767" t="s">
        <v>132</v>
      </c>
      <c r="Q767">
        <v>1</v>
      </c>
      <c r="W767">
        <v>0</v>
      </c>
      <c r="X767">
        <v>-243969227</v>
      </c>
      <c r="Y767">
        <v>1</v>
      </c>
      <c r="AA767">
        <v>124.85</v>
      </c>
      <c r="AB767">
        <v>0</v>
      </c>
      <c r="AC767">
        <v>0</v>
      </c>
      <c r="AD767">
        <v>0</v>
      </c>
      <c r="AE767">
        <v>17.510000000000002</v>
      </c>
      <c r="AF767">
        <v>0</v>
      </c>
      <c r="AG767">
        <v>0</v>
      </c>
      <c r="AH767">
        <v>0</v>
      </c>
      <c r="AI767">
        <v>7.13</v>
      </c>
      <c r="AJ767">
        <v>1</v>
      </c>
      <c r="AK767">
        <v>1</v>
      </c>
      <c r="AL767">
        <v>1</v>
      </c>
      <c r="AN767">
        <v>0</v>
      </c>
      <c r="AO767">
        <v>1</v>
      </c>
      <c r="AP767">
        <v>0</v>
      </c>
      <c r="AQ767">
        <v>0</v>
      </c>
      <c r="AR767">
        <v>0</v>
      </c>
      <c r="AS767" t="s">
        <v>6</v>
      </c>
      <c r="AT767">
        <v>1</v>
      </c>
      <c r="AU767" t="s">
        <v>6</v>
      </c>
      <c r="AV767">
        <v>0</v>
      </c>
      <c r="AW767">
        <v>2</v>
      </c>
      <c r="AX767">
        <v>16632866</v>
      </c>
      <c r="AY767">
        <v>1</v>
      </c>
      <c r="AZ767">
        <v>0</v>
      </c>
      <c r="BA767">
        <v>769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X767">
        <f>Y767*Source!I356</f>
        <v>3</v>
      </c>
      <c r="CY767">
        <f>AA767</f>
        <v>124.85</v>
      </c>
      <c r="CZ767">
        <f>AE767</f>
        <v>17.510000000000002</v>
      </c>
      <c r="DA767">
        <f>AI767</f>
        <v>7.13</v>
      </c>
      <c r="DB767">
        <f t="shared" si="140"/>
        <v>17.510000000000002</v>
      </c>
      <c r="DC767">
        <f t="shared" si="141"/>
        <v>0</v>
      </c>
    </row>
    <row r="768" spans="1:107" x14ac:dyDescent="0.2">
      <c r="A768">
        <f>ROW(Source!A356)</f>
        <v>356</v>
      </c>
      <c r="B768">
        <v>16630606</v>
      </c>
      <c r="C768">
        <v>16632851</v>
      </c>
      <c r="D768">
        <v>15232697</v>
      </c>
      <c r="E768">
        <v>1</v>
      </c>
      <c r="F768">
        <v>1</v>
      </c>
      <c r="G768">
        <v>1</v>
      </c>
      <c r="H768">
        <v>3</v>
      </c>
      <c r="I768" t="s">
        <v>1647</v>
      </c>
      <c r="J768" t="s">
        <v>1648</v>
      </c>
      <c r="K768" t="s">
        <v>1649</v>
      </c>
      <c r="L768">
        <v>1354</v>
      </c>
      <c r="N768">
        <v>1010</v>
      </c>
      <c r="O768" t="s">
        <v>132</v>
      </c>
      <c r="P768" t="s">
        <v>132</v>
      </c>
      <c r="Q768">
        <v>1</v>
      </c>
      <c r="W768">
        <v>0</v>
      </c>
      <c r="X768">
        <v>-2122562565</v>
      </c>
      <c r="Y768">
        <v>1</v>
      </c>
      <c r="AA768">
        <v>261.67</v>
      </c>
      <c r="AB768">
        <v>0</v>
      </c>
      <c r="AC768">
        <v>0</v>
      </c>
      <c r="AD768">
        <v>0</v>
      </c>
      <c r="AE768">
        <v>36.700000000000003</v>
      </c>
      <c r="AF768">
        <v>0</v>
      </c>
      <c r="AG768">
        <v>0</v>
      </c>
      <c r="AH768">
        <v>0</v>
      </c>
      <c r="AI768">
        <v>7.13</v>
      </c>
      <c r="AJ768">
        <v>1</v>
      </c>
      <c r="AK768">
        <v>1</v>
      </c>
      <c r="AL768">
        <v>1</v>
      </c>
      <c r="AN768">
        <v>0</v>
      </c>
      <c r="AO768">
        <v>1</v>
      </c>
      <c r="AP768">
        <v>0</v>
      </c>
      <c r="AQ768">
        <v>0</v>
      </c>
      <c r="AR768">
        <v>0</v>
      </c>
      <c r="AS768" t="s">
        <v>6</v>
      </c>
      <c r="AT768">
        <v>1</v>
      </c>
      <c r="AU768" t="s">
        <v>6</v>
      </c>
      <c r="AV768">
        <v>0</v>
      </c>
      <c r="AW768">
        <v>2</v>
      </c>
      <c r="AX768">
        <v>16632867</v>
      </c>
      <c r="AY768">
        <v>1</v>
      </c>
      <c r="AZ768">
        <v>0</v>
      </c>
      <c r="BA768">
        <v>770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X768">
        <f>Y768*Source!I356</f>
        <v>3</v>
      </c>
      <c r="CY768">
        <f>AA768</f>
        <v>261.67</v>
      </c>
      <c r="CZ768">
        <f>AE768</f>
        <v>36.700000000000003</v>
      </c>
      <c r="DA768">
        <f>AI768</f>
        <v>7.13</v>
      </c>
      <c r="DB768">
        <f t="shared" si="140"/>
        <v>36.700000000000003</v>
      </c>
      <c r="DC768">
        <f t="shared" si="141"/>
        <v>0</v>
      </c>
    </row>
    <row r="769" spans="1:107" x14ac:dyDescent="0.2">
      <c r="A769">
        <f>ROW(Source!A394)</f>
        <v>394</v>
      </c>
      <c r="B769">
        <v>16630606</v>
      </c>
      <c r="C769">
        <v>16632868</v>
      </c>
      <c r="D769">
        <v>15432356</v>
      </c>
      <c r="E769">
        <v>1</v>
      </c>
      <c r="F769">
        <v>1</v>
      </c>
      <c r="G769">
        <v>1</v>
      </c>
      <c r="H769">
        <v>1</v>
      </c>
      <c r="I769" t="s">
        <v>1319</v>
      </c>
      <c r="J769" t="s">
        <v>6</v>
      </c>
      <c r="K769" t="s">
        <v>1320</v>
      </c>
      <c r="L769">
        <v>1191</v>
      </c>
      <c r="N769">
        <v>1013</v>
      </c>
      <c r="O769" t="s">
        <v>1148</v>
      </c>
      <c r="P769" t="s">
        <v>1148</v>
      </c>
      <c r="Q769">
        <v>1</v>
      </c>
      <c r="W769">
        <v>0</v>
      </c>
      <c r="X769">
        <v>1850719656</v>
      </c>
      <c r="Y769">
        <v>34.659999999999997</v>
      </c>
      <c r="AA769">
        <v>0</v>
      </c>
      <c r="AB769">
        <v>0</v>
      </c>
      <c r="AC769">
        <v>0</v>
      </c>
      <c r="AD769">
        <v>59.25</v>
      </c>
      <c r="AE769">
        <v>0</v>
      </c>
      <c r="AF769">
        <v>0</v>
      </c>
      <c r="AG769">
        <v>0</v>
      </c>
      <c r="AH769">
        <v>8.31</v>
      </c>
      <c r="AI769">
        <v>1</v>
      </c>
      <c r="AJ769">
        <v>1</v>
      </c>
      <c r="AK769">
        <v>1</v>
      </c>
      <c r="AL769">
        <v>7.13</v>
      </c>
      <c r="AN769">
        <v>0</v>
      </c>
      <c r="AO769">
        <v>1</v>
      </c>
      <c r="AP769">
        <v>0</v>
      </c>
      <c r="AQ769">
        <v>0</v>
      </c>
      <c r="AR769">
        <v>0</v>
      </c>
      <c r="AS769" t="s">
        <v>6</v>
      </c>
      <c r="AT769">
        <v>34.659999999999997</v>
      </c>
      <c r="AU769" t="s">
        <v>6</v>
      </c>
      <c r="AV769">
        <v>1</v>
      </c>
      <c r="AW769">
        <v>2</v>
      </c>
      <c r="AX769">
        <v>16632875</v>
      </c>
      <c r="AY769">
        <v>1</v>
      </c>
      <c r="AZ769">
        <v>0</v>
      </c>
      <c r="BA769">
        <v>771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X769">
        <f>Y769*Source!I394</f>
        <v>31.297979999999999</v>
      </c>
      <c r="CY769">
        <f>AD769</f>
        <v>59.25</v>
      </c>
      <c r="CZ769">
        <f>AH769</f>
        <v>8.31</v>
      </c>
      <c r="DA769">
        <f>AL769</f>
        <v>7.13</v>
      </c>
      <c r="DB769">
        <f t="shared" si="140"/>
        <v>288.02</v>
      </c>
      <c r="DC769">
        <f t="shared" si="141"/>
        <v>0</v>
      </c>
    </row>
    <row r="770" spans="1:107" x14ac:dyDescent="0.2">
      <c r="A770">
        <f>ROW(Source!A394)</f>
        <v>394</v>
      </c>
      <c r="B770">
        <v>16630606</v>
      </c>
      <c r="C770">
        <v>16632868</v>
      </c>
      <c r="D770">
        <v>15430395</v>
      </c>
      <c r="E770">
        <v>1</v>
      </c>
      <c r="F770">
        <v>1</v>
      </c>
      <c r="G770">
        <v>1</v>
      </c>
      <c r="H770">
        <v>1</v>
      </c>
      <c r="I770" t="s">
        <v>1149</v>
      </c>
      <c r="J770" t="s">
        <v>6</v>
      </c>
      <c r="K770" t="s">
        <v>1150</v>
      </c>
      <c r="L770">
        <v>1191</v>
      </c>
      <c r="N770">
        <v>1013</v>
      </c>
      <c r="O770" t="s">
        <v>1148</v>
      </c>
      <c r="P770" t="s">
        <v>1148</v>
      </c>
      <c r="Q770">
        <v>1</v>
      </c>
      <c r="W770">
        <v>0</v>
      </c>
      <c r="X770">
        <v>-1417349443</v>
      </c>
      <c r="Y770">
        <v>0.1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1</v>
      </c>
      <c r="AJ770">
        <v>1</v>
      </c>
      <c r="AK770">
        <v>7.13</v>
      </c>
      <c r="AL770">
        <v>1</v>
      </c>
      <c r="AN770">
        <v>0</v>
      </c>
      <c r="AO770">
        <v>1</v>
      </c>
      <c r="AP770">
        <v>0</v>
      </c>
      <c r="AQ770">
        <v>0</v>
      </c>
      <c r="AR770">
        <v>0</v>
      </c>
      <c r="AS770" t="s">
        <v>6</v>
      </c>
      <c r="AT770">
        <v>0.1</v>
      </c>
      <c r="AU770" t="s">
        <v>6</v>
      </c>
      <c r="AV770">
        <v>2</v>
      </c>
      <c r="AW770">
        <v>2</v>
      </c>
      <c r="AX770">
        <v>16632876</v>
      </c>
      <c r="AY770">
        <v>1</v>
      </c>
      <c r="AZ770">
        <v>0</v>
      </c>
      <c r="BA770">
        <v>772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X770">
        <f>Y770*Source!I394</f>
        <v>9.0300000000000005E-2</v>
      </c>
      <c r="CY770">
        <f>AD770</f>
        <v>0</v>
      </c>
      <c r="CZ770">
        <f>AH770</f>
        <v>0</v>
      </c>
      <c r="DA770">
        <f>AL770</f>
        <v>1</v>
      </c>
      <c r="DB770">
        <f t="shared" si="140"/>
        <v>0</v>
      </c>
      <c r="DC770">
        <f t="shared" si="141"/>
        <v>0</v>
      </c>
    </row>
    <row r="771" spans="1:107" x14ac:dyDescent="0.2">
      <c r="A771">
        <f>ROW(Source!A394)</f>
        <v>394</v>
      </c>
      <c r="B771">
        <v>16630606</v>
      </c>
      <c r="C771">
        <v>16632868</v>
      </c>
      <c r="D771">
        <v>15247974</v>
      </c>
      <c r="E771">
        <v>1</v>
      </c>
      <c r="F771">
        <v>1</v>
      </c>
      <c r="G771">
        <v>1</v>
      </c>
      <c r="H771">
        <v>2</v>
      </c>
      <c r="I771" t="s">
        <v>1151</v>
      </c>
      <c r="J771" t="s">
        <v>1152</v>
      </c>
      <c r="K771" t="s">
        <v>1153</v>
      </c>
      <c r="L771">
        <v>1368</v>
      </c>
      <c r="N771">
        <v>1011</v>
      </c>
      <c r="O771" t="s">
        <v>1154</v>
      </c>
      <c r="P771" t="s">
        <v>1154</v>
      </c>
      <c r="Q771">
        <v>1</v>
      </c>
      <c r="W771">
        <v>0</v>
      </c>
      <c r="X771">
        <v>1188625873</v>
      </c>
      <c r="Y771">
        <v>0.1</v>
      </c>
      <c r="AA771">
        <v>0</v>
      </c>
      <c r="AB771">
        <v>222.88</v>
      </c>
      <c r="AC771">
        <v>13.5</v>
      </c>
      <c r="AD771">
        <v>0</v>
      </c>
      <c r="AE771">
        <v>0</v>
      </c>
      <c r="AF771">
        <v>31.26</v>
      </c>
      <c r="AG771">
        <v>13.5</v>
      </c>
      <c r="AH771">
        <v>0</v>
      </c>
      <c r="AI771">
        <v>1</v>
      </c>
      <c r="AJ771">
        <v>7.13</v>
      </c>
      <c r="AK771">
        <v>1</v>
      </c>
      <c r="AL771">
        <v>1</v>
      </c>
      <c r="AN771">
        <v>0</v>
      </c>
      <c r="AO771">
        <v>1</v>
      </c>
      <c r="AP771">
        <v>0</v>
      </c>
      <c r="AQ771">
        <v>0</v>
      </c>
      <c r="AR771">
        <v>0</v>
      </c>
      <c r="AS771" t="s">
        <v>6</v>
      </c>
      <c r="AT771">
        <v>0.1</v>
      </c>
      <c r="AU771" t="s">
        <v>6</v>
      </c>
      <c r="AV771">
        <v>0</v>
      </c>
      <c r="AW771">
        <v>2</v>
      </c>
      <c r="AX771">
        <v>16632877</v>
      </c>
      <c r="AY771">
        <v>1</v>
      </c>
      <c r="AZ771">
        <v>0</v>
      </c>
      <c r="BA771">
        <v>773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X771">
        <f>Y771*Source!I394</f>
        <v>9.0300000000000005E-2</v>
      </c>
      <c r="CY771">
        <f>AB771</f>
        <v>222.88</v>
      </c>
      <c r="CZ771">
        <f>AF771</f>
        <v>31.26</v>
      </c>
      <c r="DA771">
        <f>AJ771</f>
        <v>7.13</v>
      </c>
      <c r="DB771">
        <f t="shared" si="140"/>
        <v>3.13</v>
      </c>
      <c r="DC771">
        <f t="shared" si="141"/>
        <v>1.35</v>
      </c>
    </row>
    <row r="772" spans="1:107" x14ac:dyDescent="0.2">
      <c r="A772">
        <f>ROW(Source!A394)</f>
        <v>394</v>
      </c>
      <c r="B772">
        <v>16630606</v>
      </c>
      <c r="C772">
        <v>16632868</v>
      </c>
      <c r="D772">
        <v>15249308</v>
      </c>
      <c r="E772">
        <v>1</v>
      </c>
      <c r="F772">
        <v>1</v>
      </c>
      <c r="G772">
        <v>1</v>
      </c>
      <c r="H772">
        <v>2</v>
      </c>
      <c r="I772" t="s">
        <v>1521</v>
      </c>
      <c r="J772" t="s">
        <v>1522</v>
      </c>
      <c r="K772" t="s">
        <v>1523</v>
      </c>
      <c r="L772">
        <v>1368</v>
      </c>
      <c r="N772">
        <v>1011</v>
      </c>
      <c r="O772" t="s">
        <v>1154</v>
      </c>
      <c r="P772" t="s">
        <v>1154</v>
      </c>
      <c r="Q772">
        <v>1</v>
      </c>
      <c r="W772">
        <v>0</v>
      </c>
      <c r="X772">
        <v>792402865</v>
      </c>
      <c r="Y772">
        <v>3.3</v>
      </c>
      <c r="AA772">
        <v>0</v>
      </c>
      <c r="AB772">
        <v>8.56</v>
      </c>
      <c r="AC772">
        <v>0</v>
      </c>
      <c r="AD772">
        <v>0</v>
      </c>
      <c r="AE772">
        <v>0</v>
      </c>
      <c r="AF772">
        <v>1.2</v>
      </c>
      <c r="AG772">
        <v>0</v>
      </c>
      <c r="AH772">
        <v>0</v>
      </c>
      <c r="AI772">
        <v>1</v>
      </c>
      <c r="AJ772">
        <v>7.13</v>
      </c>
      <c r="AK772">
        <v>1</v>
      </c>
      <c r="AL772">
        <v>1</v>
      </c>
      <c r="AN772">
        <v>0</v>
      </c>
      <c r="AO772">
        <v>1</v>
      </c>
      <c r="AP772">
        <v>0</v>
      </c>
      <c r="AQ772">
        <v>0</v>
      </c>
      <c r="AR772">
        <v>0</v>
      </c>
      <c r="AS772" t="s">
        <v>6</v>
      </c>
      <c r="AT772">
        <v>3.3</v>
      </c>
      <c r="AU772" t="s">
        <v>6</v>
      </c>
      <c r="AV772">
        <v>0</v>
      </c>
      <c r="AW772">
        <v>2</v>
      </c>
      <c r="AX772">
        <v>16632878</v>
      </c>
      <c r="AY772">
        <v>1</v>
      </c>
      <c r="AZ772">
        <v>0</v>
      </c>
      <c r="BA772">
        <v>774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X772">
        <f>Y772*Source!I394</f>
        <v>2.9798999999999998</v>
      </c>
      <c r="CY772">
        <f>AB772</f>
        <v>8.56</v>
      </c>
      <c r="CZ772">
        <f>AF772</f>
        <v>1.2</v>
      </c>
      <c r="DA772">
        <f>AJ772</f>
        <v>7.13</v>
      </c>
      <c r="DB772">
        <f t="shared" si="140"/>
        <v>3.96</v>
      </c>
      <c r="DC772">
        <f t="shared" si="141"/>
        <v>0</v>
      </c>
    </row>
    <row r="773" spans="1:107" x14ac:dyDescent="0.2">
      <c r="A773">
        <f>ROW(Source!A394)</f>
        <v>394</v>
      </c>
      <c r="B773">
        <v>16630606</v>
      </c>
      <c r="C773">
        <v>16632868</v>
      </c>
      <c r="D773">
        <v>15165634</v>
      </c>
      <c r="E773">
        <v>1</v>
      </c>
      <c r="F773">
        <v>1</v>
      </c>
      <c r="G773">
        <v>1</v>
      </c>
      <c r="H773">
        <v>3</v>
      </c>
      <c r="I773" t="s">
        <v>1524</v>
      </c>
      <c r="J773" t="s">
        <v>1525</v>
      </c>
      <c r="K773" t="s">
        <v>1526</v>
      </c>
      <c r="L773">
        <v>1339</v>
      </c>
      <c r="N773">
        <v>1007</v>
      </c>
      <c r="O773" t="s">
        <v>203</v>
      </c>
      <c r="P773" t="s">
        <v>203</v>
      </c>
      <c r="Q773">
        <v>1</v>
      </c>
      <c r="W773">
        <v>0</v>
      </c>
      <c r="X773">
        <v>1706747518</v>
      </c>
      <c r="Y773">
        <v>0</v>
      </c>
      <c r="AA773">
        <v>274.58</v>
      </c>
      <c r="AB773">
        <v>0</v>
      </c>
      <c r="AC773">
        <v>0</v>
      </c>
      <c r="AD773">
        <v>0</v>
      </c>
      <c r="AE773">
        <v>38.51</v>
      </c>
      <c r="AF773">
        <v>0</v>
      </c>
      <c r="AG773">
        <v>0</v>
      </c>
      <c r="AH773">
        <v>0</v>
      </c>
      <c r="AI773">
        <v>7.13</v>
      </c>
      <c r="AJ773">
        <v>1</v>
      </c>
      <c r="AK773">
        <v>1</v>
      </c>
      <c r="AL773">
        <v>1</v>
      </c>
      <c r="AN773">
        <v>0</v>
      </c>
      <c r="AO773">
        <v>1</v>
      </c>
      <c r="AP773">
        <v>1</v>
      </c>
      <c r="AQ773">
        <v>0</v>
      </c>
      <c r="AR773">
        <v>0</v>
      </c>
      <c r="AS773" t="s">
        <v>6</v>
      </c>
      <c r="AT773">
        <v>0.43</v>
      </c>
      <c r="AU773" t="s">
        <v>30</v>
      </c>
      <c r="AV773">
        <v>0</v>
      </c>
      <c r="AW773">
        <v>2</v>
      </c>
      <c r="AX773">
        <v>16632879</v>
      </c>
      <c r="AY773">
        <v>1</v>
      </c>
      <c r="AZ773">
        <v>0</v>
      </c>
      <c r="BA773">
        <v>775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X773">
        <f>Y773*Source!I394</f>
        <v>0</v>
      </c>
      <c r="CY773">
        <f>AA773</f>
        <v>274.58</v>
      </c>
      <c r="CZ773">
        <f>AE773</f>
        <v>38.51</v>
      </c>
      <c r="DA773">
        <f>AI773</f>
        <v>7.13</v>
      </c>
      <c r="DB773">
        <f>ROUND((ROUND(AT773*CZ773,2)*0),2)</f>
        <v>0</v>
      </c>
      <c r="DC773">
        <f>ROUND((ROUND(AT773*AG773,2)*0),2)</f>
        <v>0</v>
      </c>
    </row>
    <row r="774" spans="1:107" x14ac:dyDescent="0.2">
      <c r="A774">
        <f>ROW(Source!A394)</f>
        <v>394</v>
      </c>
      <c r="B774">
        <v>16630606</v>
      </c>
      <c r="C774">
        <v>16632868</v>
      </c>
      <c r="D774">
        <v>15165653</v>
      </c>
      <c r="E774">
        <v>1</v>
      </c>
      <c r="F774">
        <v>1</v>
      </c>
      <c r="G774">
        <v>1</v>
      </c>
      <c r="H774">
        <v>3</v>
      </c>
      <c r="I774" t="s">
        <v>1527</v>
      </c>
      <c r="J774" t="s">
        <v>1528</v>
      </c>
      <c r="K774" t="s">
        <v>1529</v>
      </c>
      <c r="L774">
        <v>1339</v>
      </c>
      <c r="N774">
        <v>1007</v>
      </c>
      <c r="O774" t="s">
        <v>203</v>
      </c>
      <c r="P774" t="s">
        <v>203</v>
      </c>
      <c r="Q774">
        <v>1</v>
      </c>
      <c r="W774">
        <v>0</v>
      </c>
      <c r="X774">
        <v>1262771840</v>
      </c>
      <c r="Y774">
        <v>0</v>
      </c>
      <c r="AA774">
        <v>44.35</v>
      </c>
      <c r="AB774">
        <v>0</v>
      </c>
      <c r="AC774">
        <v>0</v>
      </c>
      <c r="AD774">
        <v>0</v>
      </c>
      <c r="AE774">
        <v>6.22</v>
      </c>
      <c r="AF774">
        <v>0</v>
      </c>
      <c r="AG774">
        <v>0</v>
      </c>
      <c r="AH774">
        <v>0</v>
      </c>
      <c r="AI774">
        <v>7.13</v>
      </c>
      <c r="AJ774">
        <v>1</v>
      </c>
      <c r="AK774">
        <v>1</v>
      </c>
      <c r="AL774">
        <v>1</v>
      </c>
      <c r="AN774">
        <v>0</v>
      </c>
      <c r="AO774">
        <v>1</v>
      </c>
      <c r="AP774">
        <v>1</v>
      </c>
      <c r="AQ774">
        <v>0</v>
      </c>
      <c r="AR774">
        <v>0</v>
      </c>
      <c r="AS774" t="s">
        <v>6</v>
      </c>
      <c r="AT774">
        <v>2.74</v>
      </c>
      <c r="AU774" t="s">
        <v>30</v>
      </c>
      <c r="AV774">
        <v>0</v>
      </c>
      <c r="AW774">
        <v>2</v>
      </c>
      <c r="AX774">
        <v>16632880</v>
      </c>
      <c r="AY774">
        <v>1</v>
      </c>
      <c r="AZ774">
        <v>0</v>
      </c>
      <c r="BA774">
        <v>776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X774">
        <f>Y774*Source!I394</f>
        <v>0</v>
      </c>
      <c r="CY774">
        <f>AA774</f>
        <v>44.35</v>
      </c>
      <c r="CZ774">
        <f>AE774</f>
        <v>6.22</v>
      </c>
      <c r="DA774">
        <f>AI774</f>
        <v>7.13</v>
      </c>
      <c r="DB774">
        <f>ROUND((ROUND(AT774*CZ774,2)*0),2)</f>
        <v>0</v>
      </c>
      <c r="DC774">
        <f>ROUND((ROUND(AT774*AG774,2)*0),2)</f>
        <v>0</v>
      </c>
    </row>
    <row r="775" spans="1:107" x14ac:dyDescent="0.2">
      <c r="A775">
        <f>ROW(Source!A395)</f>
        <v>395</v>
      </c>
      <c r="B775">
        <v>16630606</v>
      </c>
      <c r="C775">
        <v>16632882</v>
      </c>
      <c r="D775">
        <v>15446300</v>
      </c>
      <c r="E775">
        <v>1</v>
      </c>
      <c r="F775">
        <v>1</v>
      </c>
      <c r="G775">
        <v>1</v>
      </c>
      <c r="H775">
        <v>1</v>
      </c>
      <c r="I775" t="s">
        <v>1220</v>
      </c>
      <c r="J775" t="s">
        <v>6</v>
      </c>
      <c r="K775" t="s">
        <v>1221</v>
      </c>
      <c r="L775">
        <v>1191</v>
      </c>
      <c r="N775">
        <v>1013</v>
      </c>
      <c r="O775" t="s">
        <v>1148</v>
      </c>
      <c r="P775" t="s">
        <v>1148</v>
      </c>
      <c r="Q775">
        <v>1</v>
      </c>
      <c r="W775">
        <v>0</v>
      </c>
      <c r="X775">
        <v>912892513</v>
      </c>
      <c r="Y775">
        <v>218.77599999999998</v>
      </c>
      <c r="AA775">
        <v>0</v>
      </c>
      <c r="AB775">
        <v>0</v>
      </c>
      <c r="AC775">
        <v>0</v>
      </c>
      <c r="AD775">
        <v>70.73</v>
      </c>
      <c r="AE775">
        <v>0</v>
      </c>
      <c r="AF775">
        <v>0</v>
      </c>
      <c r="AG775">
        <v>0</v>
      </c>
      <c r="AH775">
        <v>9.92</v>
      </c>
      <c r="AI775">
        <v>1</v>
      </c>
      <c r="AJ775">
        <v>1</v>
      </c>
      <c r="AK775">
        <v>1</v>
      </c>
      <c r="AL775">
        <v>7.13</v>
      </c>
      <c r="AN775">
        <v>0</v>
      </c>
      <c r="AO775">
        <v>1</v>
      </c>
      <c r="AP775">
        <v>1</v>
      </c>
      <c r="AQ775">
        <v>0</v>
      </c>
      <c r="AR775">
        <v>0</v>
      </c>
      <c r="AS775" t="s">
        <v>6</v>
      </c>
      <c r="AT775">
        <v>190.24</v>
      </c>
      <c r="AU775" t="s">
        <v>82</v>
      </c>
      <c r="AV775">
        <v>1</v>
      </c>
      <c r="AW775">
        <v>2</v>
      </c>
      <c r="AX775">
        <v>16632897</v>
      </c>
      <c r="AY775">
        <v>1</v>
      </c>
      <c r="AZ775">
        <v>0</v>
      </c>
      <c r="BA775">
        <v>778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X775">
        <f>Y775*Source!I395</f>
        <v>75.258943999999985</v>
      </c>
      <c r="CY775">
        <f>AD775</f>
        <v>70.73</v>
      </c>
      <c r="CZ775">
        <f>AH775</f>
        <v>9.92</v>
      </c>
      <c r="DA775">
        <f>AL775</f>
        <v>7.13</v>
      </c>
      <c r="DB775">
        <f>ROUND((ROUND(AT775*CZ775,2)*1.15),2)</f>
        <v>2170.2600000000002</v>
      </c>
      <c r="DC775">
        <f>ROUND((ROUND(AT775*AG775,2)*1.15),2)</f>
        <v>0</v>
      </c>
    </row>
    <row r="776" spans="1:107" x14ac:dyDescent="0.2">
      <c r="A776">
        <f>ROW(Source!A395)</f>
        <v>395</v>
      </c>
      <c r="B776">
        <v>16630606</v>
      </c>
      <c r="C776">
        <v>16632882</v>
      </c>
      <c r="D776">
        <v>15430395</v>
      </c>
      <c r="E776">
        <v>1</v>
      </c>
      <c r="F776">
        <v>1</v>
      </c>
      <c r="G776">
        <v>1</v>
      </c>
      <c r="H776">
        <v>1</v>
      </c>
      <c r="I776" t="s">
        <v>1149</v>
      </c>
      <c r="J776" t="s">
        <v>6</v>
      </c>
      <c r="K776" t="s">
        <v>1150</v>
      </c>
      <c r="L776">
        <v>1191</v>
      </c>
      <c r="N776">
        <v>1013</v>
      </c>
      <c r="O776" t="s">
        <v>1148</v>
      </c>
      <c r="P776" t="s">
        <v>1148</v>
      </c>
      <c r="Q776">
        <v>1</v>
      </c>
      <c r="W776">
        <v>0</v>
      </c>
      <c r="X776">
        <v>-1417349443</v>
      </c>
      <c r="Y776">
        <v>13.64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1</v>
      </c>
      <c r="AJ776">
        <v>1</v>
      </c>
      <c r="AK776">
        <v>7.13</v>
      </c>
      <c r="AL776">
        <v>1</v>
      </c>
      <c r="AN776">
        <v>0</v>
      </c>
      <c r="AO776">
        <v>1</v>
      </c>
      <c r="AP776">
        <v>0</v>
      </c>
      <c r="AQ776">
        <v>0</v>
      </c>
      <c r="AR776">
        <v>0</v>
      </c>
      <c r="AS776" t="s">
        <v>6</v>
      </c>
      <c r="AT776">
        <v>13.64</v>
      </c>
      <c r="AU776" t="s">
        <v>6</v>
      </c>
      <c r="AV776">
        <v>2</v>
      </c>
      <c r="AW776">
        <v>2</v>
      </c>
      <c r="AX776">
        <v>16632898</v>
      </c>
      <c r="AY776">
        <v>1</v>
      </c>
      <c r="AZ776">
        <v>2048</v>
      </c>
      <c r="BA776">
        <v>779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X776">
        <f>Y776*Source!I395</f>
        <v>4.6921599999999994</v>
      </c>
      <c r="CY776">
        <f>AD776</f>
        <v>0</v>
      </c>
      <c r="CZ776">
        <f>AH776</f>
        <v>0</v>
      </c>
      <c r="DA776">
        <f>AL776</f>
        <v>1</v>
      </c>
      <c r="DB776">
        <f>ROUND(ROUND(AT776*CZ776,2),2)</f>
        <v>0</v>
      </c>
      <c r="DC776">
        <f>ROUND(ROUND(AT776*AG776,2),2)</f>
        <v>0</v>
      </c>
    </row>
    <row r="777" spans="1:107" x14ac:dyDescent="0.2">
      <c r="A777">
        <f>ROW(Source!A395)</f>
        <v>395</v>
      </c>
      <c r="B777">
        <v>16630606</v>
      </c>
      <c r="C777">
        <v>16632882</v>
      </c>
      <c r="D777">
        <v>15247578</v>
      </c>
      <c r="E777">
        <v>1</v>
      </c>
      <c r="F777">
        <v>1</v>
      </c>
      <c r="G777">
        <v>1</v>
      </c>
      <c r="H777">
        <v>2</v>
      </c>
      <c r="I777" t="s">
        <v>1246</v>
      </c>
      <c r="J777" t="s">
        <v>1247</v>
      </c>
      <c r="K777" t="s">
        <v>1248</v>
      </c>
      <c r="L777">
        <v>1368</v>
      </c>
      <c r="N777">
        <v>1011</v>
      </c>
      <c r="O777" t="s">
        <v>1154</v>
      </c>
      <c r="P777" t="s">
        <v>1154</v>
      </c>
      <c r="Q777">
        <v>1</v>
      </c>
      <c r="W777">
        <v>0</v>
      </c>
      <c r="X777">
        <v>-1460065968</v>
      </c>
      <c r="Y777">
        <v>6.25E-2</v>
      </c>
      <c r="AA777">
        <v>0</v>
      </c>
      <c r="AB777">
        <v>616.03</v>
      </c>
      <c r="AC777">
        <v>13.5</v>
      </c>
      <c r="AD777">
        <v>0</v>
      </c>
      <c r="AE777">
        <v>0</v>
      </c>
      <c r="AF777">
        <v>86.4</v>
      </c>
      <c r="AG777">
        <v>13.5</v>
      </c>
      <c r="AH777">
        <v>0</v>
      </c>
      <c r="AI777">
        <v>1</v>
      </c>
      <c r="AJ777">
        <v>7.13</v>
      </c>
      <c r="AK777">
        <v>1</v>
      </c>
      <c r="AL777">
        <v>1</v>
      </c>
      <c r="AN777">
        <v>0</v>
      </c>
      <c r="AO777">
        <v>1</v>
      </c>
      <c r="AP777">
        <v>1</v>
      </c>
      <c r="AQ777">
        <v>0</v>
      </c>
      <c r="AR777">
        <v>0</v>
      </c>
      <c r="AS777" t="s">
        <v>6</v>
      </c>
      <c r="AT777">
        <v>0.05</v>
      </c>
      <c r="AU777" t="s">
        <v>81</v>
      </c>
      <c r="AV777">
        <v>0</v>
      </c>
      <c r="AW777">
        <v>2</v>
      </c>
      <c r="AX777">
        <v>16632899</v>
      </c>
      <c r="AY777">
        <v>1</v>
      </c>
      <c r="AZ777">
        <v>0</v>
      </c>
      <c r="BA777">
        <v>780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X777">
        <f>Y777*Source!I395</f>
        <v>2.1499999999999998E-2</v>
      </c>
      <c r="CY777">
        <f>AB777</f>
        <v>616.03</v>
      </c>
      <c r="CZ777">
        <f>AF777</f>
        <v>86.4</v>
      </c>
      <c r="DA777">
        <f>AJ777</f>
        <v>7.13</v>
      </c>
      <c r="DB777">
        <f>ROUND((ROUND(AT777*CZ777,2)*1.25),2)</f>
        <v>5.4</v>
      </c>
      <c r="DC777">
        <f>ROUND((ROUND(AT777*AG777,2)*1.25),2)</f>
        <v>0.85</v>
      </c>
    </row>
    <row r="778" spans="1:107" x14ac:dyDescent="0.2">
      <c r="A778">
        <f>ROW(Source!A395)</f>
        <v>395</v>
      </c>
      <c r="B778">
        <v>16630606</v>
      </c>
      <c r="C778">
        <v>16632882</v>
      </c>
      <c r="D778">
        <v>15247680</v>
      </c>
      <c r="E778">
        <v>1</v>
      </c>
      <c r="F778">
        <v>1</v>
      </c>
      <c r="G778">
        <v>1</v>
      </c>
      <c r="H778">
        <v>2</v>
      </c>
      <c r="I778" t="s">
        <v>1419</v>
      </c>
      <c r="J778" t="s">
        <v>1420</v>
      </c>
      <c r="K778" t="s">
        <v>1421</v>
      </c>
      <c r="L778">
        <v>1368</v>
      </c>
      <c r="N778">
        <v>1011</v>
      </c>
      <c r="O778" t="s">
        <v>1154</v>
      </c>
      <c r="P778" t="s">
        <v>1154</v>
      </c>
      <c r="Q778">
        <v>1</v>
      </c>
      <c r="W778">
        <v>0</v>
      </c>
      <c r="X778">
        <v>-1718674368</v>
      </c>
      <c r="Y778">
        <v>3.7499999999999999E-2</v>
      </c>
      <c r="AA778">
        <v>0</v>
      </c>
      <c r="AB778">
        <v>798.49</v>
      </c>
      <c r="AC778">
        <v>13.5</v>
      </c>
      <c r="AD778">
        <v>0</v>
      </c>
      <c r="AE778">
        <v>0</v>
      </c>
      <c r="AF778">
        <v>111.99</v>
      </c>
      <c r="AG778">
        <v>13.5</v>
      </c>
      <c r="AH778">
        <v>0</v>
      </c>
      <c r="AI778">
        <v>1</v>
      </c>
      <c r="AJ778">
        <v>7.13</v>
      </c>
      <c r="AK778">
        <v>1</v>
      </c>
      <c r="AL778">
        <v>1</v>
      </c>
      <c r="AN778">
        <v>0</v>
      </c>
      <c r="AO778">
        <v>1</v>
      </c>
      <c r="AP778">
        <v>1</v>
      </c>
      <c r="AQ778">
        <v>0</v>
      </c>
      <c r="AR778">
        <v>0</v>
      </c>
      <c r="AS778" t="s">
        <v>6</v>
      </c>
      <c r="AT778">
        <v>0.03</v>
      </c>
      <c r="AU778" t="s">
        <v>81</v>
      </c>
      <c r="AV778">
        <v>0</v>
      </c>
      <c r="AW778">
        <v>2</v>
      </c>
      <c r="AX778">
        <v>16632900</v>
      </c>
      <c r="AY778">
        <v>1</v>
      </c>
      <c r="AZ778">
        <v>0</v>
      </c>
      <c r="BA778">
        <v>781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X778">
        <f>Y778*Source!I395</f>
        <v>1.2899999999999998E-2</v>
      </c>
      <c r="CY778">
        <f>AB778</f>
        <v>798.49</v>
      </c>
      <c r="CZ778">
        <f>AF778</f>
        <v>111.99</v>
      </c>
      <c r="DA778">
        <f>AJ778</f>
        <v>7.13</v>
      </c>
      <c r="DB778">
        <f>ROUND((ROUND(AT778*CZ778,2)*1.25),2)</f>
        <v>4.2</v>
      </c>
      <c r="DC778">
        <f>ROUND((ROUND(AT778*AG778,2)*1.25),2)</f>
        <v>0.51</v>
      </c>
    </row>
    <row r="779" spans="1:107" x14ac:dyDescent="0.2">
      <c r="A779">
        <f>ROW(Source!A395)</f>
        <v>395</v>
      </c>
      <c r="B779">
        <v>16630606</v>
      </c>
      <c r="C779">
        <v>16632882</v>
      </c>
      <c r="D779">
        <v>15249073</v>
      </c>
      <c r="E779">
        <v>1</v>
      </c>
      <c r="F779">
        <v>1</v>
      </c>
      <c r="G779">
        <v>1</v>
      </c>
      <c r="H779">
        <v>2</v>
      </c>
      <c r="I779" t="s">
        <v>1157</v>
      </c>
      <c r="J779" t="s">
        <v>1158</v>
      </c>
      <c r="K779" t="s">
        <v>1159</v>
      </c>
      <c r="L779">
        <v>1368</v>
      </c>
      <c r="N779">
        <v>1011</v>
      </c>
      <c r="O779" t="s">
        <v>1154</v>
      </c>
      <c r="P779" t="s">
        <v>1154</v>
      </c>
      <c r="Q779">
        <v>1</v>
      </c>
      <c r="W779">
        <v>0</v>
      </c>
      <c r="X779">
        <v>1372534845</v>
      </c>
      <c r="Y779">
        <v>0.27500000000000002</v>
      </c>
      <c r="AA779">
        <v>0</v>
      </c>
      <c r="AB779">
        <v>468.51</v>
      </c>
      <c r="AC779">
        <v>11.6</v>
      </c>
      <c r="AD779">
        <v>0</v>
      </c>
      <c r="AE779">
        <v>0</v>
      </c>
      <c r="AF779">
        <v>65.709999999999994</v>
      </c>
      <c r="AG779">
        <v>11.6</v>
      </c>
      <c r="AH779">
        <v>0</v>
      </c>
      <c r="AI779">
        <v>1</v>
      </c>
      <c r="AJ779">
        <v>7.13</v>
      </c>
      <c r="AK779">
        <v>1</v>
      </c>
      <c r="AL779">
        <v>1</v>
      </c>
      <c r="AN779">
        <v>0</v>
      </c>
      <c r="AO779">
        <v>1</v>
      </c>
      <c r="AP779">
        <v>1</v>
      </c>
      <c r="AQ779">
        <v>0</v>
      </c>
      <c r="AR779">
        <v>0</v>
      </c>
      <c r="AS779" t="s">
        <v>6</v>
      </c>
      <c r="AT779">
        <v>0.22</v>
      </c>
      <c r="AU779" t="s">
        <v>81</v>
      </c>
      <c r="AV779">
        <v>0</v>
      </c>
      <c r="AW779">
        <v>2</v>
      </c>
      <c r="AX779">
        <v>16632901</v>
      </c>
      <c r="AY779">
        <v>1</v>
      </c>
      <c r="AZ779">
        <v>0</v>
      </c>
      <c r="BA779">
        <v>782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X779">
        <f>Y779*Source!I395</f>
        <v>9.4600000000000004E-2</v>
      </c>
      <c r="CY779">
        <f>AB779</f>
        <v>468.51</v>
      </c>
      <c r="CZ779">
        <f>AF779</f>
        <v>65.709999999999994</v>
      </c>
      <c r="DA779">
        <f>AJ779</f>
        <v>7.13</v>
      </c>
      <c r="DB779">
        <f>ROUND((ROUND(AT779*CZ779,2)*1.25),2)</f>
        <v>18.079999999999998</v>
      </c>
      <c r="DC779">
        <f>ROUND((ROUND(AT779*AG779,2)*1.25),2)</f>
        <v>3.19</v>
      </c>
    </row>
    <row r="780" spans="1:107" x14ac:dyDescent="0.2">
      <c r="A780">
        <f>ROW(Source!A395)</f>
        <v>395</v>
      </c>
      <c r="B780">
        <v>16630606</v>
      </c>
      <c r="C780">
        <v>16632882</v>
      </c>
      <c r="D780">
        <v>15249291</v>
      </c>
      <c r="E780">
        <v>1</v>
      </c>
      <c r="F780">
        <v>1</v>
      </c>
      <c r="G780">
        <v>1</v>
      </c>
      <c r="H780">
        <v>2</v>
      </c>
      <c r="I780" t="s">
        <v>1650</v>
      </c>
      <c r="J780" t="s">
        <v>1651</v>
      </c>
      <c r="K780" t="s">
        <v>1652</v>
      </c>
      <c r="L780">
        <v>1368</v>
      </c>
      <c r="N780">
        <v>1011</v>
      </c>
      <c r="O780" t="s">
        <v>1154</v>
      </c>
      <c r="P780" t="s">
        <v>1154</v>
      </c>
      <c r="Q780">
        <v>1</v>
      </c>
      <c r="W780">
        <v>0</v>
      </c>
      <c r="X780">
        <v>917635847</v>
      </c>
      <c r="Y780">
        <v>16.675000000000001</v>
      </c>
      <c r="AA780">
        <v>0</v>
      </c>
      <c r="AB780">
        <v>713.71</v>
      </c>
      <c r="AC780">
        <v>13.5</v>
      </c>
      <c r="AD780">
        <v>0</v>
      </c>
      <c r="AE780">
        <v>0</v>
      </c>
      <c r="AF780">
        <v>100.1</v>
      </c>
      <c r="AG780">
        <v>13.5</v>
      </c>
      <c r="AH780">
        <v>0</v>
      </c>
      <c r="AI780">
        <v>1</v>
      </c>
      <c r="AJ780">
        <v>7.13</v>
      </c>
      <c r="AK780">
        <v>1</v>
      </c>
      <c r="AL780">
        <v>1</v>
      </c>
      <c r="AN780">
        <v>0</v>
      </c>
      <c r="AO780">
        <v>1</v>
      </c>
      <c r="AP780">
        <v>1</v>
      </c>
      <c r="AQ780">
        <v>0</v>
      </c>
      <c r="AR780">
        <v>0</v>
      </c>
      <c r="AS780" t="s">
        <v>6</v>
      </c>
      <c r="AT780">
        <v>13.34</v>
      </c>
      <c r="AU780" t="s">
        <v>81</v>
      </c>
      <c r="AV780">
        <v>0</v>
      </c>
      <c r="AW780">
        <v>2</v>
      </c>
      <c r="AX780">
        <v>16632902</v>
      </c>
      <c r="AY780">
        <v>1</v>
      </c>
      <c r="AZ780">
        <v>0</v>
      </c>
      <c r="BA780">
        <v>783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X780">
        <f>Y780*Source!I395</f>
        <v>5.7362000000000002</v>
      </c>
      <c r="CY780">
        <f>AB780</f>
        <v>713.71</v>
      </c>
      <c r="CZ780">
        <f>AF780</f>
        <v>100.1</v>
      </c>
      <c r="DA780">
        <f>AJ780</f>
        <v>7.13</v>
      </c>
      <c r="DB780">
        <f>ROUND((ROUND(AT780*CZ780,2)*1.25),2)</f>
        <v>1669.16</v>
      </c>
      <c r="DC780">
        <f>ROUND((ROUND(AT780*AG780,2)*1.25),2)</f>
        <v>225.11</v>
      </c>
    </row>
    <row r="781" spans="1:107" x14ac:dyDescent="0.2">
      <c r="A781">
        <f>ROW(Source!A395)</f>
        <v>395</v>
      </c>
      <c r="B781">
        <v>16630606</v>
      </c>
      <c r="C781">
        <v>16632882</v>
      </c>
      <c r="D781">
        <v>15166105</v>
      </c>
      <c r="E781">
        <v>1</v>
      </c>
      <c r="F781">
        <v>1</v>
      </c>
      <c r="G781">
        <v>1</v>
      </c>
      <c r="H781">
        <v>3</v>
      </c>
      <c r="I781" t="s">
        <v>1653</v>
      </c>
      <c r="J781" t="s">
        <v>1654</v>
      </c>
      <c r="K781" t="s">
        <v>1655</v>
      </c>
      <c r="L781">
        <v>1346</v>
      </c>
      <c r="N781">
        <v>1009</v>
      </c>
      <c r="O781" t="s">
        <v>102</v>
      </c>
      <c r="P781" t="s">
        <v>102</v>
      </c>
      <c r="Q781">
        <v>1</v>
      </c>
      <c r="W781">
        <v>0</v>
      </c>
      <c r="X781">
        <v>-1168800073</v>
      </c>
      <c r="Y781">
        <v>0.25</v>
      </c>
      <c r="AA781">
        <v>84.13</v>
      </c>
      <c r="AB781">
        <v>0</v>
      </c>
      <c r="AC781">
        <v>0</v>
      </c>
      <c r="AD781">
        <v>0</v>
      </c>
      <c r="AE781">
        <v>11.8</v>
      </c>
      <c r="AF781">
        <v>0</v>
      </c>
      <c r="AG781">
        <v>0</v>
      </c>
      <c r="AH781">
        <v>0</v>
      </c>
      <c r="AI781">
        <v>7.13</v>
      </c>
      <c r="AJ781">
        <v>1</v>
      </c>
      <c r="AK781">
        <v>1</v>
      </c>
      <c r="AL781">
        <v>1</v>
      </c>
      <c r="AN781">
        <v>0</v>
      </c>
      <c r="AO781">
        <v>1</v>
      </c>
      <c r="AP781">
        <v>0</v>
      </c>
      <c r="AQ781">
        <v>0</v>
      </c>
      <c r="AR781">
        <v>0</v>
      </c>
      <c r="AS781" t="s">
        <v>6</v>
      </c>
      <c r="AT781">
        <v>0.25</v>
      </c>
      <c r="AU781" t="s">
        <v>6</v>
      </c>
      <c r="AV781">
        <v>0</v>
      </c>
      <c r="AW781">
        <v>2</v>
      </c>
      <c r="AX781">
        <v>16632903</v>
      </c>
      <c r="AY781">
        <v>1</v>
      </c>
      <c r="AZ781">
        <v>0</v>
      </c>
      <c r="BA781">
        <v>784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X781">
        <f>Y781*Source!I395</f>
        <v>8.5999999999999993E-2</v>
      </c>
      <c r="CY781">
        <f t="shared" ref="CY781:CY788" si="142">AA781</f>
        <v>84.13</v>
      </c>
      <c r="CZ781">
        <f t="shared" ref="CZ781:CZ788" si="143">AE781</f>
        <v>11.8</v>
      </c>
      <c r="DA781">
        <f t="shared" ref="DA781:DA788" si="144">AI781</f>
        <v>7.13</v>
      </c>
      <c r="DB781">
        <f t="shared" ref="DB781:DB788" si="145">ROUND(ROUND(AT781*CZ781,2),2)</f>
        <v>2.95</v>
      </c>
      <c r="DC781">
        <f t="shared" ref="DC781:DC788" si="146">ROUND(ROUND(AT781*AG781,2),2)</f>
        <v>0</v>
      </c>
    </row>
    <row r="782" spans="1:107" x14ac:dyDescent="0.2">
      <c r="A782">
        <f>ROW(Source!A395)</f>
        <v>395</v>
      </c>
      <c r="B782">
        <v>16630606</v>
      </c>
      <c r="C782">
        <v>16632882</v>
      </c>
      <c r="D782">
        <v>15167286</v>
      </c>
      <c r="E782">
        <v>1</v>
      </c>
      <c r="F782">
        <v>1</v>
      </c>
      <c r="G782">
        <v>1</v>
      </c>
      <c r="H782">
        <v>3</v>
      </c>
      <c r="I782" t="s">
        <v>1265</v>
      </c>
      <c r="J782" t="s">
        <v>1266</v>
      </c>
      <c r="K782" t="s">
        <v>1267</v>
      </c>
      <c r="L782">
        <v>1339</v>
      </c>
      <c r="N782">
        <v>1007</v>
      </c>
      <c r="O782" t="s">
        <v>203</v>
      </c>
      <c r="P782" t="s">
        <v>203</v>
      </c>
      <c r="Q782">
        <v>1</v>
      </c>
      <c r="W782">
        <v>0</v>
      </c>
      <c r="X782">
        <v>-1660354250</v>
      </c>
      <c r="Y782">
        <v>0.47</v>
      </c>
      <c r="AA782">
        <v>17.399999999999999</v>
      </c>
      <c r="AB782">
        <v>0</v>
      </c>
      <c r="AC782">
        <v>0</v>
      </c>
      <c r="AD782">
        <v>0</v>
      </c>
      <c r="AE782">
        <v>2.44</v>
      </c>
      <c r="AF782">
        <v>0</v>
      </c>
      <c r="AG782">
        <v>0</v>
      </c>
      <c r="AH782">
        <v>0</v>
      </c>
      <c r="AI782">
        <v>7.13</v>
      </c>
      <c r="AJ782">
        <v>1</v>
      </c>
      <c r="AK782">
        <v>1</v>
      </c>
      <c r="AL782">
        <v>1</v>
      </c>
      <c r="AN782">
        <v>0</v>
      </c>
      <c r="AO782">
        <v>1</v>
      </c>
      <c r="AP782">
        <v>0</v>
      </c>
      <c r="AQ782">
        <v>0</v>
      </c>
      <c r="AR782">
        <v>0</v>
      </c>
      <c r="AS782" t="s">
        <v>6</v>
      </c>
      <c r="AT782">
        <v>0.47</v>
      </c>
      <c r="AU782" t="s">
        <v>6</v>
      </c>
      <c r="AV782">
        <v>0</v>
      </c>
      <c r="AW782">
        <v>2</v>
      </c>
      <c r="AX782">
        <v>16632904</v>
      </c>
      <c r="AY782">
        <v>1</v>
      </c>
      <c r="AZ782">
        <v>0</v>
      </c>
      <c r="BA782">
        <v>785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X782">
        <f>Y782*Source!I395</f>
        <v>0.16167999999999999</v>
      </c>
      <c r="CY782">
        <f t="shared" si="142"/>
        <v>17.399999999999999</v>
      </c>
      <c r="CZ782">
        <f t="shared" si="143"/>
        <v>2.44</v>
      </c>
      <c r="DA782">
        <f t="shared" si="144"/>
        <v>7.13</v>
      </c>
      <c r="DB782">
        <f t="shared" si="145"/>
        <v>1.1499999999999999</v>
      </c>
      <c r="DC782">
        <f t="shared" si="146"/>
        <v>0</v>
      </c>
    </row>
    <row r="783" spans="1:107" x14ac:dyDescent="0.2">
      <c r="A783">
        <f>ROW(Source!A395)</f>
        <v>395</v>
      </c>
      <c r="B783">
        <v>16630606</v>
      </c>
      <c r="C783">
        <v>16632882</v>
      </c>
      <c r="D783">
        <v>15167787</v>
      </c>
      <c r="E783">
        <v>1</v>
      </c>
      <c r="F783">
        <v>1</v>
      </c>
      <c r="G783">
        <v>1</v>
      </c>
      <c r="H783">
        <v>3</v>
      </c>
      <c r="I783" t="s">
        <v>1656</v>
      </c>
      <c r="J783" t="s">
        <v>1657</v>
      </c>
      <c r="K783" t="s">
        <v>1658</v>
      </c>
      <c r="L783">
        <v>1356</v>
      </c>
      <c r="N783">
        <v>1010</v>
      </c>
      <c r="O783" t="s">
        <v>278</v>
      </c>
      <c r="P783" t="s">
        <v>278</v>
      </c>
      <c r="Q783">
        <v>1000</v>
      </c>
      <c r="W783">
        <v>0</v>
      </c>
      <c r="X783">
        <v>72387144</v>
      </c>
      <c r="Y783">
        <v>0.1</v>
      </c>
      <c r="AA783">
        <v>1809.59</v>
      </c>
      <c r="AB783">
        <v>0</v>
      </c>
      <c r="AC783">
        <v>0</v>
      </c>
      <c r="AD783">
        <v>0</v>
      </c>
      <c r="AE783">
        <v>253.8</v>
      </c>
      <c r="AF783">
        <v>0</v>
      </c>
      <c r="AG783">
        <v>0</v>
      </c>
      <c r="AH783">
        <v>0</v>
      </c>
      <c r="AI783">
        <v>7.13</v>
      </c>
      <c r="AJ783">
        <v>1</v>
      </c>
      <c r="AK783">
        <v>1</v>
      </c>
      <c r="AL783">
        <v>1</v>
      </c>
      <c r="AN783">
        <v>0</v>
      </c>
      <c r="AO783">
        <v>1</v>
      </c>
      <c r="AP783">
        <v>0</v>
      </c>
      <c r="AQ783">
        <v>0</v>
      </c>
      <c r="AR783">
        <v>0</v>
      </c>
      <c r="AS783" t="s">
        <v>6</v>
      </c>
      <c r="AT783">
        <v>0.1</v>
      </c>
      <c r="AU783" t="s">
        <v>6</v>
      </c>
      <c r="AV783">
        <v>0</v>
      </c>
      <c r="AW783">
        <v>2</v>
      </c>
      <c r="AX783">
        <v>16632905</v>
      </c>
      <c r="AY783">
        <v>1</v>
      </c>
      <c r="AZ783">
        <v>0</v>
      </c>
      <c r="BA783">
        <v>786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X783">
        <f>Y783*Source!I395</f>
        <v>3.44E-2</v>
      </c>
      <c r="CY783">
        <f t="shared" si="142"/>
        <v>1809.59</v>
      </c>
      <c r="CZ783">
        <f t="shared" si="143"/>
        <v>253.8</v>
      </c>
      <c r="DA783">
        <f t="shared" si="144"/>
        <v>7.13</v>
      </c>
      <c r="DB783">
        <f t="shared" si="145"/>
        <v>25.38</v>
      </c>
      <c r="DC783">
        <f t="shared" si="146"/>
        <v>0</v>
      </c>
    </row>
    <row r="784" spans="1:107" x14ac:dyDescent="0.2">
      <c r="A784">
        <f>ROW(Source!A395)</f>
        <v>395</v>
      </c>
      <c r="B784">
        <v>16630606</v>
      </c>
      <c r="C784">
        <v>16632882</v>
      </c>
      <c r="D784">
        <v>15170090</v>
      </c>
      <c r="E784">
        <v>1</v>
      </c>
      <c r="F784">
        <v>1</v>
      </c>
      <c r="G784">
        <v>1</v>
      </c>
      <c r="H784">
        <v>3</v>
      </c>
      <c r="I784" t="s">
        <v>1659</v>
      </c>
      <c r="J784" t="s">
        <v>1660</v>
      </c>
      <c r="K784" t="s">
        <v>1661</v>
      </c>
      <c r="L784">
        <v>1348</v>
      </c>
      <c r="N784">
        <v>1009</v>
      </c>
      <c r="O784" t="s">
        <v>98</v>
      </c>
      <c r="P784" t="s">
        <v>98</v>
      </c>
      <c r="Q784">
        <v>1000</v>
      </c>
      <c r="W784">
        <v>0</v>
      </c>
      <c r="X784">
        <v>-735561281</v>
      </c>
      <c r="Y784">
        <v>8.4999999999999995E-4</v>
      </c>
      <c r="AA784">
        <v>160838.54</v>
      </c>
      <c r="AB784">
        <v>0</v>
      </c>
      <c r="AC784">
        <v>0</v>
      </c>
      <c r="AD784">
        <v>0</v>
      </c>
      <c r="AE784">
        <v>22558</v>
      </c>
      <c r="AF784">
        <v>0</v>
      </c>
      <c r="AG784">
        <v>0</v>
      </c>
      <c r="AH784">
        <v>0</v>
      </c>
      <c r="AI784">
        <v>7.13</v>
      </c>
      <c r="AJ784">
        <v>1</v>
      </c>
      <c r="AK784">
        <v>1</v>
      </c>
      <c r="AL784">
        <v>1</v>
      </c>
      <c r="AN784">
        <v>0</v>
      </c>
      <c r="AO784">
        <v>1</v>
      </c>
      <c r="AP784">
        <v>0</v>
      </c>
      <c r="AQ784">
        <v>0</v>
      </c>
      <c r="AR784">
        <v>0</v>
      </c>
      <c r="AS784" t="s">
        <v>6</v>
      </c>
      <c r="AT784">
        <v>8.4999999999999995E-4</v>
      </c>
      <c r="AU784" t="s">
        <v>6</v>
      </c>
      <c r="AV784">
        <v>0</v>
      </c>
      <c r="AW784">
        <v>2</v>
      </c>
      <c r="AX784">
        <v>16632906</v>
      </c>
      <c r="AY784">
        <v>1</v>
      </c>
      <c r="AZ784">
        <v>0</v>
      </c>
      <c r="BA784">
        <v>787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X784">
        <f>Y784*Source!I395</f>
        <v>2.9239999999999995E-4</v>
      </c>
      <c r="CY784">
        <f t="shared" si="142"/>
        <v>160838.54</v>
      </c>
      <c r="CZ784">
        <f t="shared" si="143"/>
        <v>22558</v>
      </c>
      <c r="DA784">
        <f t="shared" si="144"/>
        <v>7.13</v>
      </c>
      <c r="DB784">
        <f t="shared" si="145"/>
        <v>19.170000000000002</v>
      </c>
      <c r="DC784">
        <f t="shared" si="146"/>
        <v>0</v>
      </c>
    </row>
    <row r="785" spans="1:107" x14ac:dyDescent="0.2">
      <c r="A785">
        <f>ROW(Source!A395)</f>
        <v>395</v>
      </c>
      <c r="B785">
        <v>16630606</v>
      </c>
      <c r="C785">
        <v>16632882</v>
      </c>
      <c r="D785">
        <v>15172018</v>
      </c>
      <c r="E785">
        <v>1</v>
      </c>
      <c r="F785">
        <v>1</v>
      </c>
      <c r="G785">
        <v>1</v>
      </c>
      <c r="H785">
        <v>3</v>
      </c>
      <c r="I785" t="s">
        <v>1539</v>
      </c>
      <c r="J785" t="s">
        <v>1540</v>
      </c>
      <c r="K785" t="s">
        <v>1541</v>
      </c>
      <c r="L785">
        <v>1346</v>
      </c>
      <c r="N785">
        <v>1009</v>
      </c>
      <c r="O785" t="s">
        <v>102</v>
      </c>
      <c r="P785" t="s">
        <v>102</v>
      </c>
      <c r="Q785">
        <v>1</v>
      </c>
      <c r="W785">
        <v>0</v>
      </c>
      <c r="X785">
        <v>450790165</v>
      </c>
      <c r="Y785">
        <v>1.6000000000000001E-3</v>
      </c>
      <c r="AA785">
        <v>15.33</v>
      </c>
      <c r="AB785">
        <v>0</v>
      </c>
      <c r="AC785">
        <v>0</v>
      </c>
      <c r="AD785">
        <v>0</v>
      </c>
      <c r="AE785">
        <v>2.15</v>
      </c>
      <c r="AF785">
        <v>0</v>
      </c>
      <c r="AG785">
        <v>0</v>
      </c>
      <c r="AH785">
        <v>0</v>
      </c>
      <c r="AI785">
        <v>7.13</v>
      </c>
      <c r="AJ785">
        <v>1</v>
      </c>
      <c r="AK785">
        <v>1</v>
      </c>
      <c r="AL785">
        <v>1</v>
      </c>
      <c r="AN785">
        <v>0</v>
      </c>
      <c r="AO785">
        <v>1</v>
      </c>
      <c r="AP785">
        <v>0</v>
      </c>
      <c r="AQ785">
        <v>0</v>
      </c>
      <c r="AR785">
        <v>0</v>
      </c>
      <c r="AS785" t="s">
        <v>6</v>
      </c>
      <c r="AT785">
        <v>1.6000000000000001E-3</v>
      </c>
      <c r="AU785" t="s">
        <v>6</v>
      </c>
      <c r="AV785">
        <v>0</v>
      </c>
      <c r="AW785">
        <v>2</v>
      </c>
      <c r="AX785">
        <v>16632907</v>
      </c>
      <c r="AY785">
        <v>1</v>
      </c>
      <c r="AZ785">
        <v>0</v>
      </c>
      <c r="BA785">
        <v>788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X785">
        <f>Y785*Source!I395</f>
        <v>5.5039999999999993E-4</v>
      </c>
      <c r="CY785">
        <f t="shared" si="142"/>
        <v>15.33</v>
      </c>
      <c r="CZ785">
        <f t="shared" si="143"/>
        <v>2.15</v>
      </c>
      <c r="DA785">
        <f t="shared" si="144"/>
        <v>7.13</v>
      </c>
      <c r="DB785">
        <f t="shared" si="145"/>
        <v>0</v>
      </c>
      <c r="DC785">
        <f t="shared" si="146"/>
        <v>0</v>
      </c>
    </row>
    <row r="786" spans="1:107" x14ac:dyDescent="0.2">
      <c r="A786">
        <f>ROW(Source!A395)</f>
        <v>395</v>
      </c>
      <c r="B786">
        <v>16630606</v>
      </c>
      <c r="C786">
        <v>16632882</v>
      </c>
      <c r="D786">
        <v>15202502</v>
      </c>
      <c r="E786">
        <v>1</v>
      </c>
      <c r="F786">
        <v>1</v>
      </c>
      <c r="G786">
        <v>1</v>
      </c>
      <c r="H786">
        <v>3</v>
      </c>
      <c r="I786" t="s">
        <v>1662</v>
      </c>
      <c r="J786" t="s">
        <v>1663</v>
      </c>
      <c r="K786" t="s">
        <v>1664</v>
      </c>
      <c r="L786">
        <v>1346</v>
      </c>
      <c r="N786">
        <v>1009</v>
      </c>
      <c r="O786" t="s">
        <v>102</v>
      </c>
      <c r="P786" t="s">
        <v>102</v>
      </c>
      <c r="Q786">
        <v>1</v>
      </c>
      <c r="W786">
        <v>0</v>
      </c>
      <c r="X786">
        <v>497371595</v>
      </c>
      <c r="Y786">
        <v>0.25</v>
      </c>
      <c r="AA786">
        <v>206.27</v>
      </c>
      <c r="AB786">
        <v>0</v>
      </c>
      <c r="AC786">
        <v>0</v>
      </c>
      <c r="AD786">
        <v>0</v>
      </c>
      <c r="AE786">
        <v>28.93</v>
      </c>
      <c r="AF786">
        <v>0</v>
      </c>
      <c r="AG786">
        <v>0</v>
      </c>
      <c r="AH786">
        <v>0</v>
      </c>
      <c r="AI786">
        <v>7.13</v>
      </c>
      <c r="AJ786">
        <v>1</v>
      </c>
      <c r="AK786">
        <v>1</v>
      </c>
      <c r="AL786">
        <v>1</v>
      </c>
      <c r="AN786">
        <v>0</v>
      </c>
      <c r="AO786">
        <v>1</v>
      </c>
      <c r="AP786">
        <v>0</v>
      </c>
      <c r="AQ786">
        <v>0</v>
      </c>
      <c r="AR786">
        <v>0</v>
      </c>
      <c r="AS786" t="s">
        <v>6</v>
      </c>
      <c r="AT786">
        <v>0.25</v>
      </c>
      <c r="AU786" t="s">
        <v>6</v>
      </c>
      <c r="AV786">
        <v>0</v>
      </c>
      <c r="AW786">
        <v>2</v>
      </c>
      <c r="AX786">
        <v>16632909</v>
      </c>
      <c r="AY786">
        <v>1</v>
      </c>
      <c r="AZ786">
        <v>0</v>
      </c>
      <c r="BA786">
        <v>790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X786">
        <f>Y786*Source!I395</f>
        <v>8.5999999999999993E-2</v>
      </c>
      <c r="CY786">
        <f t="shared" si="142"/>
        <v>206.27</v>
      </c>
      <c r="CZ786">
        <f t="shared" si="143"/>
        <v>28.93</v>
      </c>
      <c r="DA786">
        <f t="shared" si="144"/>
        <v>7.13</v>
      </c>
      <c r="DB786">
        <f t="shared" si="145"/>
        <v>7.23</v>
      </c>
      <c r="DC786">
        <f t="shared" si="146"/>
        <v>0</v>
      </c>
    </row>
    <row r="787" spans="1:107" x14ac:dyDescent="0.2">
      <c r="A787">
        <f>ROW(Source!A395)</f>
        <v>395</v>
      </c>
      <c r="B787">
        <v>16630606</v>
      </c>
      <c r="C787">
        <v>16632882</v>
      </c>
      <c r="D787">
        <v>15226740</v>
      </c>
      <c r="E787">
        <v>1</v>
      </c>
      <c r="F787">
        <v>1</v>
      </c>
      <c r="G787">
        <v>1</v>
      </c>
      <c r="H787">
        <v>3</v>
      </c>
      <c r="I787" t="s">
        <v>1008</v>
      </c>
      <c r="J787" t="s">
        <v>1010</v>
      </c>
      <c r="K787" t="s">
        <v>1009</v>
      </c>
      <c r="L787">
        <v>1358</v>
      </c>
      <c r="N787">
        <v>1010</v>
      </c>
      <c r="O787" t="s">
        <v>616</v>
      </c>
      <c r="P787" t="s">
        <v>616</v>
      </c>
      <c r="Q787">
        <v>10</v>
      </c>
      <c r="W787">
        <v>0</v>
      </c>
      <c r="X787">
        <v>-1250603825</v>
      </c>
      <c r="Y787">
        <v>0.581395</v>
      </c>
      <c r="AA787">
        <v>409.98</v>
      </c>
      <c r="AB787">
        <v>0</v>
      </c>
      <c r="AC787">
        <v>0</v>
      </c>
      <c r="AD787">
        <v>0</v>
      </c>
      <c r="AE787">
        <v>57.5</v>
      </c>
      <c r="AF787">
        <v>0</v>
      </c>
      <c r="AG787">
        <v>0</v>
      </c>
      <c r="AH787">
        <v>0</v>
      </c>
      <c r="AI787">
        <v>7.13</v>
      </c>
      <c r="AJ787">
        <v>1</v>
      </c>
      <c r="AK787">
        <v>1</v>
      </c>
      <c r="AL787">
        <v>1</v>
      </c>
      <c r="AN787">
        <v>0</v>
      </c>
      <c r="AO787">
        <v>0</v>
      </c>
      <c r="AP787">
        <v>0</v>
      </c>
      <c r="AQ787">
        <v>0</v>
      </c>
      <c r="AR787">
        <v>0</v>
      </c>
      <c r="AS787" t="s">
        <v>6</v>
      </c>
      <c r="AT787">
        <v>0.581395</v>
      </c>
      <c r="AU787" t="s">
        <v>6</v>
      </c>
      <c r="AV787">
        <v>0</v>
      </c>
      <c r="AW787">
        <v>1</v>
      </c>
      <c r="AX787">
        <v>-1</v>
      </c>
      <c r="AY787">
        <v>0</v>
      </c>
      <c r="AZ787">
        <v>0</v>
      </c>
      <c r="BA787" t="s">
        <v>6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X787">
        <f>Y787*Source!I395</f>
        <v>0.19999987999999999</v>
      </c>
      <c r="CY787">
        <f t="shared" si="142"/>
        <v>409.98</v>
      </c>
      <c r="CZ787">
        <f t="shared" si="143"/>
        <v>57.5</v>
      </c>
      <c r="DA787">
        <f t="shared" si="144"/>
        <v>7.13</v>
      </c>
      <c r="DB787">
        <f t="shared" si="145"/>
        <v>33.43</v>
      </c>
      <c r="DC787">
        <f t="shared" si="146"/>
        <v>0</v>
      </c>
    </row>
    <row r="788" spans="1:107" x14ac:dyDescent="0.2">
      <c r="A788">
        <f>ROW(Source!A395)</f>
        <v>395</v>
      </c>
      <c r="B788">
        <v>16630606</v>
      </c>
      <c r="C788">
        <v>16632882</v>
      </c>
      <c r="D788">
        <v>15233494</v>
      </c>
      <c r="E788">
        <v>1</v>
      </c>
      <c r="F788">
        <v>1</v>
      </c>
      <c r="G788">
        <v>1</v>
      </c>
      <c r="H788">
        <v>3</v>
      </c>
      <c r="I788" t="s">
        <v>1012</v>
      </c>
      <c r="J788" t="s">
        <v>1014</v>
      </c>
      <c r="K788" t="s">
        <v>1013</v>
      </c>
      <c r="L788">
        <v>1301</v>
      </c>
      <c r="N788">
        <v>1003</v>
      </c>
      <c r="O788" t="s">
        <v>150</v>
      </c>
      <c r="P788" t="s">
        <v>150</v>
      </c>
      <c r="Q788">
        <v>1</v>
      </c>
      <c r="W788">
        <v>0</v>
      </c>
      <c r="X788">
        <v>-1238824711</v>
      </c>
      <c r="Y788">
        <v>100</v>
      </c>
      <c r="AA788">
        <v>69.8</v>
      </c>
      <c r="AB788">
        <v>0</v>
      </c>
      <c r="AC788">
        <v>0</v>
      </c>
      <c r="AD788">
        <v>0</v>
      </c>
      <c r="AE788">
        <v>9.7899999999999991</v>
      </c>
      <c r="AF788">
        <v>0</v>
      </c>
      <c r="AG788">
        <v>0</v>
      </c>
      <c r="AH788">
        <v>0</v>
      </c>
      <c r="AI788">
        <v>7.13</v>
      </c>
      <c r="AJ788">
        <v>1</v>
      </c>
      <c r="AK788">
        <v>1</v>
      </c>
      <c r="AL788">
        <v>1</v>
      </c>
      <c r="AN788">
        <v>0</v>
      </c>
      <c r="AO788">
        <v>0</v>
      </c>
      <c r="AP788">
        <v>0</v>
      </c>
      <c r="AQ788">
        <v>0</v>
      </c>
      <c r="AR788">
        <v>0</v>
      </c>
      <c r="AS788" t="s">
        <v>6</v>
      </c>
      <c r="AT788">
        <v>100</v>
      </c>
      <c r="AU788" t="s">
        <v>6</v>
      </c>
      <c r="AV788">
        <v>0</v>
      </c>
      <c r="AW788">
        <v>1</v>
      </c>
      <c r="AX788">
        <v>-1</v>
      </c>
      <c r="AY788">
        <v>0</v>
      </c>
      <c r="AZ788">
        <v>0</v>
      </c>
      <c r="BA788" t="s">
        <v>6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X788">
        <f>Y788*Source!I395</f>
        <v>34.4</v>
      </c>
      <c r="CY788">
        <f t="shared" si="142"/>
        <v>69.8</v>
      </c>
      <c r="CZ788">
        <f t="shared" si="143"/>
        <v>9.7899999999999991</v>
      </c>
      <c r="DA788">
        <f t="shared" si="144"/>
        <v>7.13</v>
      </c>
      <c r="DB788">
        <f t="shared" si="145"/>
        <v>979</v>
      </c>
      <c r="DC788">
        <f t="shared" si="146"/>
        <v>0</v>
      </c>
    </row>
    <row r="789" spans="1:107" x14ac:dyDescent="0.2">
      <c r="A789">
        <f>ROW(Source!A398)</f>
        <v>398</v>
      </c>
      <c r="B789">
        <v>16630606</v>
      </c>
      <c r="C789">
        <v>16632916</v>
      </c>
      <c r="D789">
        <v>15446300</v>
      </c>
      <c r="E789">
        <v>1</v>
      </c>
      <c r="F789">
        <v>1</v>
      </c>
      <c r="G789">
        <v>1</v>
      </c>
      <c r="H789">
        <v>1</v>
      </c>
      <c r="I789" t="s">
        <v>1220</v>
      </c>
      <c r="J789" t="s">
        <v>6</v>
      </c>
      <c r="K789" t="s">
        <v>1221</v>
      </c>
      <c r="L789">
        <v>1191</v>
      </c>
      <c r="N789">
        <v>1013</v>
      </c>
      <c r="O789" t="s">
        <v>1148</v>
      </c>
      <c r="P789" t="s">
        <v>1148</v>
      </c>
      <c r="Q789">
        <v>1</v>
      </c>
      <c r="W789">
        <v>0</v>
      </c>
      <c r="X789">
        <v>912892513</v>
      </c>
      <c r="Y789">
        <v>172.08599999999998</v>
      </c>
      <c r="AA789">
        <v>0</v>
      </c>
      <c r="AB789">
        <v>0</v>
      </c>
      <c r="AC789">
        <v>0</v>
      </c>
      <c r="AD789">
        <v>70.73</v>
      </c>
      <c r="AE789">
        <v>0</v>
      </c>
      <c r="AF789">
        <v>0</v>
      </c>
      <c r="AG789">
        <v>0</v>
      </c>
      <c r="AH789">
        <v>9.92</v>
      </c>
      <c r="AI789">
        <v>1</v>
      </c>
      <c r="AJ789">
        <v>1</v>
      </c>
      <c r="AK789">
        <v>1</v>
      </c>
      <c r="AL789">
        <v>7.13</v>
      </c>
      <c r="AN789">
        <v>0</v>
      </c>
      <c r="AO789">
        <v>1</v>
      </c>
      <c r="AP789">
        <v>1</v>
      </c>
      <c r="AQ789">
        <v>0</v>
      </c>
      <c r="AR789">
        <v>0</v>
      </c>
      <c r="AS789" t="s">
        <v>6</v>
      </c>
      <c r="AT789">
        <v>149.63999999999999</v>
      </c>
      <c r="AU789" t="s">
        <v>82</v>
      </c>
      <c r="AV789">
        <v>1</v>
      </c>
      <c r="AW789">
        <v>2</v>
      </c>
      <c r="AX789">
        <v>16632931</v>
      </c>
      <c r="AY789">
        <v>1</v>
      </c>
      <c r="AZ789">
        <v>0</v>
      </c>
      <c r="BA789">
        <v>795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X789">
        <f>Y789*Source!I398</f>
        <v>49.216595999999988</v>
      </c>
      <c r="CY789">
        <f>AD789</f>
        <v>70.73</v>
      </c>
      <c r="CZ789">
        <f>AH789</f>
        <v>9.92</v>
      </c>
      <c r="DA789">
        <f>AL789</f>
        <v>7.13</v>
      </c>
      <c r="DB789">
        <f>ROUND((ROUND(AT789*CZ789,2)*1.15),2)</f>
        <v>1707.09</v>
      </c>
      <c r="DC789">
        <f>ROUND((ROUND(AT789*AG789,2)*1.15),2)</f>
        <v>0</v>
      </c>
    </row>
    <row r="790" spans="1:107" x14ac:dyDescent="0.2">
      <c r="A790">
        <f>ROW(Source!A398)</f>
        <v>398</v>
      </c>
      <c r="B790">
        <v>16630606</v>
      </c>
      <c r="C790">
        <v>16632916</v>
      </c>
      <c r="D790">
        <v>15430395</v>
      </c>
      <c r="E790">
        <v>1</v>
      </c>
      <c r="F790">
        <v>1</v>
      </c>
      <c r="G790">
        <v>1</v>
      </c>
      <c r="H790">
        <v>1</v>
      </c>
      <c r="I790" t="s">
        <v>1149</v>
      </c>
      <c r="J790" t="s">
        <v>6</v>
      </c>
      <c r="K790" t="s">
        <v>1150</v>
      </c>
      <c r="L790">
        <v>1191</v>
      </c>
      <c r="N790">
        <v>1013</v>
      </c>
      <c r="O790" t="s">
        <v>1148</v>
      </c>
      <c r="P790" t="s">
        <v>1148</v>
      </c>
      <c r="Q790">
        <v>1</v>
      </c>
      <c r="W790">
        <v>0</v>
      </c>
      <c r="X790">
        <v>-1417349443</v>
      </c>
      <c r="Y790">
        <v>8.42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1</v>
      </c>
      <c r="AJ790">
        <v>1</v>
      </c>
      <c r="AK790">
        <v>7.13</v>
      </c>
      <c r="AL790">
        <v>1</v>
      </c>
      <c r="AN790">
        <v>0</v>
      </c>
      <c r="AO790">
        <v>1</v>
      </c>
      <c r="AP790">
        <v>0</v>
      </c>
      <c r="AQ790">
        <v>0</v>
      </c>
      <c r="AR790">
        <v>0</v>
      </c>
      <c r="AS790" t="s">
        <v>6</v>
      </c>
      <c r="AT790">
        <v>8.42</v>
      </c>
      <c r="AU790" t="s">
        <v>6</v>
      </c>
      <c r="AV790">
        <v>2</v>
      </c>
      <c r="AW790">
        <v>2</v>
      </c>
      <c r="AX790">
        <v>16632932</v>
      </c>
      <c r="AY790">
        <v>1</v>
      </c>
      <c r="AZ790">
        <v>2048</v>
      </c>
      <c r="BA790">
        <v>796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X790">
        <f>Y790*Source!I398</f>
        <v>2.4081199999999998</v>
      </c>
      <c r="CY790">
        <f>AD790</f>
        <v>0</v>
      </c>
      <c r="CZ790">
        <f>AH790</f>
        <v>0</v>
      </c>
      <c r="DA790">
        <f>AL790</f>
        <v>1</v>
      </c>
      <c r="DB790">
        <f>ROUND(ROUND(AT790*CZ790,2),2)</f>
        <v>0</v>
      </c>
      <c r="DC790">
        <f>ROUND(ROUND(AT790*AG790,2),2)</f>
        <v>0</v>
      </c>
    </row>
    <row r="791" spans="1:107" x14ac:dyDescent="0.2">
      <c r="A791">
        <f>ROW(Source!A398)</f>
        <v>398</v>
      </c>
      <c r="B791">
        <v>16630606</v>
      </c>
      <c r="C791">
        <v>16632916</v>
      </c>
      <c r="D791">
        <v>15247578</v>
      </c>
      <c r="E791">
        <v>1</v>
      </c>
      <c r="F791">
        <v>1</v>
      </c>
      <c r="G791">
        <v>1</v>
      </c>
      <c r="H791">
        <v>2</v>
      </c>
      <c r="I791" t="s">
        <v>1246</v>
      </c>
      <c r="J791" t="s">
        <v>1247</v>
      </c>
      <c r="K791" t="s">
        <v>1248</v>
      </c>
      <c r="L791">
        <v>1368</v>
      </c>
      <c r="N791">
        <v>1011</v>
      </c>
      <c r="O791" t="s">
        <v>1154</v>
      </c>
      <c r="P791" t="s">
        <v>1154</v>
      </c>
      <c r="Q791">
        <v>1</v>
      </c>
      <c r="W791">
        <v>0</v>
      </c>
      <c r="X791">
        <v>-1460065968</v>
      </c>
      <c r="Y791">
        <v>6.25E-2</v>
      </c>
      <c r="AA791">
        <v>0</v>
      </c>
      <c r="AB791">
        <v>616.03</v>
      </c>
      <c r="AC791">
        <v>13.5</v>
      </c>
      <c r="AD791">
        <v>0</v>
      </c>
      <c r="AE791">
        <v>0</v>
      </c>
      <c r="AF791">
        <v>86.4</v>
      </c>
      <c r="AG791">
        <v>13.5</v>
      </c>
      <c r="AH791">
        <v>0</v>
      </c>
      <c r="AI791">
        <v>1</v>
      </c>
      <c r="AJ791">
        <v>7.13</v>
      </c>
      <c r="AK791">
        <v>1</v>
      </c>
      <c r="AL791">
        <v>1</v>
      </c>
      <c r="AN791">
        <v>0</v>
      </c>
      <c r="AO791">
        <v>1</v>
      </c>
      <c r="AP791">
        <v>1</v>
      </c>
      <c r="AQ791">
        <v>0</v>
      </c>
      <c r="AR791">
        <v>0</v>
      </c>
      <c r="AS791" t="s">
        <v>6</v>
      </c>
      <c r="AT791">
        <v>0.05</v>
      </c>
      <c r="AU791" t="s">
        <v>81</v>
      </c>
      <c r="AV791">
        <v>0</v>
      </c>
      <c r="AW791">
        <v>2</v>
      </c>
      <c r="AX791">
        <v>16632933</v>
      </c>
      <c r="AY791">
        <v>1</v>
      </c>
      <c r="AZ791">
        <v>0</v>
      </c>
      <c r="BA791">
        <v>797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X791">
        <f>Y791*Source!I398</f>
        <v>1.7874999999999999E-2</v>
      </c>
      <c r="CY791">
        <f>AB791</f>
        <v>616.03</v>
      </c>
      <c r="CZ791">
        <f>AF791</f>
        <v>86.4</v>
      </c>
      <c r="DA791">
        <f>AJ791</f>
        <v>7.13</v>
      </c>
      <c r="DB791">
        <f>ROUND((ROUND(AT791*CZ791,2)*1.25),2)</f>
        <v>5.4</v>
      </c>
      <c r="DC791">
        <f>ROUND((ROUND(AT791*AG791,2)*1.25),2)</f>
        <v>0.85</v>
      </c>
    </row>
    <row r="792" spans="1:107" x14ac:dyDescent="0.2">
      <c r="A792">
        <f>ROW(Source!A398)</f>
        <v>398</v>
      </c>
      <c r="B792">
        <v>16630606</v>
      </c>
      <c r="C792">
        <v>16632916</v>
      </c>
      <c r="D792">
        <v>15247680</v>
      </c>
      <c r="E792">
        <v>1</v>
      </c>
      <c r="F792">
        <v>1</v>
      </c>
      <c r="G792">
        <v>1</v>
      </c>
      <c r="H792">
        <v>2</v>
      </c>
      <c r="I792" t="s">
        <v>1419</v>
      </c>
      <c r="J792" t="s">
        <v>1420</v>
      </c>
      <c r="K792" t="s">
        <v>1421</v>
      </c>
      <c r="L792">
        <v>1368</v>
      </c>
      <c r="N792">
        <v>1011</v>
      </c>
      <c r="O792" t="s">
        <v>1154</v>
      </c>
      <c r="P792" t="s">
        <v>1154</v>
      </c>
      <c r="Q792">
        <v>1</v>
      </c>
      <c r="W792">
        <v>0</v>
      </c>
      <c r="X792">
        <v>-1718674368</v>
      </c>
      <c r="Y792">
        <v>3.7499999999999999E-2</v>
      </c>
      <c r="AA792">
        <v>0</v>
      </c>
      <c r="AB792">
        <v>798.49</v>
      </c>
      <c r="AC792">
        <v>13.5</v>
      </c>
      <c r="AD792">
        <v>0</v>
      </c>
      <c r="AE792">
        <v>0</v>
      </c>
      <c r="AF792">
        <v>111.99</v>
      </c>
      <c r="AG792">
        <v>13.5</v>
      </c>
      <c r="AH792">
        <v>0</v>
      </c>
      <c r="AI792">
        <v>1</v>
      </c>
      <c r="AJ792">
        <v>7.13</v>
      </c>
      <c r="AK792">
        <v>1</v>
      </c>
      <c r="AL792">
        <v>1</v>
      </c>
      <c r="AN792">
        <v>0</v>
      </c>
      <c r="AO792">
        <v>1</v>
      </c>
      <c r="AP792">
        <v>1</v>
      </c>
      <c r="AQ792">
        <v>0</v>
      </c>
      <c r="AR792">
        <v>0</v>
      </c>
      <c r="AS792" t="s">
        <v>6</v>
      </c>
      <c r="AT792">
        <v>0.03</v>
      </c>
      <c r="AU792" t="s">
        <v>81</v>
      </c>
      <c r="AV792">
        <v>0</v>
      </c>
      <c r="AW792">
        <v>2</v>
      </c>
      <c r="AX792">
        <v>16632934</v>
      </c>
      <c r="AY792">
        <v>1</v>
      </c>
      <c r="AZ792">
        <v>0</v>
      </c>
      <c r="BA792">
        <v>798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X792">
        <f>Y792*Source!I398</f>
        <v>1.0724999999999998E-2</v>
      </c>
      <c r="CY792">
        <f>AB792</f>
        <v>798.49</v>
      </c>
      <c r="CZ792">
        <f>AF792</f>
        <v>111.99</v>
      </c>
      <c r="DA792">
        <f>AJ792</f>
        <v>7.13</v>
      </c>
      <c r="DB792">
        <f>ROUND((ROUND(AT792*CZ792,2)*1.25),2)</f>
        <v>4.2</v>
      </c>
      <c r="DC792">
        <f>ROUND((ROUND(AT792*AG792,2)*1.25),2)</f>
        <v>0.51</v>
      </c>
    </row>
    <row r="793" spans="1:107" x14ac:dyDescent="0.2">
      <c r="A793">
        <f>ROW(Source!A398)</f>
        <v>398</v>
      </c>
      <c r="B793">
        <v>16630606</v>
      </c>
      <c r="C793">
        <v>16632916</v>
      </c>
      <c r="D793">
        <v>15249073</v>
      </c>
      <c r="E793">
        <v>1</v>
      </c>
      <c r="F793">
        <v>1</v>
      </c>
      <c r="G793">
        <v>1</v>
      </c>
      <c r="H793">
        <v>2</v>
      </c>
      <c r="I793" t="s">
        <v>1157</v>
      </c>
      <c r="J793" t="s">
        <v>1158</v>
      </c>
      <c r="K793" t="s">
        <v>1159</v>
      </c>
      <c r="L793">
        <v>1368</v>
      </c>
      <c r="N793">
        <v>1011</v>
      </c>
      <c r="O793" t="s">
        <v>1154</v>
      </c>
      <c r="P793" t="s">
        <v>1154</v>
      </c>
      <c r="Q793">
        <v>1</v>
      </c>
      <c r="W793">
        <v>0</v>
      </c>
      <c r="X793">
        <v>1372534845</v>
      </c>
      <c r="Y793">
        <v>0.27500000000000002</v>
      </c>
      <c r="AA793">
        <v>0</v>
      </c>
      <c r="AB793">
        <v>468.51</v>
      </c>
      <c r="AC793">
        <v>11.6</v>
      </c>
      <c r="AD793">
        <v>0</v>
      </c>
      <c r="AE793">
        <v>0</v>
      </c>
      <c r="AF793">
        <v>65.709999999999994</v>
      </c>
      <c r="AG793">
        <v>11.6</v>
      </c>
      <c r="AH793">
        <v>0</v>
      </c>
      <c r="AI793">
        <v>1</v>
      </c>
      <c r="AJ793">
        <v>7.13</v>
      </c>
      <c r="AK793">
        <v>1</v>
      </c>
      <c r="AL793">
        <v>1</v>
      </c>
      <c r="AN793">
        <v>0</v>
      </c>
      <c r="AO793">
        <v>1</v>
      </c>
      <c r="AP793">
        <v>1</v>
      </c>
      <c r="AQ793">
        <v>0</v>
      </c>
      <c r="AR793">
        <v>0</v>
      </c>
      <c r="AS793" t="s">
        <v>6</v>
      </c>
      <c r="AT793">
        <v>0.22</v>
      </c>
      <c r="AU793" t="s">
        <v>81</v>
      </c>
      <c r="AV793">
        <v>0</v>
      </c>
      <c r="AW793">
        <v>2</v>
      </c>
      <c r="AX793">
        <v>16632935</v>
      </c>
      <c r="AY793">
        <v>1</v>
      </c>
      <c r="AZ793">
        <v>0</v>
      </c>
      <c r="BA793">
        <v>799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X793">
        <f>Y793*Source!I398</f>
        <v>7.8649999999999998E-2</v>
      </c>
      <c r="CY793">
        <f>AB793</f>
        <v>468.51</v>
      </c>
      <c r="CZ793">
        <f>AF793</f>
        <v>65.709999999999994</v>
      </c>
      <c r="DA793">
        <f>AJ793</f>
        <v>7.13</v>
      </c>
      <c r="DB793">
        <f>ROUND((ROUND(AT793*CZ793,2)*1.25),2)</f>
        <v>18.079999999999998</v>
      </c>
      <c r="DC793">
        <f>ROUND((ROUND(AT793*AG793,2)*1.25),2)</f>
        <v>3.19</v>
      </c>
    </row>
    <row r="794" spans="1:107" x14ac:dyDescent="0.2">
      <c r="A794">
        <f>ROW(Source!A398)</f>
        <v>398</v>
      </c>
      <c r="B794">
        <v>16630606</v>
      </c>
      <c r="C794">
        <v>16632916</v>
      </c>
      <c r="D794">
        <v>15249291</v>
      </c>
      <c r="E794">
        <v>1</v>
      </c>
      <c r="F794">
        <v>1</v>
      </c>
      <c r="G794">
        <v>1</v>
      </c>
      <c r="H794">
        <v>2</v>
      </c>
      <c r="I794" t="s">
        <v>1650</v>
      </c>
      <c r="J794" t="s">
        <v>1651</v>
      </c>
      <c r="K794" t="s">
        <v>1652</v>
      </c>
      <c r="L794">
        <v>1368</v>
      </c>
      <c r="N794">
        <v>1011</v>
      </c>
      <c r="O794" t="s">
        <v>1154</v>
      </c>
      <c r="P794" t="s">
        <v>1154</v>
      </c>
      <c r="Q794">
        <v>1</v>
      </c>
      <c r="W794">
        <v>0</v>
      </c>
      <c r="X794">
        <v>917635847</v>
      </c>
      <c r="Y794">
        <v>10.149999999999999</v>
      </c>
      <c r="AA794">
        <v>0</v>
      </c>
      <c r="AB794">
        <v>713.71</v>
      </c>
      <c r="AC794">
        <v>13.5</v>
      </c>
      <c r="AD794">
        <v>0</v>
      </c>
      <c r="AE794">
        <v>0</v>
      </c>
      <c r="AF794">
        <v>100.1</v>
      </c>
      <c r="AG794">
        <v>13.5</v>
      </c>
      <c r="AH794">
        <v>0</v>
      </c>
      <c r="AI794">
        <v>1</v>
      </c>
      <c r="AJ794">
        <v>7.13</v>
      </c>
      <c r="AK794">
        <v>1</v>
      </c>
      <c r="AL794">
        <v>1</v>
      </c>
      <c r="AN794">
        <v>0</v>
      </c>
      <c r="AO794">
        <v>1</v>
      </c>
      <c r="AP794">
        <v>1</v>
      </c>
      <c r="AQ794">
        <v>0</v>
      </c>
      <c r="AR794">
        <v>0</v>
      </c>
      <c r="AS794" t="s">
        <v>6</v>
      </c>
      <c r="AT794">
        <v>8.1199999999999992</v>
      </c>
      <c r="AU794" t="s">
        <v>81</v>
      </c>
      <c r="AV794">
        <v>0</v>
      </c>
      <c r="AW794">
        <v>2</v>
      </c>
      <c r="AX794">
        <v>16632936</v>
      </c>
      <c r="AY794">
        <v>1</v>
      </c>
      <c r="AZ794">
        <v>0</v>
      </c>
      <c r="BA794">
        <v>800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X794">
        <f>Y794*Source!I398</f>
        <v>2.9028999999999994</v>
      </c>
      <c r="CY794">
        <f>AB794</f>
        <v>713.71</v>
      </c>
      <c r="CZ794">
        <f>AF794</f>
        <v>100.1</v>
      </c>
      <c r="DA794">
        <f>AJ794</f>
        <v>7.13</v>
      </c>
      <c r="DB794">
        <f>ROUND((ROUND(AT794*CZ794,2)*1.25),2)</f>
        <v>1016.01</v>
      </c>
      <c r="DC794">
        <f>ROUND((ROUND(AT794*AG794,2)*1.25),2)</f>
        <v>137.03</v>
      </c>
    </row>
    <row r="795" spans="1:107" x14ac:dyDescent="0.2">
      <c r="A795">
        <f>ROW(Source!A398)</f>
        <v>398</v>
      </c>
      <c r="B795">
        <v>16630606</v>
      </c>
      <c r="C795">
        <v>16632916</v>
      </c>
      <c r="D795">
        <v>15166105</v>
      </c>
      <c r="E795">
        <v>1</v>
      </c>
      <c r="F795">
        <v>1</v>
      </c>
      <c r="G795">
        <v>1</v>
      </c>
      <c r="H795">
        <v>3</v>
      </c>
      <c r="I795" t="s">
        <v>1653</v>
      </c>
      <c r="J795" t="s">
        <v>1654</v>
      </c>
      <c r="K795" t="s">
        <v>1655</v>
      </c>
      <c r="L795">
        <v>1346</v>
      </c>
      <c r="N795">
        <v>1009</v>
      </c>
      <c r="O795" t="s">
        <v>102</v>
      </c>
      <c r="P795" t="s">
        <v>102</v>
      </c>
      <c r="Q795">
        <v>1</v>
      </c>
      <c r="W795">
        <v>0</v>
      </c>
      <c r="X795">
        <v>-1168800073</v>
      </c>
      <c r="Y795">
        <v>0.25</v>
      </c>
      <c r="AA795">
        <v>84.13</v>
      </c>
      <c r="AB795">
        <v>0</v>
      </c>
      <c r="AC795">
        <v>0</v>
      </c>
      <c r="AD795">
        <v>0</v>
      </c>
      <c r="AE795">
        <v>11.8</v>
      </c>
      <c r="AF795">
        <v>0</v>
      </c>
      <c r="AG795">
        <v>0</v>
      </c>
      <c r="AH795">
        <v>0</v>
      </c>
      <c r="AI795">
        <v>7.13</v>
      </c>
      <c r="AJ795">
        <v>1</v>
      </c>
      <c r="AK795">
        <v>1</v>
      </c>
      <c r="AL795">
        <v>1</v>
      </c>
      <c r="AN795">
        <v>0</v>
      </c>
      <c r="AO795">
        <v>1</v>
      </c>
      <c r="AP795">
        <v>0</v>
      </c>
      <c r="AQ795">
        <v>0</v>
      </c>
      <c r="AR795">
        <v>0</v>
      </c>
      <c r="AS795" t="s">
        <v>6</v>
      </c>
      <c r="AT795">
        <v>0.25</v>
      </c>
      <c r="AU795" t="s">
        <v>6</v>
      </c>
      <c r="AV795">
        <v>0</v>
      </c>
      <c r="AW795">
        <v>2</v>
      </c>
      <c r="AX795">
        <v>16632937</v>
      </c>
      <c r="AY795">
        <v>1</v>
      </c>
      <c r="AZ795">
        <v>0</v>
      </c>
      <c r="BA795">
        <v>801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X795">
        <f>Y795*Source!I398</f>
        <v>7.1499999999999994E-2</v>
      </c>
      <c r="CY795">
        <f t="shared" ref="CY795:CY802" si="147">AA795</f>
        <v>84.13</v>
      </c>
      <c r="CZ795">
        <f t="shared" ref="CZ795:CZ802" si="148">AE795</f>
        <v>11.8</v>
      </c>
      <c r="DA795">
        <f t="shared" ref="DA795:DA802" si="149">AI795</f>
        <v>7.13</v>
      </c>
      <c r="DB795">
        <f t="shared" ref="DB795:DB802" si="150">ROUND(ROUND(AT795*CZ795,2),2)</f>
        <v>2.95</v>
      </c>
      <c r="DC795">
        <f t="shared" ref="DC795:DC802" si="151">ROUND(ROUND(AT795*AG795,2),2)</f>
        <v>0</v>
      </c>
    </row>
    <row r="796" spans="1:107" x14ac:dyDescent="0.2">
      <c r="A796">
        <f>ROW(Source!A398)</f>
        <v>398</v>
      </c>
      <c r="B796">
        <v>16630606</v>
      </c>
      <c r="C796">
        <v>16632916</v>
      </c>
      <c r="D796">
        <v>15167286</v>
      </c>
      <c r="E796">
        <v>1</v>
      </c>
      <c r="F796">
        <v>1</v>
      </c>
      <c r="G796">
        <v>1</v>
      </c>
      <c r="H796">
        <v>3</v>
      </c>
      <c r="I796" t="s">
        <v>1265</v>
      </c>
      <c r="J796" t="s">
        <v>1266</v>
      </c>
      <c r="K796" t="s">
        <v>1267</v>
      </c>
      <c r="L796">
        <v>1339</v>
      </c>
      <c r="N796">
        <v>1007</v>
      </c>
      <c r="O796" t="s">
        <v>203</v>
      </c>
      <c r="P796" t="s">
        <v>203</v>
      </c>
      <c r="Q796">
        <v>1</v>
      </c>
      <c r="W796">
        <v>0</v>
      </c>
      <c r="X796">
        <v>-1660354250</v>
      </c>
      <c r="Y796">
        <v>0.74</v>
      </c>
      <c r="AA796">
        <v>17.399999999999999</v>
      </c>
      <c r="AB796">
        <v>0</v>
      </c>
      <c r="AC796">
        <v>0</v>
      </c>
      <c r="AD796">
        <v>0</v>
      </c>
      <c r="AE796">
        <v>2.44</v>
      </c>
      <c r="AF796">
        <v>0</v>
      </c>
      <c r="AG796">
        <v>0</v>
      </c>
      <c r="AH796">
        <v>0</v>
      </c>
      <c r="AI796">
        <v>7.13</v>
      </c>
      <c r="AJ796">
        <v>1</v>
      </c>
      <c r="AK796">
        <v>1</v>
      </c>
      <c r="AL796">
        <v>1</v>
      </c>
      <c r="AN796">
        <v>0</v>
      </c>
      <c r="AO796">
        <v>1</v>
      </c>
      <c r="AP796">
        <v>0</v>
      </c>
      <c r="AQ796">
        <v>0</v>
      </c>
      <c r="AR796">
        <v>0</v>
      </c>
      <c r="AS796" t="s">
        <v>6</v>
      </c>
      <c r="AT796">
        <v>0.74</v>
      </c>
      <c r="AU796" t="s">
        <v>6</v>
      </c>
      <c r="AV796">
        <v>0</v>
      </c>
      <c r="AW796">
        <v>2</v>
      </c>
      <c r="AX796">
        <v>16632938</v>
      </c>
      <c r="AY796">
        <v>1</v>
      </c>
      <c r="AZ796">
        <v>0</v>
      </c>
      <c r="BA796">
        <v>802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X796">
        <f>Y796*Source!I398</f>
        <v>0.21163999999999997</v>
      </c>
      <c r="CY796">
        <f t="shared" si="147"/>
        <v>17.399999999999999</v>
      </c>
      <c r="CZ796">
        <f t="shared" si="148"/>
        <v>2.44</v>
      </c>
      <c r="DA796">
        <f t="shared" si="149"/>
        <v>7.13</v>
      </c>
      <c r="DB796">
        <f t="shared" si="150"/>
        <v>1.81</v>
      </c>
      <c r="DC796">
        <f t="shared" si="151"/>
        <v>0</v>
      </c>
    </row>
    <row r="797" spans="1:107" x14ac:dyDescent="0.2">
      <c r="A797">
        <f>ROW(Source!A398)</f>
        <v>398</v>
      </c>
      <c r="B797">
        <v>16630606</v>
      </c>
      <c r="C797">
        <v>16632916</v>
      </c>
      <c r="D797">
        <v>15167787</v>
      </c>
      <c r="E797">
        <v>1</v>
      </c>
      <c r="F797">
        <v>1</v>
      </c>
      <c r="G797">
        <v>1</v>
      </c>
      <c r="H797">
        <v>3</v>
      </c>
      <c r="I797" t="s">
        <v>1656</v>
      </c>
      <c r="J797" t="s">
        <v>1657</v>
      </c>
      <c r="K797" t="s">
        <v>1658</v>
      </c>
      <c r="L797">
        <v>1356</v>
      </c>
      <c r="N797">
        <v>1010</v>
      </c>
      <c r="O797" t="s">
        <v>278</v>
      </c>
      <c r="P797" t="s">
        <v>278</v>
      </c>
      <c r="Q797">
        <v>1000</v>
      </c>
      <c r="W797">
        <v>0</v>
      </c>
      <c r="X797">
        <v>72387144</v>
      </c>
      <c r="Y797">
        <v>6.9000000000000006E-2</v>
      </c>
      <c r="AA797">
        <v>1809.59</v>
      </c>
      <c r="AB797">
        <v>0</v>
      </c>
      <c r="AC797">
        <v>0</v>
      </c>
      <c r="AD797">
        <v>0</v>
      </c>
      <c r="AE797">
        <v>253.8</v>
      </c>
      <c r="AF797">
        <v>0</v>
      </c>
      <c r="AG797">
        <v>0</v>
      </c>
      <c r="AH797">
        <v>0</v>
      </c>
      <c r="AI797">
        <v>7.13</v>
      </c>
      <c r="AJ797">
        <v>1</v>
      </c>
      <c r="AK797">
        <v>1</v>
      </c>
      <c r="AL797">
        <v>1</v>
      </c>
      <c r="AN797">
        <v>0</v>
      </c>
      <c r="AO797">
        <v>1</v>
      </c>
      <c r="AP797">
        <v>0</v>
      </c>
      <c r="AQ797">
        <v>0</v>
      </c>
      <c r="AR797">
        <v>0</v>
      </c>
      <c r="AS797" t="s">
        <v>6</v>
      </c>
      <c r="AT797">
        <v>6.9000000000000006E-2</v>
      </c>
      <c r="AU797" t="s">
        <v>6</v>
      </c>
      <c r="AV797">
        <v>0</v>
      </c>
      <c r="AW797">
        <v>2</v>
      </c>
      <c r="AX797">
        <v>16632939</v>
      </c>
      <c r="AY797">
        <v>1</v>
      </c>
      <c r="AZ797">
        <v>0</v>
      </c>
      <c r="BA797">
        <v>803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X797">
        <f>Y797*Source!I398</f>
        <v>1.9734000000000002E-2</v>
      </c>
      <c r="CY797">
        <f t="shared" si="147"/>
        <v>1809.59</v>
      </c>
      <c r="CZ797">
        <f t="shared" si="148"/>
        <v>253.8</v>
      </c>
      <c r="DA797">
        <f t="shared" si="149"/>
        <v>7.13</v>
      </c>
      <c r="DB797">
        <f t="shared" si="150"/>
        <v>17.510000000000002</v>
      </c>
      <c r="DC797">
        <f t="shared" si="151"/>
        <v>0</v>
      </c>
    </row>
    <row r="798" spans="1:107" x14ac:dyDescent="0.2">
      <c r="A798">
        <f>ROW(Source!A398)</f>
        <v>398</v>
      </c>
      <c r="B798">
        <v>16630606</v>
      </c>
      <c r="C798">
        <v>16632916</v>
      </c>
      <c r="D798">
        <v>15170090</v>
      </c>
      <c r="E798">
        <v>1</v>
      </c>
      <c r="F798">
        <v>1</v>
      </c>
      <c r="G798">
        <v>1</v>
      </c>
      <c r="H798">
        <v>3</v>
      </c>
      <c r="I798" t="s">
        <v>1659</v>
      </c>
      <c r="J798" t="s">
        <v>1660</v>
      </c>
      <c r="K798" t="s">
        <v>1661</v>
      </c>
      <c r="L798">
        <v>1348</v>
      </c>
      <c r="N798">
        <v>1009</v>
      </c>
      <c r="O798" t="s">
        <v>98</v>
      </c>
      <c r="P798" t="s">
        <v>98</v>
      </c>
      <c r="Q798">
        <v>1000</v>
      </c>
      <c r="W798">
        <v>0</v>
      </c>
      <c r="X798">
        <v>-735561281</v>
      </c>
      <c r="Y798">
        <v>5.9000000000000003E-4</v>
      </c>
      <c r="AA798">
        <v>160838.54</v>
      </c>
      <c r="AB798">
        <v>0</v>
      </c>
      <c r="AC798">
        <v>0</v>
      </c>
      <c r="AD798">
        <v>0</v>
      </c>
      <c r="AE798">
        <v>22558</v>
      </c>
      <c r="AF798">
        <v>0</v>
      </c>
      <c r="AG798">
        <v>0</v>
      </c>
      <c r="AH798">
        <v>0</v>
      </c>
      <c r="AI798">
        <v>7.13</v>
      </c>
      <c r="AJ798">
        <v>1</v>
      </c>
      <c r="AK798">
        <v>1</v>
      </c>
      <c r="AL798">
        <v>1</v>
      </c>
      <c r="AN798">
        <v>0</v>
      </c>
      <c r="AO798">
        <v>1</v>
      </c>
      <c r="AP798">
        <v>0</v>
      </c>
      <c r="AQ798">
        <v>0</v>
      </c>
      <c r="AR798">
        <v>0</v>
      </c>
      <c r="AS798" t="s">
        <v>6</v>
      </c>
      <c r="AT798">
        <v>5.9000000000000003E-4</v>
      </c>
      <c r="AU798" t="s">
        <v>6</v>
      </c>
      <c r="AV798">
        <v>0</v>
      </c>
      <c r="AW798">
        <v>2</v>
      </c>
      <c r="AX798">
        <v>16632940</v>
      </c>
      <c r="AY798">
        <v>1</v>
      </c>
      <c r="AZ798">
        <v>0</v>
      </c>
      <c r="BA798">
        <v>804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X798">
        <f>Y798*Source!I398</f>
        <v>1.6873999999999999E-4</v>
      </c>
      <c r="CY798">
        <f t="shared" si="147"/>
        <v>160838.54</v>
      </c>
      <c r="CZ798">
        <f t="shared" si="148"/>
        <v>22558</v>
      </c>
      <c r="DA798">
        <f t="shared" si="149"/>
        <v>7.13</v>
      </c>
      <c r="DB798">
        <f t="shared" si="150"/>
        <v>13.31</v>
      </c>
      <c r="DC798">
        <f t="shared" si="151"/>
        <v>0</v>
      </c>
    </row>
    <row r="799" spans="1:107" x14ac:dyDescent="0.2">
      <c r="A799">
        <f>ROW(Source!A398)</f>
        <v>398</v>
      </c>
      <c r="B799">
        <v>16630606</v>
      </c>
      <c r="C799">
        <v>16632916</v>
      </c>
      <c r="D799">
        <v>15172018</v>
      </c>
      <c r="E799">
        <v>1</v>
      </c>
      <c r="F799">
        <v>1</v>
      </c>
      <c r="G799">
        <v>1</v>
      </c>
      <c r="H799">
        <v>3</v>
      </c>
      <c r="I799" t="s">
        <v>1539</v>
      </c>
      <c r="J799" t="s">
        <v>1540</v>
      </c>
      <c r="K799" t="s">
        <v>1541</v>
      </c>
      <c r="L799">
        <v>1346</v>
      </c>
      <c r="N799">
        <v>1009</v>
      </c>
      <c r="O799" t="s">
        <v>102</v>
      </c>
      <c r="P799" t="s">
        <v>102</v>
      </c>
      <c r="Q799">
        <v>1</v>
      </c>
      <c r="W799">
        <v>0</v>
      </c>
      <c r="X799">
        <v>450790165</v>
      </c>
      <c r="Y799">
        <v>2.5000000000000001E-3</v>
      </c>
      <c r="AA799">
        <v>15.33</v>
      </c>
      <c r="AB799">
        <v>0</v>
      </c>
      <c r="AC799">
        <v>0</v>
      </c>
      <c r="AD799">
        <v>0</v>
      </c>
      <c r="AE799">
        <v>2.15</v>
      </c>
      <c r="AF799">
        <v>0</v>
      </c>
      <c r="AG799">
        <v>0</v>
      </c>
      <c r="AH799">
        <v>0</v>
      </c>
      <c r="AI799">
        <v>7.13</v>
      </c>
      <c r="AJ799">
        <v>1</v>
      </c>
      <c r="AK799">
        <v>1</v>
      </c>
      <c r="AL799">
        <v>1</v>
      </c>
      <c r="AN799">
        <v>0</v>
      </c>
      <c r="AO799">
        <v>1</v>
      </c>
      <c r="AP799">
        <v>0</v>
      </c>
      <c r="AQ799">
        <v>0</v>
      </c>
      <c r="AR799">
        <v>0</v>
      </c>
      <c r="AS799" t="s">
        <v>6</v>
      </c>
      <c r="AT799">
        <v>2.5000000000000001E-3</v>
      </c>
      <c r="AU799" t="s">
        <v>6</v>
      </c>
      <c r="AV799">
        <v>0</v>
      </c>
      <c r="AW799">
        <v>2</v>
      </c>
      <c r="AX799">
        <v>16632941</v>
      </c>
      <c r="AY799">
        <v>1</v>
      </c>
      <c r="AZ799">
        <v>0</v>
      </c>
      <c r="BA799">
        <v>805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X799">
        <f>Y799*Source!I398</f>
        <v>7.1499999999999992E-4</v>
      </c>
      <c r="CY799">
        <f t="shared" si="147"/>
        <v>15.33</v>
      </c>
      <c r="CZ799">
        <f t="shared" si="148"/>
        <v>2.15</v>
      </c>
      <c r="DA799">
        <f t="shared" si="149"/>
        <v>7.13</v>
      </c>
      <c r="DB799">
        <f t="shared" si="150"/>
        <v>0.01</v>
      </c>
      <c r="DC799">
        <f t="shared" si="151"/>
        <v>0</v>
      </c>
    </row>
    <row r="800" spans="1:107" x14ac:dyDescent="0.2">
      <c r="A800">
        <f>ROW(Source!A398)</f>
        <v>398</v>
      </c>
      <c r="B800">
        <v>16630606</v>
      </c>
      <c r="C800">
        <v>16632916</v>
      </c>
      <c r="D800">
        <v>15202502</v>
      </c>
      <c r="E800">
        <v>1</v>
      </c>
      <c r="F800">
        <v>1</v>
      </c>
      <c r="G800">
        <v>1</v>
      </c>
      <c r="H800">
        <v>3</v>
      </c>
      <c r="I800" t="s">
        <v>1662</v>
      </c>
      <c r="J800" t="s">
        <v>1663</v>
      </c>
      <c r="K800" t="s">
        <v>1664</v>
      </c>
      <c r="L800">
        <v>1346</v>
      </c>
      <c r="N800">
        <v>1009</v>
      </c>
      <c r="O800" t="s">
        <v>102</v>
      </c>
      <c r="P800" t="s">
        <v>102</v>
      </c>
      <c r="Q800">
        <v>1</v>
      </c>
      <c r="W800">
        <v>0</v>
      </c>
      <c r="X800">
        <v>497371595</v>
      </c>
      <c r="Y800">
        <v>0.2</v>
      </c>
      <c r="AA800">
        <v>206.27</v>
      </c>
      <c r="AB800">
        <v>0</v>
      </c>
      <c r="AC800">
        <v>0</v>
      </c>
      <c r="AD800">
        <v>0</v>
      </c>
      <c r="AE800">
        <v>28.93</v>
      </c>
      <c r="AF800">
        <v>0</v>
      </c>
      <c r="AG800">
        <v>0</v>
      </c>
      <c r="AH800">
        <v>0</v>
      </c>
      <c r="AI800">
        <v>7.13</v>
      </c>
      <c r="AJ800">
        <v>1</v>
      </c>
      <c r="AK800">
        <v>1</v>
      </c>
      <c r="AL800">
        <v>1</v>
      </c>
      <c r="AN800">
        <v>0</v>
      </c>
      <c r="AO800">
        <v>1</v>
      </c>
      <c r="AP800">
        <v>0</v>
      </c>
      <c r="AQ800">
        <v>0</v>
      </c>
      <c r="AR800">
        <v>0</v>
      </c>
      <c r="AS800" t="s">
        <v>6</v>
      </c>
      <c r="AT800">
        <v>0.2</v>
      </c>
      <c r="AU800" t="s">
        <v>6</v>
      </c>
      <c r="AV800">
        <v>0</v>
      </c>
      <c r="AW800">
        <v>2</v>
      </c>
      <c r="AX800">
        <v>16632943</v>
      </c>
      <c r="AY800">
        <v>1</v>
      </c>
      <c r="AZ800">
        <v>0</v>
      </c>
      <c r="BA800">
        <v>807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CX800">
        <f>Y800*Source!I398</f>
        <v>5.7200000000000001E-2</v>
      </c>
      <c r="CY800">
        <f t="shared" si="147"/>
        <v>206.27</v>
      </c>
      <c r="CZ800">
        <f t="shared" si="148"/>
        <v>28.93</v>
      </c>
      <c r="DA800">
        <f t="shared" si="149"/>
        <v>7.13</v>
      </c>
      <c r="DB800">
        <f t="shared" si="150"/>
        <v>5.79</v>
      </c>
      <c r="DC800">
        <f t="shared" si="151"/>
        <v>0</v>
      </c>
    </row>
    <row r="801" spans="1:107" x14ac:dyDescent="0.2">
      <c r="A801">
        <f>ROW(Source!A398)</f>
        <v>398</v>
      </c>
      <c r="B801">
        <v>16630606</v>
      </c>
      <c r="C801">
        <v>16632916</v>
      </c>
      <c r="D801">
        <v>15226741</v>
      </c>
      <c r="E801">
        <v>1</v>
      </c>
      <c r="F801">
        <v>1</v>
      </c>
      <c r="G801">
        <v>1</v>
      </c>
      <c r="H801">
        <v>3</v>
      </c>
      <c r="I801" t="s">
        <v>1020</v>
      </c>
      <c r="J801" t="s">
        <v>1022</v>
      </c>
      <c r="K801" t="s">
        <v>1021</v>
      </c>
      <c r="L801">
        <v>1358</v>
      </c>
      <c r="N801">
        <v>1010</v>
      </c>
      <c r="O801" t="s">
        <v>616</v>
      </c>
      <c r="P801" t="s">
        <v>616</v>
      </c>
      <c r="Q801">
        <v>10</v>
      </c>
      <c r="W801">
        <v>0</v>
      </c>
      <c r="X801">
        <v>-1191253957</v>
      </c>
      <c r="Y801">
        <v>0.69930099999999995</v>
      </c>
      <c r="AA801">
        <v>415.68</v>
      </c>
      <c r="AB801">
        <v>0</v>
      </c>
      <c r="AC801">
        <v>0</v>
      </c>
      <c r="AD801">
        <v>0</v>
      </c>
      <c r="AE801">
        <v>58.3</v>
      </c>
      <c r="AF801">
        <v>0</v>
      </c>
      <c r="AG801">
        <v>0</v>
      </c>
      <c r="AH801">
        <v>0</v>
      </c>
      <c r="AI801">
        <v>7.13</v>
      </c>
      <c r="AJ801">
        <v>1</v>
      </c>
      <c r="AK801">
        <v>1</v>
      </c>
      <c r="AL801">
        <v>1</v>
      </c>
      <c r="AN801">
        <v>0</v>
      </c>
      <c r="AO801">
        <v>0</v>
      </c>
      <c r="AP801">
        <v>0</v>
      </c>
      <c r="AQ801">
        <v>0</v>
      </c>
      <c r="AR801">
        <v>0</v>
      </c>
      <c r="AS801" t="s">
        <v>6</v>
      </c>
      <c r="AT801">
        <v>0.69930099999999995</v>
      </c>
      <c r="AU801" t="s">
        <v>6</v>
      </c>
      <c r="AV801">
        <v>0</v>
      </c>
      <c r="AW801">
        <v>1</v>
      </c>
      <c r="AX801">
        <v>-1</v>
      </c>
      <c r="AY801">
        <v>0</v>
      </c>
      <c r="AZ801">
        <v>0</v>
      </c>
      <c r="BA801" t="s">
        <v>6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CX801">
        <f>Y801*Source!I398</f>
        <v>0.20000008599999997</v>
      </c>
      <c r="CY801">
        <f t="shared" si="147"/>
        <v>415.68</v>
      </c>
      <c r="CZ801">
        <f t="shared" si="148"/>
        <v>58.3</v>
      </c>
      <c r="DA801">
        <f t="shared" si="149"/>
        <v>7.13</v>
      </c>
      <c r="DB801">
        <f t="shared" si="150"/>
        <v>40.770000000000003</v>
      </c>
      <c r="DC801">
        <f t="shared" si="151"/>
        <v>0</v>
      </c>
    </row>
    <row r="802" spans="1:107" x14ac:dyDescent="0.2">
      <c r="A802">
        <f>ROW(Source!A398)</f>
        <v>398</v>
      </c>
      <c r="B802">
        <v>16630606</v>
      </c>
      <c r="C802">
        <v>16632916</v>
      </c>
      <c r="D802">
        <v>15233495</v>
      </c>
      <c r="E802">
        <v>1</v>
      </c>
      <c r="F802">
        <v>1</v>
      </c>
      <c r="G802">
        <v>1</v>
      </c>
      <c r="H802">
        <v>3</v>
      </c>
      <c r="I802" t="s">
        <v>1024</v>
      </c>
      <c r="J802" t="s">
        <v>1026</v>
      </c>
      <c r="K802" t="s">
        <v>1025</v>
      </c>
      <c r="L802">
        <v>1301</v>
      </c>
      <c r="N802">
        <v>1003</v>
      </c>
      <c r="O802" t="s">
        <v>150</v>
      </c>
      <c r="P802" t="s">
        <v>150</v>
      </c>
      <c r="Q802">
        <v>1</v>
      </c>
      <c r="W802">
        <v>0</v>
      </c>
      <c r="X802">
        <v>-687979676</v>
      </c>
      <c r="Y802">
        <v>100</v>
      </c>
      <c r="AA802">
        <v>99.75</v>
      </c>
      <c r="AB802">
        <v>0</v>
      </c>
      <c r="AC802">
        <v>0</v>
      </c>
      <c r="AD802">
        <v>0</v>
      </c>
      <c r="AE802">
        <v>13.99</v>
      </c>
      <c r="AF802">
        <v>0</v>
      </c>
      <c r="AG802">
        <v>0</v>
      </c>
      <c r="AH802">
        <v>0</v>
      </c>
      <c r="AI802">
        <v>7.13</v>
      </c>
      <c r="AJ802">
        <v>1</v>
      </c>
      <c r="AK802">
        <v>1</v>
      </c>
      <c r="AL802">
        <v>1</v>
      </c>
      <c r="AN802">
        <v>0</v>
      </c>
      <c r="AO802">
        <v>0</v>
      </c>
      <c r="AP802">
        <v>0</v>
      </c>
      <c r="AQ802">
        <v>0</v>
      </c>
      <c r="AR802">
        <v>0</v>
      </c>
      <c r="AS802" t="s">
        <v>6</v>
      </c>
      <c r="AT802">
        <v>100</v>
      </c>
      <c r="AU802" t="s">
        <v>6</v>
      </c>
      <c r="AV802">
        <v>0</v>
      </c>
      <c r="AW802">
        <v>1</v>
      </c>
      <c r="AX802">
        <v>-1</v>
      </c>
      <c r="AY802">
        <v>0</v>
      </c>
      <c r="AZ802">
        <v>0</v>
      </c>
      <c r="BA802" t="s">
        <v>6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CX802">
        <f>Y802*Source!I398</f>
        <v>28.599999999999998</v>
      </c>
      <c r="CY802">
        <f t="shared" si="147"/>
        <v>99.75</v>
      </c>
      <c r="CZ802">
        <f t="shared" si="148"/>
        <v>13.99</v>
      </c>
      <c r="DA802">
        <f t="shared" si="149"/>
        <v>7.13</v>
      </c>
      <c r="DB802">
        <f t="shared" si="150"/>
        <v>1399</v>
      </c>
      <c r="DC802">
        <f t="shared" si="151"/>
        <v>0</v>
      </c>
    </row>
    <row r="803" spans="1:107" x14ac:dyDescent="0.2">
      <c r="A803">
        <f>ROW(Source!A401)</f>
        <v>401</v>
      </c>
      <c r="B803">
        <v>16630606</v>
      </c>
      <c r="C803">
        <v>16632950</v>
      </c>
      <c r="D803">
        <v>15446300</v>
      </c>
      <c r="E803">
        <v>1</v>
      </c>
      <c r="F803">
        <v>1</v>
      </c>
      <c r="G803">
        <v>1</v>
      </c>
      <c r="H803">
        <v>1</v>
      </c>
      <c r="I803" t="s">
        <v>1220</v>
      </c>
      <c r="J803" t="s">
        <v>6</v>
      </c>
      <c r="K803" t="s">
        <v>1221</v>
      </c>
      <c r="L803">
        <v>1191</v>
      </c>
      <c r="N803">
        <v>1013</v>
      </c>
      <c r="O803" t="s">
        <v>1148</v>
      </c>
      <c r="P803" t="s">
        <v>1148</v>
      </c>
      <c r="Q803">
        <v>1</v>
      </c>
      <c r="W803">
        <v>0</v>
      </c>
      <c r="X803">
        <v>912892513</v>
      </c>
      <c r="Y803">
        <v>140.07</v>
      </c>
      <c r="AA803">
        <v>0</v>
      </c>
      <c r="AB803">
        <v>0</v>
      </c>
      <c r="AC803">
        <v>0</v>
      </c>
      <c r="AD803">
        <v>70.73</v>
      </c>
      <c r="AE803">
        <v>0</v>
      </c>
      <c r="AF803">
        <v>0</v>
      </c>
      <c r="AG803">
        <v>0</v>
      </c>
      <c r="AH803">
        <v>9.92</v>
      </c>
      <c r="AI803">
        <v>1</v>
      </c>
      <c r="AJ803">
        <v>1</v>
      </c>
      <c r="AK803">
        <v>1</v>
      </c>
      <c r="AL803">
        <v>7.13</v>
      </c>
      <c r="AN803">
        <v>0</v>
      </c>
      <c r="AO803">
        <v>1</v>
      </c>
      <c r="AP803">
        <v>1</v>
      </c>
      <c r="AQ803">
        <v>0</v>
      </c>
      <c r="AR803">
        <v>0</v>
      </c>
      <c r="AS803" t="s">
        <v>6</v>
      </c>
      <c r="AT803">
        <v>121.8</v>
      </c>
      <c r="AU803" t="s">
        <v>82</v>
      </c>
      <c r="AV803">
        <v>1</v>
      </c>
      <c r="AW803">
        <v>2</v>
      </c>
      <c r="AX803">
        <v>16632965</v>
      </c>
      <c r="AY803">
        <v>1</v>
      </c>
      <c r="AZ803">
        <v>0</v>
      </c>
      <c r="BA803">
        <v>812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CX803">
        <f>Y803*Source!I401</f>
        <v>22.831409999999998</v>
      </c>
      <c r="CY803">
        <f>AD803</f>
        <v>70.73</v>
      </c>
      <c r="CZ803">
        <f>AH803</f>
        <v>9.92</v>
      </c>
      <c r="DA803">
        <f>AL803</f>
        <v>7.13</v>
      </c>
      <c r="DB803">
        <f>ROUND((ROUND(AT803*CZ803,2)*1.15),2)</f>
        <v>1389.5</v>
      </c>
      <c r="DC803">
        <f>ROUND((ROUND(AT803*AG803,2)*1.15),2)</f>
        <v>0</v>
      </c>
    </row>
    <row r="804" spans="1:107" x14ac:dyDescent="0.2">
      <c r="A804">
        <f>ROW(Source!A401)</f>
        <v>401</v>
      </c>
      <c r="B804">
        <v>16630606</v>
      </c>
      <c r="C804">
        <v>16632950</v>
      </c>
      <c r="D804">
        <v>15430395</v>
      </c>
      <c r="E804">
        <v>1</v>
      </c>
      <c r="F804">
        <v>1</v>
      </c>
      <c r="G804">
        <v>1</v>
      </c>
      <c r="H804">
        <v>1</v>
      </c>
      <c r="I804" t="s">
        <v>1149</v>
      </c>
      <c r="J804" t="s">
        <v>6</v>
      </c>
      <c r="K804" t="s">
        <v>1150</v>
      </c>
      <c r="L804">
        <v>1191</v>
      </c>
      <c r="N804">
        <v>1013</v>
      </c>
      <c r="O804" t="s">
        <v>1148</v>
      </c>
      <c r="P804" t="s">
        <v>1148</v>
      </c>
      <c r="Q804">
        <v>1</v>
      </c>
      <c r="W804">
        <v>0</v>
      </c>
      <c r="X804">
        <v>-1417349443</v>
      </c>
      <c r="Y804">
        <v>4.9400000000000004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1</v>
      </c>
      <c r="AJ804">
        <v>1</v>
      </c>
      <c r="AK804">
        <v>7.13</v>
      </c>
      <c r="AL804">
        <v>1</v>
      </c>
      <c r="AN804">
        <v>0</v>
      </c>
      <c r="AO804">
        <v>1</v>
      </c>
      <c r="AP804">
        <v>0</v>
      </c>
      <c r="AQ804">
        <v>0</v>
      </c>
      <c r="AR804">
        <v>0</v>
      </c>
      <c r="AS804" t="s">
        <v>6</v>
      </c>
      <c r="AT804">
        <v>4.9400000000000004</v>
      </c>
      <c r="AU804" t="s">
        <v>6</v>
      </c>
      <c r="AV804">
        <v>2</v>
      </c>
      <c r="AW804">
        <v>2</v>
      </c>
      <c r="AX804">
        <v>16632966</v>
      </c>
      <c r="AY804">
        <v>1</v>
      </c>
      <c r="AZ804">
        <v>2048</v>
      </c>
      <c r="BA804">
        <v>813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CX804">
        <f>Y804*Source!I401</f>
        <v>0.80522000000000005</v>
      </c>
      <c r="CY804">
        <f>AD804</f>
        <v>0</v>
      </c>
      <c r="CZ804">
        <f>AH804</f>
        <v>0</v>
      </c>
      <c r="DA804">
        <f>AL804</f>
        <v>1</v>
      </c>
      <c r="DB804">
        <f>ROUND(ROUND(AT804*CZ804,2),2)</f>
        <v>0</v>
      </c>
      <c r="DC804">
        <f>ROUND(ROUND(AT804*AG804,2),2)</f>
        <v>0</v>
      </c>
    </row>
    <row r="805" spans="1:107" x14ac:dyDescent="0.2">
      <c r="A805">
        <f>ROW(Source!A401)</f>
        <v>401</v>
      </c>
      <c r="B805">
        <v>16630606</v>
      </c>
      <c r="C805">
        <v>16632950</v>
      </c>
      <c r="D805">
        <v>15247578</v>
      </c>
      <c r="E805">
        <v>1</v>
      </c>
      <c r="F805">
        <v>1</v>
      </c>
      <c r="G805">
        <v>1</v>
      </c>
      <c r="H805">
        <v>2</v>
      </c>
      <c r="I805" t="s">
        <v>1246</v>
      </c>
      <c r="J805" t="s">
        <v>1247</v>
      </c>
      <c r="K805" t="s">
        <v>1248</v>
      </c>
      <c r="L805">
        <v>1368</v>
      </c>
      <c r="N805">
        <v>1011</v>
      </c>
      <c r="O805" t="s">
        <v>1154</v>
      </c>
      <c r="P805" t="s">
        <v>1154</v>
      </c>
      <c r="Q805">
        <v>1</v>
      </c>
      <c r="W805">
        <v>0</v>
      </c>
      <c r="X805">
        <v>-1460065968</v>
      </c>
      <c r="Y805">
        <v>6.25E-2</v>
      </c>
      <c r="AA805">
        <v>0</v>
      </c>
      <c r="AB805">
        <v>616.03</v>
      </c>
      <c r="AC805">
        <v>13.5</v>
      </c>
      <c r="AD805">
        <v>0</v>
      </c>
      <c r="AE805">
        <v>0</v>
      </c>
      <c r="AF805">
        <v>86.4</v>
      </c>
      <c r="AG805">
        <v>13.5</v>
      </c>
      <c r="AH805">
        <v>0</v>
      </c>
      <c r="AI805">
        <v>1</v>
      </c>
      <c r="AJ805">
        <v>7.13</v>
      </c>
      <c r="AK805">
        <v>1</v>
      </c>
      <c r="AL805">
        <v>1</v>
      </c>
      <c r="AN805">
        <v>0</v>
      </c>
      <c r="AO805">
        <v>1</v>
      </c>
      <c r="AP805">
        <v>1</v>
      </c>
      <c r="AQ805">
        <v>0</v>
      </c>
      <c r="AR805">
        <v>0</v>
      </c>
      <c r="AS805" t="s">
        <v>6</v>
      </c>
      <c r="AT805">
        <v>0.05</v>
      </c>
      <c r="AU805" t="s">
        <v>81</v>
      </c>
      <c r="AV805">
        <v>0</v>
      </c>
      <c r="AW805">
        <v>2</v>
      </c>
      <c r="AX805">
        <v>16632967</v>
      </c>
      <c r="AY805">
        <v>1</v>
      </c>
      <c r="AZ805">
        <v>0</v>
      </c>
      <c r="BA805">
        <v>814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CX805">
        <f>Y805*Source!I401</f>
        <v>1.01875E-2</v>
      </c>
      <c r="CY805">
        <f>AB805</f>
        <v>616.03</v>
      </c>
      <c r="CZ805">
        <f>AF805</f>
        <v>86.4</v>
      </c>
      <c r="DA805">
        <f>AJ805</f>
        <v>7.13</v>
      </c>
      <c r="DB805">
        <f>ROUND((ROUND(AT805*CZ805,2)*1.25),2)</f>
        <v>5.4</v>
      </c>
      <c r="DC805">
        <f>ROUND((ROUND(AT805*AG805,2)*1.25),2)</f>
        <v>0.85</v>
      </c>
    </row>
    <row r="806" spans="1:107" x14ac:dyDescent="0.2">
      <c r="A806">
        <f>ROW(Source!A401)</f>
        <v>401</v>
      </c>
      <c r="B806">
        <v>16630606</v>
      </c>
      <c r="C806">
        <v>16632950</v>
      </c>
      <c r="D806">
        <v>15247680</v>
      </c>
      <c r="E806">
        <v>1</v>
      </c>
      <c r="F806">
        <v>1</v>
      </c>
      <c r="G806">
        <v>1</v>
      </c>
      <c r="H806">
        <v>2</v>
      </c>
      <c r="I806" t="s">
        <v>1419</v>
      </c>
      <c r="J806" t="s">
        <v>1420</v>
      </c>
      <c r="K806" t="s">
        <v>1421</v>
      </c>
      <c r="L806">
        <v>1368</v>
      </c>
      <c r="N806">
        <v>1011</v>
      </c>
      <c r="O806" t="s">
        <v>1154</v>
      </c>
      <c r="P806" t="s">
        <v>1154</v>
      </c>
      <c r="Q806">
        <v>1</v>
      </c>
      <c r="W806">
        <v>0</v>
      </c>
      <c r="X806">
        <v>-1718674368</v>
      </c>
      <c r="Y806">
        <v>3.7499999999999999E-2</v>
      </c>
      <c r="AA806">
        <v>0</v>
      </c>
      <c r="AB806">
        <v>798.49</v>
      </c>
      <c r="AC806">
        <v>13.5</v>
      </c>
      <c r="AD806">
        <v>0</v>
      </c>
      <c r="AE806">
        <v>0</v>
      </c>
      <c r="AF806">
        <v>111.99</v>
      </c>
      <c r="AG806">
        <v>13.5</v>
      </c>
      <c r="AH806">
        <v>0</v>
      </c>
      <c r="AI806">
        <v>1</v>
      </c>
      <c r="AJ806">
        <v>7.13</v>
      </c>
      <c r="AK806">
        <v>1</v>
      </c>
      <c r="AL806">
        <v>1</v>
      </c>
      <c r="AN806">
        <v>0</v>
      </c>
      <c r="AO806">
        <v>1</v>
      </c>
      <c r="AP806">
        <v>1</v>
      </c>
      <c r="AQ806">
        <v>0</v>
      </c>
      <c r="AR806">
        <v>0</v>
      </c>
      <c r="AS806" t="s">
        <v>6</v>
      </c>
      <c r="AT806">
        <v>0.03</v>
      </c>
      <c r="AU806" t="s">
        <v>81</v>
      </c>
      <c r="AV806">
        <v>0</v>
      </c>
      <c r="AW806">
        <v>2</v>
      </c>
      <c r="AX806">
        <v>16632968</v>
      </c>
      <c r="AY806">
        <v>1</v>
      </c>
      <c r="AZ806">
        <v>0</v>
      </c>
      <c r="BA806">
        <v>815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CX806">
        <f>Y806*Source!I401</f>
        <v>6.1124999999999999E-3</v>
      </c>
      <c r="CY806">
        <f>AB806</f>
        <v>798.49</v>
      </c>
      <c r="CZ806">
        <f>AF806</f>
        <v>111.99</v>
      </c>
      <c r="DA806">
        <f>AJ806</f>
        <v>7.13</v>
      </c>
      <c r="DB806">
        <f>ROUND((ROUND(AT806*CZ806,2)*1.25),2)</f>
        <v>4.2</v>
      </c>
      <c r="DC806">
        <f>ROUND((ROUND(AT806*AG806,2)*1.25),2)</f>
        <v>0.51</v>
      </c>
    </row>
    <row r="807" spans="1:107" x14ac:dyDescent="0.2">
      <c r="A807">
        <f>ROW(Source!A401)</f>
        <v>401</v>
      </c>
      <c r="B807">
        <v>16630606</v>
      </c>
      <c r="C807">
        <v>16632950</v>
      </c>
      <c r="D807">
        <v>15249073</v>
      </c>
      <c r="E807">
        <v>1</v>
      </c>
      <c r="F807">
        <v>1</v>
      </c>
      <c r="G807">
        <v>1</v>
      </c>
      <c r="H807">
        <v>2</v>
      </c>
      <c r="I807" t="s">
        <v>1157</v>
      </c>
      <c r="J807" t="s">
        <v>1158</v>
      </c>
      <c r="K807" t="s">
        <v>1159</v>
      </c>
      <c r="L807">
        <v>1368</v>
      </c>
      <c r="N807">
        <v>1011</v>
      </c>
      <c r="O807" t="s">
        <v>1154</v>
      </c>
      <c r="P807" t="s">
        <v>1154</v>
      </c>
      <c r="Q807">
        <v>1</v>
      </c>
      <c r="W807">
        <v>0</v>
      </c>
      <c r="X807">
        <v>1372534845</v>
      </c>
      <c r="Y807">
        <v>0.27500000000000002</v>
      </c>
      <c r="AA807">
        <v>0</v>
      </c>
      <c r="AB807">
        <v>468.51</v>
      </c>
      <c r="AC807">
        <v>11.6</v>
      </c>
      <c r="AD807">
        <v>0</v>
      </c>
      <c r="AE807">
        <v>0</v>
      </c>
      <c r="AF807">
        <v>65.709999999999994</v>
      </c>
      <c r="AG807">
        <v>11.6</v>
      </c>
      <c r="AH807">
        <v>0</v>
      </c>
      <c r="AI807">
        <v>1</v>
      </c>
      <c r="AJ807">
        <v>7.13</v>
      </c>
      <c r="AK807">
        <v>1</v>
      </c>
      <c r="AL807">
        <v>1</v>
      </c>
      <c r="AN807">
        <v>0</v>
      </c>
      <c r="AO807">
        <v>1</v>
      </c>
      <c r="AP807">
        <v>1</v>
      </c>
      <c r="AQ807">
        <v>0</v>
      </c>
      <c r="AR807">
        <v>0</v>
      </c>
      <c r="AS807" t="s">
        <v>6</v>
      </c>
      <c r="AT807">
        <v>0.22</v>
      </c>
      <c r="AU807" t="s">
        <v>81</v>
      </c>
      <c r="AV807">
        <v>0</v>
      </c>
      <c r="AW807">
        <v>2</v>
      </c>
      <c r="AX807">
        <v>16632969</v>
      </c>
      <c r="AY807">
        <v>1</v>
      </c>
      <c r="AZ807">
        <v>0</v>
      </c>
      <c r="BA807">
        <v>816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CX807">
        <f>Y807*Source!I401</f>
        <v>4.4825000000000004E-2</v>
      </c>
      <c r="CY807">
        <f>AB807</f>
        <v>468.51</v>
      </c>
      <c r="CZ807">
        <f>AF807</f>
        <v>65.709999999999994</v>
      </c>
      <c r="DA807">
        <f>AJ807</f>
        <v>7.13</v>
      </c>
      <c r="DB807">
        <f>ROUND((ROUND(AT807*CZ807,2)*1.25),2)</f>
        <v>18.079999999999998</v>
      </c>
      <c r="DC807">
        <f>ROUND((ROUND(AT807*AG807,2)*1.25),2)</f>
        <v>3.19</v>
      </c>
    </row>
    <row r="808" spans="1:107" x14ac:dyDescent="0.2">
      <c r="A808">
        <f>ROW(Source!A401)</f>
        <v>401</v>
      </c>
      <c r="B808">
        <v>16630606</v>
      </c>
      <c r="C808">
        <v>16632950</v>
      </c>
      <c r="D808">
        <v>15249291</v>
      </c>
      <c r="E808">
        <v>1</v>
      </c>
      <c r="F808">
        <v>1</v>
      </c>
      <c r="G808">
        <v>1</v>
      </c>
      <c r="H808">
        <v>2</v>
      </c>
      <c r="I808" t="s">
        <v>1650</v>
      </c>
      <c r="J808" t="s">
        <v>1651</v>
      </c>
      <c r="K808" t="s">
        <v>1652</v>
      </c>
      <c r="L808">
        <v>1368</v>
      </c>
      <c r="N808">
        <v>1011</v>
      </c>
      <c r="O808" t="s">
        <v>1154</v>
      </c>
      <c r="P808" t="s">
        <v>1154</v>
      </c>
      <c r="Q808">
        <v>1</v>
      </c>
      <c r="W808">
        <v>0</v>
      </c>
      <c r="X808">
        <v>917635847</v>
      </c>
      <c r="Y808">
        <v>5.8</v>
      </c>
      <c r="AA808">
        <v>0</v>
      </c>
      <c r="AB808">
        <v>713.71</v>
      </c>
      <c r="AC808">
        <v>13.5</v>
      </c>
      <c r="AD808">
        <v>0</v>
      </c>
      <c r="AE808">
        <v>0</v>
      </c>
      <c r="AF808">
        <v>100.1</v>
      </c>
      <c r="AG808">
        <v>13.5</v>
      </c>
      <c r="AH808">
        <v>0</v>
      </c>
      <c r="AI808">
        <v>1</v>
      </c>
      <c r="AJ808">
        <v>7.13</v>
      </c>
      <c r="AK808">
        <v>1</v>
      </c>
      <c r="AL808">
        <v>1</v>
      </c>
      <c r="AN808">
        <v>0</v>
      </c>
      <c r="AO808">
        <v>1</v>
      </c>
      <c r="AP808">
        <v>1</v>
      </c>
      <c r="AQ808">
        <v>0</v>
      </c>
      <c r="AR808">
        <v>0</v>
      </c>
      <c r="AS808" t="s">
        <v>6</v>
      </c>
      <c r="AT808">
        <v>4.6399999999999997</v>
      </c>
      <c r="AU808" t="s">
        <v>81</v>
      </c>
      <c r="AV808">
        <v>0</v>
      </c>
      <c r="AW808">
        <v>2</v>
      </c>
      <c r="AX808">
        <v>16632970</v>
      </c>
      <c r="AY808">
        <v>1</v>
      </c>
      <c r="AZ808">
        <v>0</v>
      </c>
      <c r="BA808">
        <v>817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CX808">
        <f>Y808*Source!I401</f>
        <v>0.94540000000000002</v>
      </c>
      <c r="CY808">
        <f>AB808</f>
        <v>713.71</v>
      </c>
      <c r="CZ808">
        <f>AF808</f>
        <v>100.1</v>
      </c>
      <c r="DA808">
        <f>AJ808</f>
        <v>7.13</v>
      </c>
      <c r="DB808">
        <f>ROUND((ROUND(AT808*CZ808,2)*1.25),2)</f>
        <v>580.58000000000004</v>
      </c>
      <c r="DC808">
        <f>ROUND((ROUND(AT808*AG808,2)*1.25),2)</f>
        <v>78.3</v>
      </c>
    </row>
    <row r="809" spans="1:107" x14ac:dyDescent="0.2">
      <c r="A809">
        <f>ROW(Source!A401)</f>
        <v>401</v>
      </c>
      <c r="B809">
        <v>16630606</v>
      </c>
      <c r="C809">
        <v>16632950</v>
      </c>
      <c r="D809">
        <v>15166105</v>
      </c>
      <c r="E809">
        <v>1</v>
      </c>
      <c r="F809">
        <v>1</v>
      </c>
      <c r="G809">
        <v>1</v>
      </c>
      <c r="H809">
        <v>3</v>
      </c>
      <c r="I809" t="s">
        <v>1653</v>
      </c>
      <c r="J809" t="s">
        <v>1654</v>
      </c>
      <c r="K809" t="s">
        <v>1655</v>
      </c>
      <c r="L809">
        <v>1346</v>
      </c>
      <c r="N809">
        <v>1009</v>
      </c>
      <c r="O809" t="s">
        <v>102</v>
      </c>
      <c r="P809" t="s">
        <v>102</v>
      </c>
      <c r="Q809">
        <v>1</v>
      </c>
      <c r="W809">
        <v>0</v>
      </c>
      <c r="X809">
        <v>-1168800073</v>
      </c>
      <c r="Y809">
        <v>0.2</v>
      </c>
      <c r="AA809">
        <v>84.13</v>
      </c>
      <c r="AB809">
        <v>0</v>
      </c>
      <c r="AC809">
        <v>0</v>
      </c>
      <c r="AD809">
        <v>0</v>
      </c>
      <c r="AE809">
        <v>11.8</v>
      </c>
      <c r="AF809">
        <v>0</v>
      </c>
      <c r="AG809">
        <v>0</v>
      </c>
      <c r="AH809">
        <v>0</v>
      </c>
      <c r="AI809">
        <v>7.13</v>
      </c>
      <c r="AJ809">
        <v>1</v>
      </c>
      <c r="AK809">
        <v>1</v>
      </c>
      <c r="AL809">
        <v>1</v>
      </c>
      <c r="AN809">
        <v>0</v>
      </c>
      <c r="AO809">
        <v>1</v>
      </c>
      <c r="AP809">
        <v>0</v>
      </c>
      <c r="AQ809">
        <v>0</v>
      </c>
      <c r="AR809">
        <v>0</v>
      </c>
      <c r="AS809" t="s">
        <v>6</v>
      </c>
      <c r="AT809">
        <v>0.2</v>
      </c>
      <c r="AU809" t="s">
        <v>6</v>
      </c>
      <c r="AV809">
        <v>0</v>
      </c>
      <c r="AW809">
        <v>2</v>
      </c>
      <c r="AX809">
        <v>16632971</v>
      </c>
      <c r="AY809">
        <v>1</v>
      </c>
      <c r="AZ809">
        <v>0</v>
      </c>
      <c r="BA809">
        <v>818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CX809">
        <f>Y809*Source!I401</f>
        <v>3.2600000000000004E-2</v>
      </c>
      <c r="CY809">
        <f t="shared" ref="CY809:CY816" si="152">AA809</f>
        <v>84.13</v>
      </c>
      <c r="CZ809">
        <f t="shared" ref="CZ809:CZ816" si="153">AE809</f>
        <v>11.8</v>
      </c>
      <c r="DA809">
        <f t="shared" ref="DA809:DA816" si="154">AI809</f>
        <v>7.13</v>
      </c>
      <c r="DB809">
        <f t="shared" ref="DB809:DB816" si="155">ROUND(ROUND(AT809*CZ809,2),2)</f>
        <v>2.36</v>
      </c>
      <c r="DC809">
        <f t="shared" ref="DC809:DC816" si="156">ROUND(ROUND(AT809*AG809,2),2)</f>
        <v>0</v>
      </c>
    </row>
    <row r="810" spans="1:107" x14ac:dyDescent="0.2">
      <c r="A810">
        <f>ROW(Source!A401)</f>
        <v>401</v>
      </c>
      <c r="B810">
        <v>16630606</v>
      </c>
      <c r="C810">
        <v>16632950</v>
      </c>
      <c r="D810">
        <v>15167286</v>
      </c>
      <c r="E810">
        <v>1</v>
      </c>
      <c r="F810">
        <v>1</v>
      </c>
      <c r="G810">
        <v>1</v>
      </c>
      <c r="H810">
        <v>3</v>
      </c>
      <c r="I810" t="s">
        <v>1265</v>
      </c>
      <c r="J810" t="s">
        <v>1266</v>
      </c>
      <c r="K810" t="s">
        <v>1267</v>
      </c>
      <c r="L810">
        <v>1339</v>
      </c>
      <c r="N810">
        <v>1007</v>
      </c>
      <c r="O810" t="s">
        <v>203</v>
      </c>
      <c r="P810" t="s">
        <v>203</v>
      </c>
      <c r="Q810">
        <v>1</v>
      </c>
      <c r="W810">
        <v>0</v>
      </c>
      <c r="X810">
        <v>-1660354250</v>
      </c>
      <c r="Y810">
        <v>1.21</v>
      </c>
      <c r="AA810">
        <v>17.399999999999999</v>
      </c>
      <c r="AB810">
        <v>0</v>
      </c>
      <c r="AC810">
        <v>0</v>
      </c>
      <c r="AD810">
        <v>0</v>
      </c>
      <c r="AE810">
        <v>2.44</v>
      </c>
      <c r="AF810">
        <v>0</v>
      </c>
      <c r="AG810">
        <v>0</v>
      </c>
      <c r="AH810">
        <v>0</v>
      </c>
      <c r="AI810">
        <v>7.13</v>
      </c>
      <c r="AJ810">
        <v>1</v>
      </c>
      <c r="AK810">
        <v>1</v>
      </c>
      <c r="AL810">
        <v>1</v>
      </c>
      <c r="AN810">
        <v>0</v>
      </c>
      <c r="AO810">
        <v>1</v>
      </c>
      <c r="AP810">
        <v>0</v>
      </c>
      <c r="AQ810">
        <v>0</v>
      </c>
      <c r="AR810">
        <v>0</v>
      </c>
      <c r="AS810" t="s">
        <v>6</v>
      </c>
      <c r="AT810">
        <v>1.21</v>
      </c>
      <c r="AU810" t="s">
        <v>6</v>
      </c>
      <c r="AV810">
        <v>0</v>
      </c>
      <c r="AW810">
        <v>2</v>
      </c>
      <c r="AX810">
        <v>16632972</v>
      </c>
      <c r="AY810">
        <v>1</v>
      </c>
      <c r="AZ810">
        <v>0</v>
      </c>
      <c r="BA810">
        <v>819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CX810">
        <f>Y810*Source!I401</f>
        <v>0.19722999999999999</v>
      </c>
      <c r="CY810">
        <f t="shared" si="152"/>
        <v>17.399999999999999</v>
      </c>
      <c r="CZ810">
        <f t="shared" si="153"/>
        <v>2.44</v>
      </c>
      <c r="DA810">
        <f t="shared" si="154"/>
        <v>7.13</v>
      </c>
      <c r="DB810">
        <f t="shared" si="155"/>
        <v>2.95</v>
      </c>
      <c r="DC810">
        <f t="shared" si="156"/>
        <v>0</v>
      </c>
    </row>
    <row r="811" spans="1:107" x14ac:dyDescent="0.2">
      <c r="A811">
        <f>ROW(Source!A401)</f>
        <v>401</v>
      </c>
      <c r="B811">
        <v>16630606</v>
      </c>
      <c r="C811">
        <v>16632950</v>
      </c>
      <c r="D811">
        <v>15167787</v>
      </c>
      <c r="E811">
        <v>1</v>
      </c>
      <c r="F811">
        <v>1</v>
      </c>
      <c r="G811">
        <v>1</v>
      </c>
      <c r="H811">
        <v>3</v>
      </c>
      <c r="I811" t="s">
        <v>1656</v>
      </c>
      <c r="J811" t="s">
        <v>1657</v>
      </c>
      <c r="K811" t="s">
        <v>1658</v>
      </c>
      <c r="L811">
        <v>1356</v>
      </c>
      <c r="N811">
        <v>1010</v>
      </c>
      <c r="O811" t="s">
        <v>278</v>
      </c>
      <c r="P811" t="s">
        <v>278</v>
      </c>
      <c r="Q811">
        <v>1000</v>
      </c>
      <c r="W811">
        <v>0</v>
      </c>
      <c r="X811">
        <v>72387144</v>
      </c>
      <c r="Y811">
        <v>0.06</v>
      </c>
      <c r="AA811">
        <v>1809.59</v>
      </c>
      <c r="AB811">
        <v>0</v>
      </c>
      <c r="AC811">
        <v>0</v>
      </c>
      <c r="AD811">
        <v>0</v>
      </c>
      <c r="AE811">
        <v>253.8</v>
      </c>
      <c r="AF811">
        <v>0</v>
      </c>
      <c r="AG811">
        <v>0</v>
      </c>
      <c r="AH811">
        <v>0</v>
      </c>
      <c r="AI811">
        <v>7.13</v>
      </c>
      <c r="AJ811">
        <v>1</v>
      </c>
      <c r="AK811">
        <v>1</v>
      </c>
      <c r="AL811">
        <v>1</v>
      </c>
      <c r="AN811">
        <v>0</v>
      </c>
      <c r="AO811">
        <v>1</v>
      </c>
      <c r="AP811">
        <v>0</v>
      </c>
      <c r="AQ811">
        <v>0</v>
      </c>
      <c r="AR811">
        <v>0</v>
      </c>
      <c r="AS811" t="s">
        <v>6</v>
      </c>
      <c r="AT811">
        <v>0.06</v>
      </c>
      <c r="AU811" t="s">
        <v>6</v>
      </c>
      <c r="AV811">
        <v>0</v>
      </c>
      <c r="AW811">
        <v>2</v>
      </c>
      <c r="AX811">
        <v>16632973</v>
      </c>
      <c r="AY811">
        <v>1</v>
      </c>
      <c r="AZ811">
        <v>0</v>
      </c>
      <c r="BA811">
        <v>820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CX811">
        <f>Y811*Source!I401</f>
        <v>9.7800000000000005E-3</v>
      </c>
      <c r="CY811">
        <f t="shared" si="152"/>
        <v>1809.59</v>
      </c>
      <c r="CZ811">
        <f t="shared" si="153"/>
        <v>253.8</v>
      </c>
      <c r="DA811">
        <f t="shared" si="154"/>
        <v>7.13</v>
      </c>
      <c r="DB811">
        <f t="shared" si="155"/>
        <v>15.23</v>
      </c>
      <c r="DC811">
        <f t="shared" si="156"/>
        <v>0</v>
      </c>
    </row>
    <row r="812" spans="1:107" x14ac:dyDescent="0.2">
      <c r="A812">
        <f>ROW(Source!A401)</f>
        <v>401</v>
      </c>
      <c r="B812">
        <v>16630606</v>
      </c>
      <c r="C812">
        <v>16632950</v>
      </c>
      <c r="D812">
        <v>15170090</v>
      </c>
      <c r="E812">
        <v>1</v>
      </c>
      <c r="F812">
        <v>1</v>
      </c>
      <c r="G812">
        <v>1</v>
      </c>
      <c r="H812">
        <v>3</v>
      </c>
      <c r="I812" t="s">
        <v>1659</v>
      </c>
      <c r="J812" t="s">
        <v>1660</v>
      </c>
      <c r="K812" t="s">
        <v>1661</v>
      </c>
      <c r="L812">
        <v>1348</v>
      </c>
      <c r="N812">
        <v>1009</v>
      </c>
      <c r="O812" t="s">
        <v>98</v>
      </c>
      <c r="P812" t="s">
        <v>98</v>
      </c>
      <c r="Q812">
        <v>1000</v>
      </c>
      <c r="W812">
        <v>0</v>
      </c>
      <c r="X812">
        <v>-735561281</v>
      </c>
      <c r="Y812">
        <v>5.1000000000000004E-4</v>
      </c>
      <c r="AA812">
        <v>160838.54</v>
      </c>
      <c r="AB812">
        <v>0</v>
      </c>
      <c r="AC812">
        <v>0</v>
      </c>
      <c r="AD812">
        <v>0</v>
      </c>
      <c r="AE812">
        <v>22558</v>
      </c>
      <c r="AF812">
        <v>0</v>
      </c>
      <c r="AG812">
        <v>0</v>
      </c>
      <c r="AH812">
        <v>0</v>
      </c>
      <c r="AI812">
        <v>7.13</v>
      </c>
      <c r="AJ812">
        <v>1</v>
      </c>
      <c r="AK812">
        <v>1</v>
      </c>
      <c r="AL812">
        <v>1</v>
      </c>
      <c r="AN812">
        <v>0</v>
      </c>
      <c r="AO812">
        <v>1</v>
      </c>
      <c r="AP812">
        <v>0</v>
      </c>
      <c r="AQ812">
        <v>0</v>
      </c>
      <c r="AR812">
        <v>0</v>
      </c>
      <c r="AS812" t="s">
        <v>6</v>
      </c>
      <c r="AT812">
        <v>5.1000000000000004E-4</v>
      </c>
      <c r="AU812" t="s">
        <v>6</v>
      </c>
      <c r="AV812">
        <v>0</v>
      </c>
      <c r="AW812">
        <v>2</v>
      </c>
      <c r="AX812">
        <v>16632974</v>
      </c>
      <c r="AY812">
        <v>1</v>
      </c>
      <c r="AZ812">
        <v>0</v>
      </c>
      <c r="BA812">
        <v>821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CX812">
        <f>Y812*Source!I401</f>
        <v>8.3130000000000012E-5</v>
      </c>
      <c r="CY812">
        <f t="shared" si="152"/>
        <v>160838.54</v>
      </c>
      <c r="CZ812">
        <f t="shared" si="153"/>
        <v>22558</v>
      </c>
      <c r="DA812">
        <f t="shared" si="154"/>
        <v>7.13</v>
      </c>
      <c r="DB812">
        <f t="shared" si="155"/>
        <v>11.5</v>
      </c>
      <c r="DC812">
        <f t="shared" si="156"/>
        <v>0</v>
      </c>
    </row>
    <row r="813" spans="1:107" x14ac:dyDescent="0.2">
      <c r="A813">
        <f>ROW(Source!A401)</f>
        <v>401</v>
      </c>
      <c r="B813">
        <v>16630606</v>
      </c>
      <c r="C813">
        <v>16632950</v>
      </c>
      <c r="D813">
        <v>15172018</v>
      </c>
      <c r="E813">
        <v>1</v>
      </c>
      <c r="F813">
        <v>1</v>
      </c>
      <c r="G813">
        <v>1</v>
      </c>
      <c r="H813">
        <v>3</v>
      </c>
      <c r="I813" t="s">
        <v>1539</v>
      </c>
      <c r="J813" t="s">
        <v>1540</v>
      </c>
      <c r="K813" t="s">
        <v>1541</v>
      </c>
      <c r="L813">
        <v>1346</v>
      </c>
      <c r="N813">
        <v>1009</v>
      </c>
      <c r="O813" t="s">
        <v>102</v>
      </c>
      <c r="P813" t="s">
        <v>102</v>
      </c>
      <c r="Q813">
        <v>1</v>
      </c>
      <c r="W813">
        <v>0</v>
      </c>
      <c r="X813">
        <v>450790165</v>
      </c>
      <c r="Y813">
        <v>4.0000000000000001E-3</v>
      </c>
      <c r="AA813">
        <v>15.33</v>
      </c>
      <c r="AB813">
        <v>0</v>
      </c>
      <c r="AC813">
        <v>0</v>
      </c>
      <c r="AD813">
        <v>0</v>
      </c>
      <c r="AE813">
        <v>2.15</v>
      </c>
      <c r="AF813">
        <v>0</v>
      </c>
      <c r="AG813">
        <v>0</v>
      </c>
      <c r="AH813">
        <v>0</v>
      </c>
      <c r="AI813">
        <v>7.13</v>
      </c>
      <c r="AJ813">
        <v>1</v>
      </c>
      <c r="AK813">
        <v>1</v>
      </c>
      <c r="AL813">
        <v>1</v>
      </c>
      <c r="AN813">
        <v>0</v>
      </c>
      <c r="AO813">
        <v>1</v>
      </c>
      <c r="AP813">
        <v>0</v>
      </c>
      <c r="AQ813">
        <v>0</v>
      </c>
      <c r="AR813">
        <v>0</v>
      </c>
      <c r="AS813" t="s">
        <v>6</v>
      </c>
      <c r="AT813">
        <v>4.0000000000000001E-3</v>
      </c>
      <c r="AU813" t="s">
        <v>6</v>
      </c>
      <c r="AV813">
        <v>0</v>
      </c>
      <c r="AW813">
        <v>2</v>
      </c>
      <c r="AX813">
        <v>16632975</v>
      </c>
      <c r="AY813">
        <v>1</v>
      </c>
      <c r="AZ813">
        <v>0</v>
      </c>
      <c r="BA813">
        <v>822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CX813">
        <f>Y813*Source!I401</f>
        <v>6.5200000000000002E-4</v>
      </c>
      <c r="CY813">
        <f t="shared" si="152"/>
        <v>15.33</v>
      </c>
      <c r="CZ813">
        <f t="shared" si="153"/>
        <v>2.15</v>
      </c>
      <c r="DA813">
        <f t="shared" si="154"/>
        <v>7.13</v>
      </c>
      <c r="DB813">
        <f t="shared" si="155"/>
        <v>0.01</v>
      </c>
      <c r="DC813">
        <f t="shared" si="156"/>
        <v>0</v>
      </c>
    </row>
    <row r="814" spans="1:107" x14ac:dyDescent="0.2">
      <c r="A814">
        <f>ROW(Source!A401)</f>
        <v>401</v>
      </c>
      <c r="B814">
        <v>16630606</v>
      </c>
      <c r="C814">
        <v>16632950</v>
      </c>
      <c r="D814">
        <v>15202502</v>
      </c>
      <c r="E814">
        <v>1</v>
      </c>
      <c r="F814">
        <v>1</v>
      </c>
      <c r="G814">
        <v>1</v>
      </c>
      <c r="H814">
        <v>3</v>
      </c>
      <c r="I814" t="s">
        <v>1662</v>
      </c>
      <c r="J814" t="s">
        <v>1663</v>
      </c>
      <c r="K814" t="s">
        <v>1664</v>
      </c>
      <c r="L814">
        <v>1346</v>
      </c>
      <c r="N814">
        <v>1009</v>
      </c>
      <c r="O814" t="s">
        <v>102</v>
      </c>
      <c r="P814" t="s">
        <v>102</v>
      </c>
      <c r="Q814">
        <v>1</v>
      </c>
      <c r="W814">
        <v>0</v>
      </c>
      <c r="X814">
        <v>497371595</v>
      </c>
      <c r="Y814">
        <v>0.17</v>
      </c>
      <c r="AA814">
        <v>206.27</v>
      </c>
      <c r="AB814">
        <v>0</v>
      </c>
      <c r="AC814">
        <v>0</v>
      </c>
      <c r="AD814">
        <v>0</v>
      </c>
      <c r="AE814">
        <v>28.93</v>
      </c>
      <c r="AF814">
        <v>0</v>
      </c>
      <c r="AG814">
        <v>0</v>
      </c>
      <c r="AH814">
        <v>0</v>
      </c>
      <c r="AI814">
        <v>7.13</v>
      </c>
      <c r="AJ814">
        <v>1</v>
      </c>
      <c r="AK814">
        <v>1</v>
      </c>
      <c r="AL814">
        <v>1</v>
      </c>
      <c r="AN814">
        <v>0</v>
      </c>
      <c r="AO814">
        <v>1</v>
      </c>
      <c r="AP814">
        <v>0</v>
      </c>
      <c r="AQ814">
        <v>0</v>
      </c>
      <c r="AR814">
        <v>0</v>
      </c>
      <c r="AS814" t="s">
        <v>6</v>
      </c>
      <c r="AT814">
        <v>0.17</v>
      </c>
      <c r="AU814" t="s">
        <v>6</v>
      </c>
      <c r="AV814">
        <v>0</v>
      </c>
      <c r="AW814">
        <v>2</v>
      </c>
      <c r="AX814">
        <v>16632977</v>
      </c>
      <c r="AY814">
        <v>1</v>
      </c>
      <c r="AZ814">
        <v>0</v>
      </c>
      <c r="BA814">
        <v>824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CX814">
        <f>Y814*Source!I401</f>
        <v>2.7710000000000002E-2</v>
      </c>
      <c r="CY814">
        <f t="shared" si="152"/>
        <v>206.27</v>
      </c>
      <c r="CZ814">
        <f t="shared" si="153"/>
        <v>28.93</v>
      </c>
      <c r="DA814">
        <f t="shared" si="154"/>
        <v>7.13</v>
      </c>
      <c r="DB814">
        <f t="shared" si="155"/>
        <v>4.92</v>
      </c>
      <c r="DC814">
        <f t="shared" si="156"/>
        <v>0</v>
      </c>
    </row>
    <row r="815" spans="1:107" x14ac:dyDescent="0.2">
      <c r="A815">
        <f>ROW(Source!A401)</f>
        <v>401</v>
      </c>
      <c r="B815">
        <v>16630606</v>
      </c>
      <c r="C815">
        <v>16632950</v>
      </c>
      <c r="D815">
        <v>15226742</v>
      </c>
      <c r="E815">
        <v>1</v>
      </c>
      <c r="F815">
        <v>1</v>
      </c>
      <c r="G815">
        <v>1</v>
      </c>
      <c r="H815">
        <v>3</v>
      </c>
      <c r="I815" t="s">
        <v>1032</v>
      </c>
      <c r="J815" t="s">
        <v>1034</v>
      </c>
      <c r="K815" t="s">
        <v>1033</v>
      </c>
      <c r="L815">
        <v>1358</v>
      </c>
      <c r="N815">
        <v>1010</v>
      </c>
      <c r="O815" t="s">
        <v>616</v>
      </c>
      <c r="P815" t="s">
        <v>616</v>
      </c>
      <c r="Q815">
        <v>10</v>
      </c>
      <c r="W815">
        <v>0</v>
      </c>
      <c r="X815">
        <v>98785814</v>
      </c>
      <c r="Y815">
        <v>1.2269939999999999</v>
      </c>
      <c r="AA815">
        <v>422.1</v>
      </c>
      <c r="AB815">
        <v>0</v>
      </c>
      <c r="AC815">
        <v>0</v>
      </c>
      <c r="AD815">
        <v>0</v>
      </c>
      <c r="AE815">
        <v>59.2</v>
      </c>
      <c r="AF815">
        <v>0</v>
      </c>
      <c r="AG815">
        <v>0</v>
      </c>
      <c r="AH815">
        <v>0</v>
      </c>
      <c r="AI815">
        <v>7.13</v>
      </c>
      <c r="AJ815">
        <v>1</v>
      </c>
      <c r="AK815">
        <v>1</v>
      </c>
      <c r="AL815">
        <v>1</v>
      </c>
      <c r="AN815">
        <v>0</v>
      </c>
      <c r="AO815">
        <v>0</v>
      </c>
      <c r="AP815">
        <v>0</v>
      </c>
      <c r="AQ815">
        <v>0</v>
      </c>
      <c r="AR815">
        <v>0</v>
      </c>
      <c r="AS815" t="s">
        <v>6</v>
      </c>
      <c r="AT815">
        <v>1.2269939999999999</v>
      </c>
      <c r="AU815" t="s">
        <v>6</v>
      </c>
      <c r="AV815">
        <v>0</v>
      </c>
      <c r="AW815">
        <v>1</v>
      </c>
      <c r="AX815">
        <v>-1</v>
      </c>
      <c r="AY815">
        <v>0</v>
      </c>
      <c r="AZ815">
        <v>0</v>
      </c>
      <c r="BA815" t="s">
        <v>6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CX815">
        <f>Y815*Source!I401</f>
        <v>0.200000022</v>
      </c>
      <c r="CY815">
        <f t="shared" si="152"/>
        <v>422.1</v>
      </c>
      <c r="CZ815">
        <f t="shared" si="153"/>
        <v>59.2</v>
      </c>
      <c r="DA815">
        <f t="shared" si="154"/>
        <v>7.13</v>
      </c>
      <c r="DB815">
        <f t="shared" si="155"/>
        <v>72.64</v>
      </c>
      <c r="DC815">
        <f t="shared" si="156"/>
        <v>0</v>
      </c>
    </row>
    <row r="816" spans="1:107" x14ac:dyDescent="0.2">
      <c r="A816">
        <f>ROW(Source!A401)</f>
        <v>401</v>
      </c>
      <c r="B816">
        <v>16630606</v>
      </c>
      <c r="C816">
        <v>16632950</v>
      </c>
      <c r="D816">
        <v>15233496</v>
      </c>
      <c r="E816">
        <v>1</v>
      </c>
      <c r="F816">
        <v>1</v>
      </c>
      <c r="G816">
        <v>1</v>
      </c>
      <c r="H816">
        <v>3</v>
      </c>
      <c r="I816" t="s">
        <v>1036</v>
      </c>
      <c r="J816" t="s">
        <v>1038</v>
      </c>
      <c r="K816" t="s">
        <v>1037</v>
      </c>
      <c r="L816">
        <v>1301</v>
      </c>
      <c r="N816">
        <v>1003</v>
      </c>
      <c r="O816" t="s">
        <v>150</v>
      </c>
      <c r="P816" t="s">
        <v>150</v>
      </c>
      <c r="Q816">
        <v>1</v>
      </c>
      <c r="W816">
        <v>0</v>
      </c>
      <c r="X816">
        <v>-1541844808</v>
      </c>
      <c r="Y816">
        <v>100</v>
      </c>
      <c r="AA816">
        <v>159.57</v>
      </c>
      <c r="AB816">
        <v>0</v>
      </c>
      <c r="AC816">
        <v>0</v>
      </c>
      <c r="AD816">
        <v>0</v>
      </c>
      <c r="AE816">
        <v>22.38</v>
      </c>
      <c r="AF816">
        <v>0</v>
      </c>
      <c r="AG816">
        <v>0</v>
      </c>
      <c r="AH816">
        <v>0</v>
      </c>
      <c r="AI816">
        <v>7.13</v>
      </c>
      <c r="AJ816">
        <v>1</v>
      </c>
      <c r="AK816">
        <v>1</v>
      </c>
      <c r="AL816">
        <v>1</v>
      </c>
      <c r="AN816">
        <v>0</v>
      </c>
      <c r="AO816">
        <v>0</v>
      </c>
      <c r="AP816">
        <v>0</v>
      </c>
      <c r="AQ816">
        <v>0</v>
      </c>
      <c r="AR816">
        <v>0</v>
      </c>
      <c r="AS816" t="s">
        <v>6</v>
      </c>
      <c r="AT816">
        <v>100</v>
      </c>
      <c r="AU816" t="s">
        <v>6</v>
      </c>
      <c r="AV816">
        <v>0</v>
      </c>
      <c r="AW816">
        <v>1</v>
      </c>
      <c r="AX816">
        <v>-1</v>
      </c>
      <c r="AY816">
        <v>0</v>
      </c>
      <c r="AZ816">
        <v>0</v>
      </c>
      <c r="BA816" t="s">
        <v>6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CX816">
        <f>Y816*Source!I401</f>
        <v>16.3</v>
      </c>
      <c r="CY816">
        <f t="shared" si="152"/>
        <v>159.57</v>
      </c>
      <c r="CZ816">
        <f t="shared" si="153"/>
        <v>22.38</v>
      </c>
      <c r="DA816">
        <f t="shared" si="154"/>
        <v>7.13</v>
      </c>
      <c r="DB816">
        <f t="shared" si="155"/>
        <v>2238</v>
      </c>
      <c r="DC816">
        <f t="shared" si="156"/>
        <v>0</v>
      </c>
    </row>
    <row r="817" spans="1:107" x14ac:dyDescent="0.2">
      <c r="A817">
        <f>ROW(Source!A404)</f>
        <v>404</v>
      </c>
      <c r="B817">
        <v>16630606</v>
      </c>
      <c r="C817">
        <v>16632984</v>
      </c>
      <c r="D817">
        <v>15430447</v>
      </c>
      <c r="E817">
        <v>1</v>
      </c>
      <c r="F817">
        <v>1</v>
      </c>
      <c r="G817">
        <v>1</v>
      </c>
      <c r="H817">
        <v>1</v>
      </c>
      <c r="I817" t="s">
        <v>1464</v>
      </c>
      <c r="J817" t="s">
        <v>6</v>
      </c>
      <c r="K817" t="s">
        <v>1465</v>
      </c>
      <c r="L817">
        <v>1191</v>
      </c>
      <c r="N817">
        <v>1013</v>
      </c>
      <c r="O817" t="s">
        <v>1148</v>
      </c>
      <c r="P817" t="s">
        <v>1148</v>
      </c>
      <c r="Q817">
        <v>1</v>
      </c>
      <c r="W817">
        <v>0</v>
      </c>
      <c r="X817">
        <v>145020957</v>
      </c>
      <c r="Y817">
        <v>1.6904999999999999</v>
      </c>
      <c r="AA817">
        <v>0</v>
      </c>
      <c r="AB817">
        <v>0</v>
      </c>
      <c r="AC817">
        <v>0</v>
      </c>
      <c r="AD817">
        <v>64.67</v>
      </c>
      <c r="AE817">
        <v>0</v>
      </c>
      <c r="AF817">
        <v>0</v>
      </c>
      <c r="AG817">
        <v>0</v>
      </c>
      <c r="AH817">
        <v>9.07</v>
      </c>
      <c r="AI817">
        <v>1</v>
      </c>
      <c r="AJ817">
        <v>1</v>
      </c>
      <c r="AK817">
        <v>1</v>
      </c>
      <c r="AL817">
        <v>7.13</v>
      </c>
      <c r="AN817">
        <v>0</v>
      </c>
      <c r="AO817">
        <v>1</v>
      </c>
      <c r="AP817">
        <v>1</v>
      </c>
      <c r="AQ817">
        <v>0</v>
      </c>
      <c r="AR817">
        <v>0</v>
      </c>
      <c r="AS817" t="s">
        <v>6</v>
      </c>
      <c r="AT817">
        <v>1.47</v>
      </c>
      <c r="AU817" t="s">
        <v>82</v>
      </c>
      <c r="AV817">
        <v>1</v>
      </c>
      <c r="AW817">
        <v>2</v>
      </c>
      <c r="AX817">
        <v>16632994</v>
      </c>
      <c r="AY817">
        <v>1</v>
      </c>
      <c r="AZ817">
        <v>0</v>
      </c>
      <c r="BA817">
        <v>829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CX817">
        <f>Y817*Source!I404</f>
        <v>47.333999999999996</v>
      </c>
      <c r="CY817">
        <f>AD817</f>
        <v>64.67</v>
      </c>
      <c r="CZ817">
        <f>AH817</f>
        <v>9.07</v>
      </c>
      <c r="DA817">
        <f>AL817</f>
        <v>7.13</v>
      </c>
      <c r="DB817">
        <f>ROUND((ROUND(AT817*CZ817,2)*1.15),2)</f>
        <v>15.33</v>
      </c>
      <c r="DC817">
        <f>ROUND((ROUND(AT817*AG817,2)*1.15),2)</f>
        <v>0</v>
      </c>
    </row>
    <row r="818" spans="1:107" x14ac:dyDescent="0.2">
      <c r="A818">
        <f>ROW(Source!A404)</f>
        <v>404</v>
      </c>
      <c r="B818">
        <v>16630606</v>
      </c>
      <c r="C818">
        <v>16632984</v>
      </c>
      <c r="D818">
        <v>15430395</v>
      </c>
      <c r="E818">
        <v>1</v>
      </c>
      <c r="F818">
        <v>1</v>
      </c>
      <c r="G818">
        <v>1</v>
      </c>
      <c r="H818">
        <v>1</v>
      </c>
      <c r="I818" t="s">
        <v>1149</v>
      </c>
      <c r="J818" t="s">
        <v>6</v>
      </c>
      <c r="K818" t="s">
        <v>1150</v>
      </c>
      <c r="L818">
        <v>1191</v>
      </c>
      <c r="N818">
        <v>1013</v>
      </c>
      <c r="O818" t="s">
        <v>1148</v>
      </c>
      <c r="P818" t="s">
        <v>1148</v>
      </c>
      <c r="Q818">
        <v>1</v>
      </c>
      <c r="W818">
        <v>0</v>
      </c>
      <c r="X818">
        <v>-1417349443</v>
      </c>
      <c r="Y818">
        <v>0.01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1</v>
      </c>
      <c r="AJ818">
        <v>1</v>
      </c>
      <c r="AK818">
        <v>7.13</v>
      </c>
      <c r="AL818">
        <v>1</v>
      </c>
      <c r="AN818">
        <v>0</v>
      </c>
      <c r="AO818">
        <v>1</v>
      </c>
      <c r="AP818">
        <v>0</v>
      </c>
      <c r="AQ818">
        <v>0</v>
      </c>
      <c r="AR818">
        <v>0</v>
      </c>
      <c r="AS818" t="s">
        <v>6</v>
      </c>
      <c r="AT818">
        <v>0.01</v>
      </c>
      <c r="AU818" t="s">
        <v>6</v>
      </c>
      <c r="AV818">
        <v>2</v>
      </c>
      <c r="AW818">
        <v>2</v>
      </c>
      <c r="AX818">
        <v>16632995</v>
      </c>
      <c r="AY818">
        <v>1</v>
      </c>
      <c r="AZ818">
        <v>2048</v>
      </c>
      <c r="BA818">
        <v>830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CX818">
        <f>Y818*Source!I404</f>
        <v>0.28000000000000003</v>
      </c>
      <c r="CY818">
        <f>AD818</f>
        <v>0</v>
      </c>
      <c r="CZ818">
        <f>AH818</f>
        <v>0</v>
      </c>
      <c r="DA818">
        <f>AL818</f>
        <v>1</v>
      </c>
      <c r="DB818">
        <f>ROUND(ROUND(AT818*CZ818,2),2)</f>
        <v>0</v>
      </c>
      <c r="DC818">
        <f>ROUND(ROUND(AT818*AG818,2),2)</f>
        <v>0</v>
      </c>
    </row>
    <row r="819" spans="1:107" x14ac:dyDescent="0.2">
      <c r="A819">
        <f>ROW(Source!A404)</f>
        <v>404</v>
      </c>
      <c r="B819">
        <v>16630606</v>
      </c>
      <c r="C819">
        <v>16632984</v>
      </c>
      <c r="D819">
        <v>15249073</v>
      </c>
      <c r="E819">
        <v>1</v>
      </c>
      <c r="F819">
        <v>1</v>
      </c>
      <c r="G819">
        <v>1</v>
      </c>
      <c r="H819">
        <v>2</v>
      </c>
      <c r="I819" t="s">
        <v>1157</v>
      </c>
      <c r="J819" t="s">
        <v>1158</v>
      </c>
      <c r="K819" t="s">
        <v>1159</v>
      </c>
      <c r="L819">
        <v>1368</v>
      </c>
      <c r="N819">
        <v>1011</v>
      </c>
      <c r="O819" t="s">
        <v>1154</v>
      </c>
      <c r="P819" t="s">
        <v>1154</v>
      </c>
      <c r="Q819">
        <v>1</v>
      </c>
      <c r="W819">
        <v>0</v>
      </c>
      <c r="X819">
        <v>1372534845</v>
      </c>
      <c r="Y819">
        <v>1.2500000000000001E-2</v>
      </c>
      <c r="AA819">
        <v>0</v>
      </c>
      <c r="AB819">
        <v>468.51</v>
      </c>
      <c r="AC819">
        <v>11.6</v>
      </c>
      <c r="AD819">
        <v>0</v>
      </c>
      <c r="AE819">
        <v>0</v>
      </c>
      <c r="AF819">
        <v>65.709999999999994</v>
      </c>
      <c r="AG819">
        <v>11.6</v>
      </c>
      <c r="AH819">
        <v>0</v>
      </c>
      <c r="AI819">
        <v>1</v>
      </c>
      <c r="AJ819">
        <v>7.13</v>
      </c>
      <c r="AK819">
        <v>1</v>
      </c>
      <c r="AL819">
        <v>1</v>
      </c>
      <c r="AN819">
        <v>0</v>
      </c>
      <c r="AO819">
        <v>1</v>
      </c>
      <c r="AP819">
        <v>1</v>
      </c>
      <c r="AQ819">
        <v>0</v>
      </c>
      <c r="AR819">
        <v>0</v>
      </c>
      <c r="AS819" t="s">
        <v>6</v>
      </c>
      <c r="AT819">
        <v>0.01</v>
      </c>
      <c r="AU819" t="s">
        <v>81</v>
      </c>
      <c r="AV819">
        <v>0</v>
      </c>
      <c r="AW819">
        <v>2</v>
      </c>
      <c r="AX819">
        <v>16632996</v>
      </c>
      <c r="AY819">
        <v>1</v>
      </c>
      <c r="AZ819">
        <v>0</v>
      </c>
      <c r="BA819">
        <v>831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CX819">
        <f>Y819*Source!I404</f>
        <v>0.35000000000000003</v>
      </c>
      <c r="CY819">
        <f>AB819</f>
        <v>468.51</v>
      </c>
      <c r="CZ819">
        <f>AF819</f>
        <v>65.709999999999994</v>
      </c>
      <c r="DA819">
        <f>AJ819</f>
        <v>7.13</v>
      </c>
      <c r="DB819">
        <f>ROUND((ROUND(AT819*CZ819,2)*1.25),2)</f>
        <v>0.83</v>
      </c>
      <c r="DC819">
        <f>ROUND((ROUND(AT819*AG819,2)*1.25),2)</f>
        <v>0.15</v>
      </c>
    </row>
    <row r="820" spans="1:107" x14ac:dyDescent="0.2">
      <c r="A820">
        <f>ROW(Source!A404)</f>
        <v>404</v>
      </c>
      <c r="B820">
        <v>16630606</v>
      </c>
      <c r="C820">
        <v>16632984</v>
      </c>
      <c r="D820">
        <v>15249377</v>
      </c>
      <c r="E820">
        <v>1</v>
      </c>
      <c r="F820">
        <v>1</v>
      </c>
      <c r="G820">
        <v>1</v>
      </c>
      <c r="H820">
        <v>2</v>
      </c>
      <c r="I820" t="s">
        <v>1222</v>
      </c>
      <c r="J820" t="s">
        <v>1223</v>
      </c>
      <c r="K820" t="s">
        <v>1224</v>
      </c>
      <c r="L820">
        <v>1368</v>
      </c>
      <c r="N820">
        <v>1011</v>
      </c>
      <c r="O820" t="s">
        <v>1154</v>
      </c>
      <c r="P820" t="s">
        <v>1154</v>
      </c>
      <c r="Q820">
        <v>1</v>
      </c>
      <c r="W820">
        <v>0</v>
      </c>
      <c r="X820">
        <v>-353815937</v>
      </c>
      <c r="Y820">
        <v>0.4375</v>
      </c>
      <c r="AA820">
        <v>0</v>
      </c>
      <c r="AB820">
        <v>57.75</v>
      </c>
      <c r="AC820">
        <v>0</v>
      </c>
      <c r="AD820">
        <v>0</v>
      </c>
      <c r="AE820">
        <v>0</v>
      </c>
      <c r="AF820">
        <v>8.1</v>
      </c>
      <c r="AG820">
        <v>0</v>
      </c>
      <c r="AH820">
        <v>0</v>
      </c>
      <c r="AI820">
        <v>1</v>
      </c>
      <c r="AJ820">
        <v>7.13</v>
      </c>
      <c r="AK820">
        <v>1</v>
      </c>
      <c r="AL820">
        <v>1</v>
      </c>
      <c r="AN820">
        <v>0</v>
      </c>
      <c r="AO820">
        <v>1</v>
      </c>
      <c r="AP820">
        <v>1</v>
      </c>
      <c r="AQ820">
        <v>0</v>
      </c>
      <c r="AR820">
        <v>0</v>
      </c>
      <c r="AS820" t="s">
        <v>6</v>
      </c>
      <c r="AT820">
        <v>0.35</v>
      </c>
      <c r="AU820" t="s">
        <v>81</v>
      </c>
      <c r="AV820">
        <v>0</v>
      </c>
      <c r="AW820">
        <v>2</v>
      </c>
      <c r="AX820">
        <v>16632997</v>
      </c>
      <c r="AY820">
        <v>1</v>
      </c>
      <c r="AZ820">
        <v>0</v>
      </c>
      <c r="BA820">
        <v>832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CX820">
        <f>Y820*Source!I404</f>
        <v>12.25</v>
      </c>
      <c r="CY820">
        <f>AB820</f>
        <v>57.75</v>
      </c>
      <c r="CZ820">
        <f>AF820</f>
        <v>8.1</v>
      </c>
      <c r="DA820">
        <f>AJ820</f>
        <v>7.13</v>
      </c>
      <c r="DB820">
        <f>ROUND((ROUND(AT820*CZ820,2)*1.25),2)</f>
        <v>3.55</v>
      </c>
      <c r="DC820">
        <f>ROUND((ROUND(AT820*AG820,2)*1.25),2)</f>
        <v>0</v>
      </c>
    </row>
    <row r="821" spans="1:107" x14ac:dyDescent="0.2">
      <c r="A821">
        <f>ROW(Source!A404)</f>
        <v>404</v>
      </c>
      <c r="B821">
        <v>16630606</v>
      </c>
      <c r="C821">
        <v>16632984</v>
      </c>
      <c r="D821">
        <v>15165267</v>
      </c>
      <c r="E821">
        <v>1</v>
      </c>
      <c r="F821">
        <v>1</v>
      </c>
      <c r="G821">
        <v>1</v>
      </c>
      <c r="H821">
        <v>3</v>
      </c>
      <c r="I821" t="s">
        <v>1557</v>
      </c>
      <c r="J821" t="s">
        <v>1558</v>
      </c>
      <c r="K821" t="s">
        <v>1559</v>
      </c>
      <c r="L821">
        <v>1356</v>
      </c>
      <c r="N821">
        <v>1010</v>
      </c>
      <c r="O821" t="s">
        <v>278</v>
      </c>
      <c r="P821" t="s">
        <v>278</v>
      </c>
      <c r="Q821">
        <v>1000</v>
      </c>
      <c r="W821">
        <v>0</v>
      </c>
      <c r="X821">
        <v>-1705143825</v>
      </c>
      <c r="Y821">
        <v>2E-3</v>
      </c>
      <c r="AA821">
        <v>24598.5</v>
      </c>
      <c r="AB821">
        <v>0</v>
      </c>
      <c r="AC821">
        <v>0</v>
      </c>
      <c r="AD821">
        <v>0</v>
      </c>
      <c r="AE821">
        <v>3450</v>
      </c>
      <c r="AF821">
        <v>0</v>
      </c>
      <c r="AG821">
        <v>0</v>
      </c>
      <c r="AH821">
        <v>0</v>
      </c>
      <c r="AI821">
        <v>7.13</v>
      </c>
      <c r="AJ821">
        <v>1</v>
      </c>
      <c r="AK821">
        <v>1</v>
      </c>
      <c r="AL821">
        <v>1</v>
      </c>
      <c r="AN821">
        <v>0</v>
      </c>
      <c r="AO821">
        <v>1</v>
      </c>
      <c r="AP821">
        <v>0</v>
      </c>
      <c r="AQ821">
        <v>0</v>
      </c>
      <c r="AR821">
        <v>0</v>
      </c>
      <c r="AS821" t="s">
        <v>6</v>
      </c>
      <c r="AT821">
        <v>2E-3</v>
      </c>
      <c r="AU821" t="s">
        <v>6</v>
      </c>
      <c r="AV821">
        <v>0</v>
      </c>
      <c r="AW821">
        <v>2</v>
      </c>
      <c r="AX821">
        <v>16632998</v>
      </c>
      <c r="AY821">
        <v>1</v>
      </c>
      <c r="AZ821">
        <v>0</v>
      </c>
      <c r="BA821">
        <v>833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CX821">
        <f>Y821*Source!I404</f>
        <v>5.6000000000000001E-2</v>
      </c>
      <c r="CY821">
        <f>AA821</f>
        <v>24598.5</v>
      </c>
      <c r="CZ821">
        <f>AE821</f>
        <v>3450</v>
      </c>
      <c r="DA821">
        <f>AI821</f>
        <v>7.13</v>
      </c>
      <c r="DB821">
        <f t="shared" ref="DB821:DB831" si="157">ROUND(ROUND(AT821*CZ821,2),2)</f>
        <v>6.9</v>
      </c>
      <c r="DC821">
        <f t="shared" ref="DC821:DC831" si="158">ROUND(ROUND(AT821*AG821,2),2)</f>
        <v>0</v>
      </c>
    </row>
    <row r="822" spans="1:107" x14ac:dyDescent="0.2">
      <c r="A822">
        <f>ROW(Source!A404)</f>
        <v>404</v>
      </c>
      <c r="B822">
        <v>16630606</v>
      </c>
      <c r="C822">
        <v>16632984</v>
      </c>
      <c r="D822">
        <v>15168763</v>
      </c>
      <c r="E822">
        <v>1</v>
      </c>
      <c r="F822">
        <v>1</v>
      </c>
      <c r="G822">
        <v>1</v>
      </c>
      <c r="H822">
        <v>3</v>
      </c>
      <c r="I822" t="s">
        <v>1560</v>
      </c>
      <c r="J822" t="s">
        <v>1561</v>
      </c>
      <c r="K822" t="s">
        <v>1562</v>
      </c>
      <c r="L822">
        <v>1348</v>
      </c>
      <c r="N822">
        <v>1009</v>
      </c>
      <c r="O822" t="s">
        <v>98</v>
      </c>
      <c r="P822" t="s">
        <v>98</v>
      </c>
      <c r="Q822">
        <v>1000</v>
      </c>
      <c r="W822">
        <v>0</v>
      </c>
      <c r="X822">
        <v>-1068056325</v>
      </c>
      <c r="Y822">
        <v>1.3999999999999999E-4</v>
      </c>
      <c r="AA822">
        <v>73881.06</v>
      </c>
      <c r="AB822">
        <v>0</v>
      </c>
      <c r="AC822">
        <v>0</v>
      </c>
      <c r="AD822">
        <v>0</v>
      </c>
      <c r="AE822">
        <v>10362</v>
      </c>
      <c r="AF822">
        <v>0</v>
      </c>
      <c r="AG822">
        <v>0</v>
      </c>
      <c r="AH822">
        <v>0</v>
      </c>
      <c r="AI822">
        <v>7.13</v>
      </c>
      <c r="AJ822">
        <v>1</v>
      </c>
      <c r="AK822">
        <v>1</v>
      </c>
      <c r="AL822">
        <v>1</v>
      </c>
      <c r="AN822">
        <v>0</v>
      </c>
      <c r="AO822">
        <v>1</v>
      </c>
      <c r="AP822">
        <v>0</v>
      </c>
      <c r="AQ822">
        <v>0</v>
      </c>
      <c r="AR822">
        <v>0</v>
      </c>
      <c r="AS822" t="s">
        <v>6</v>
      </c>
      <c r="AT822">
        <v>1.3999999999999999E-4</v>
      </c>
      <c r="AU822" t="s">
        <v>6</v>
      </c>
      <c r="AV822">
        <v>0</v>
      </c>
      <c r="AW822">
        <v>2</v>
      </c>
      <c r="AX822">
        <v>16632999</v>
      </c>
      <c r="AY822">
        <v>1</v>
      </c>
      <c r="AZ822">
        <v>0</v>
      </c>
      <c r="BA822">
        <v>834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CX822">
        <f>Y822*Source!I404</f>
        <v>3.9199999999999999E-3</v>
      </c>
      <c r="CY822">
        <f>AA822</f>
        <v>73881.06</v>
      </c>
      <c r="CZ822">
        <f>AE822</f>
        <v>10362</v>
      </c>
      <c r="DA822">
        <f>AI822</f>
        <v>7.13</v>
      </c>
      <c r="DB822">
        <f t="shared" si="157"/>
        <v>1.45</v>
      </c>
      <c r="DC822">
        <f t="shared" si="158"/>
        <v>0</v>
      </c>
    </row>
    <row r="823" spans="1:107" x14ac:dyDescent="0.2">
      <c r="A823">
        <f>ROW(Source!A404)</f>
        <v>404</v>
      </c>
      <c r="B823">
        <v>16630606</v>
      </c>
      <c r="C823">
        <v>16632984</v>
      </c>
      <c r="D823">
        <v>15169923</v>
      </c>
      <c r="E823">
        <v>1</v>
      </c>
      <c r="F823">
        <v>1</v>
      </c>
      <c r="G823">
        <v>1</v>
      </c>
      <c r="H823">
        <v>3</v>
      </c>
      <c r="I823" t="s">
        <v>1563</v>
      </c>
      <c r="J823" t="s">
        <v>1564</v>
      </c>
      <c r="K823" t="s">
        <v>1565</v>
      </c>
      <c r="L823">
        <v>1348</v>
      </c>
      <c r="N823">
        <v>1009</v>
      </c>
      <c r="O823" t="s">
        <v>98</v>
      </c>
      <c r="P823" t="s">
        <v>98</v>
      </c>
      <c r="Q823">
        <v>1000</v>
      </c>
      <c r="W823">
        <v>0</v>
      </c>
      <c r="X823">
        <v>56621460</v>
      </c>
      <c r="Y823">
        <v>1.1000000000000001E-3</v>
      </c>
      <c r="AA823">
        <v>109252.99</v>
      </c>
      <c r="AB823">
        <v>0</v>
      </c>
      <c r="AC823">
        <v>0</v>
      </c>
      <c r="AD823">
        <v>0</v>
      </c>
      <c r="AE823">
        <v>15323</v>
      </c>
      <c r="AF823">
        <v>0</v>
      </c>
      <c r="AG823">
        <v>0</v>
      </c>
      <c r="AH823">
        <v>0</v>
      </c>
      <c r="AI823">
        <v>7.13</v>
      </c>
      <c r="AJ823">
        <v>1</v>
      </c>
      <c r="AK823">
        <v>1</v>
      </c>
      <c r="AL823">
        <v>1</v>
      </c>
      <c r="AN823">
        <v>0</v>
      </c>
      <c r="AO823">
        <v>1</v>
      </c>
      <c r="AP823">
        <v>0</v>
      </c>
      <c r="AQ823">
        <v>0</v>
      </c>
      <c r="AR823">
        <v>0</v>
      </c>
      <c r="AS823" t="s">
        <v>6</v>
      </c>
      <c r="AT823">
        <v>1.1000000000000001E-3</v>
      </c>
      <c r="AU823" t="s">
        <v>6</v>
      </c>
      <c r="AV823">
        <v>0</v>
      </c>
      <c r="AW823">
        <v>2</v>
      </c>
      <c r="AX823">
        <v>16633000</v>
      </c>
      <c r="AY823">
        <v>1</v>
      </c>
      <c r="AZ823">
        <v>0</v>
      </c>
      <c r="BA823">
        <v>835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CX823">
        <f>Y823*Source!I404</f>
        <v>3.0800000000000001E-2</v>
      </c>
      <c r="CY823">
        <f>AA823</f>
        <v>109252.99</v>
      </c>
      <c r="CZ823">
        <f>AE823</f>
        <v>15323</v>
      </c>
      <c r="DA823">
        <f>AI823</f>
        <v>7.13</v>
      </c>
      <c r="DB823">
        <f t="shared" si="157"/>
        <v>16.86</v>
      </c>
      <c r="DC823">
        <f t="shared" si="158"/>
        <v>0</v>
      </c>
    </row>
    <row r="824" spans="1:107" x14ac:dyDescent="0.2">
      <c r="A824">
        <f>ROW(Source!A404)</f>
        <v>404</v>
      </c>
      <c r="B824">
        <v>16630606</v>
      </c>
      <c r="C824">
        <v>16632984</v>
      </c>
      <c r="D824">
        <v>15210564</v>
      </c>
      <c r="E824">
        <v>1</v>
      </c>
      <c r="F824">
        <v>1</v>
      </c>
      <c r="G824">
        <v>1</v>
      </c>
      <c r="H824">
        <v>3</v>
      </c>
      <c r="I824" t="s">
        <v>1042</v>
      </c>
      <c r="J824" t="s">
        <v>1044</v>
      </c>
      <c r="K824" t="s">
        <v>1043</v>
      </c>
      <c r="L824">
        <v>1354</v>
      </c>
      <c r="N824">
        <v>1010</v>
      </c>
      <c r="O824" t="s">
        <v>132</v>
      </c>
      <c r="P824" t="s">
        <v>132</v>
      </c>
      <c r="Q824">
        <v>1</v>
      </c>
      <c r="W824">
        <v>0</v>
      </c>
      <c r="X824">
        <v>-1574082824</v>
      </c>
      <c r="Y824">
        <v>0.78571400000000002</v>
      </c>
      <c r="AA824">
        <v>229.73</v>
      </c>
      <c r="AB824">
        <v>0</v>
      </c>
      <c r="AC824">
        <v>0</v>
      </c>
      <c r="AD824">
        <v>0</v>
      </c>
      <c r="AE824">
        <v>32.22</v>
      </c>
      <c r="AF824">
        <v>0</v>
      </c>
      <c r="AG824">
        <v>0</v>
      </c>
      <c r="AH824">
        <v>0</v>
      </c>
      <c r="AI824">
        <v>7.13</v>
      </c>
      <c r="AJ824">
        <v>1</v>
      </c>
      <c r="AK824">
        <v>1</v>
      </c>
      <c r="AL824">
        <v>1</v>
      </c>
      <c r="AN824">
        <v>0</v>
      </c>
      <c r="AO824">
        <v>0</v>
      </c>
      <c r="AP824">
        <v>0</v>
      </c>
      <c r="AQ824">
        <v>0</v>
      </c>
      <c r="AR824">
        <v>0</v>
      </c>
      <c r="AS824" t="s">
        <v>6</v>
      </c>
      <c r="AT824">
        <v>0.78571400000000002</v>
      </c>
      <c r="AU824" t="s">
        <v>6</v>
      </c>
      <c r="AV824">
        <v>0</v>
      </c>
      <c r="AW824">
        <v>1</v>
      </c>
      <c r="AX824">
        <v>-1</v>
      </c>
      <c r="AY824">
        <v>0</v>
      </c>
      <c r="AZ824">
        <v>0</v>
      </c>
      <c r="BA824" t="s">
        <v>6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CX824">
        <f>Y824*Source!I404</f>
        <v>21.999991999999999</v>
      </c>
      <c r="CY824">
        <f>AA824</f>
        <v>229.73</v>
      </c>
      <c r="CZ824">
        <f>AE824</f>
        <v>32.22</v>
      </c>
      <c r="DA824">
        <f>AI824</f>
        <v>7.13</v>
      </c>
      <c r="DB824">
        <f t="shared" si="157"/>
        <v>25.32</v>
      </c>
      <c r="DC824">
        <f t="shared" si="158"/>
        <v>0</v>
      </c>
    </row>
    <row r="825" spans="1:107" x14ac:dyDescent="0.2">
      <c r="A825">
        <f>ROW(Source!A404)</f>
        <v>404</v>
      </c>
      <c r="B825">
        <v>16630606</v>
      </c>
      <c r="C825">
        <v>16632984</v>
      </c>
      <c r="D825">
        <v>15210572</v>
      </c>
      <c r="E825">
        <v>1</v>
      </c>
      <c r="F825">
        <v>1</v>
      </c>
      <c r="G825">
        <v>1</v>
      </c>
      <c r="H825">
        <v>3</v>
      </c>
      <c r="I825" t="s">
        <v>1046</v>
      </c>
      <c r="J825" t="s">
        <v>1048</v>
      </c>
      <c r="K825" t="s">
        <v>1047</v>
      </c>
      <c r="L825">
        <v>1354</v>
      </c>
      <c r="N825">
        <v>1010</v>
      </c>
      <c r="O825" t="s">
        <v>132</v>
      </c>
      <c r="P825" t="s">
        <v>132</v>
      </c>
      <c r="Q825">
        <v>1</v>
      </c>
      <c r="W825">
        <v>0</v>
      </c>
      <c r="X825">
        <v>-1306881833</v>
      </c>
      <c r="Y825">
        <v>0.214286</v>
      </c>
      <c r="AA825">
        <v>724.98</v>
      </c>
      <c r="AB825">
        <v>0</v>
      </c>
      <c r="AC825">
        <v>0</v>
      </c>
      <c r="AD825">
        <v>0</v>
      </c>
      <c r="AE825">
        <v>101.68</v>
      </c>
      <c r="AF825">
        <v>0</v>
      </c>
      <c r="AG825">
        <v>0</v>
      </c>
      <c r="AH825">
        <v>0</v>
      </c>
      <c r="AI825">
        <v>7.13</v>
      </c>
      <c r="AJ825">
        <v>1</v>
      </c>
      <c r="AK825">
        <v>1</v>
      </c>
      <c r="AL825">
        <v>1</v>
      </c>
      <c r="AN825">
        <v>0</v>
      </c>
      <c r="AO825">
        <v>0</v>
      </c>
      <c r="AP825">
        <v>0</v>
      </c>
      <c r="AQ825">
        <v>0</v>
      </c>
      <c r="AR825">
        <v>0</v>
      </c>
      <c r="AS825" t="s">
        <v>6</v>
      </c>
      <c r="AT825">
        <v>0.214286</v>
      </c>
      <c r="AU825" t="s">
        <v>6</v>
      </c>
      <c r="AV825">
        <v>0</v>
      </c>
      <c r="AW825">
        <v>1</v>
      </c>
      <c r="AX825">
        <v>-1</v>
      </c>
      <c r="AY825">
        <v>0</v>
      </c>
      <c r="AZ825">
        <v>0</v>
      </c>
      <c r="BA825" t="s">
        <v>6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CX825">
        <f>Y825*Source!I404</f>
        <v>6.0000080000000002</v>
      </c>
      <c r="CY825">
        <f>AA825</f>
        <v>724.98</v>
      </c>
      <c r="CZ825">
        <f>AE825</f>
        <v>101.68</v>
      </c>
      <c r="DA825">
        <f>AI825</f>
        <v>7.13</v>
      </c>
      <c r="DB825">
        <f t="shared" si="157"/>
        <v>21.79</v>
      </c>
      <c r="DC825">
        <f t="shared" si="158"/>
        <v>0</v>
      </c>
    </row>
    <row r="826" spans="1:107" x14ac:dyDescent="0.2">
      <c r="A826">
        <f>ROW(Source!A407)</f>
        <v>407</v>
      </c>
      <c r="B826">
        <v>16630606</v>
      </c>
      <c r="C826">
        <v>16633005</v>
      </c>
      <c r="D826">
        <v>15430767</v>
      </c>
      <c r="E826">
        <v>1</v>
      </c>
      <c r="F826">
        <v>1</v>
      </c>
      <c r="G826">
        <v>1</v>
      </c>
      <c r="H826">
        <v>1</v>
      </c>
      <c r="I826" t="s">
        <v>1171</v>
      </c>
      <c r="J826" t="s">
        <v>6</v>
      </c>
      <c r="K826" t="s">
        <v>1172</v>
      </c>
      <c r="L826">
        <v>1191</v>
      </c>
      <c r="N826">
        <v>1013</v>
      </c>
      <c r="O826" t="s">
        <v>1148</v>
      </c>
      <c r="P826" t="s">
        <v>1148</v>
      </c>
      <c r="Q826">
        <v>1</v>
      </c>
      <c r="W826">
        <v>0</v>
      </c>
      <c r="X826">
        <v>-400197608</v>
      </c>
      <c r="Y826">
        <v>57.57</v>
      </c>
      <c r="AA826">
        <v>0</v>
      </c>
      <c r="AB826">
        <v>0</v>
      </c>
      <c r="AC826">
        <v>0</v>
      </c>
      <c r="AD826">
        <v>60.82</v>
      </c>
      <c r="AE826">
        <v>0</v>
      </c>
      <c r="AF826">
        <v>0</v>
      </c>
      <c r="AG826">
        <v>0</v>
      </c>
      <c r="AH826">
        <v>8.5299999999999994</v>
      </c>
      <c r="AI826">
        <v>1</v>
      </c>
      <c r="AJ826">
        <v>1</v>
      </c>
      <c r="AK826">
        <v>1</v>
      </c>
      <c r="AL826">
        <v>7.13</v>
      </c>
      <c r="AN826">
        <v>0</v>
      </c>
      <c r="AO826">
        <v>1</v>
      </c>
      <c r="AP826">
        <v>0</v>
      </c>
      <c r="AQ826">
        <v>0</v>
      </c>
      <c r="AR826">
        <v>0</v>
      </c>
      <c r="AS826" t="s">
        <v>6</v>
      </c>
      <c r="AT826">
        <v>57.57</v>
      </c>
      <c r="AU826" t="s">
        <v>6</v>
      </c>
      <c r="AV826">
        <v>1</v>
      </c>
      <c r="AW826">
        <v>2</v>
      </c>
      <c r="AX826">
        <v>16633009</v>
      </c>
      <c r="AY826">
        <v>1</v>
      </c>
      <c r="AZ826">
        <v>0</v>
      </c>
      <c r="BA826">
        <v>838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CX826">
        <f>Y826*Source!I407</f>
        <v>1.7270999999999999</v>
      </c>
      <c r="CY826">
        <f>AD826</f>
        <v>60.82</v>
      </c>
      <c r="CZ826">
        <f>AH826</f>
        <v>8.5299999999999994</v>
      </c>
      <c r="DA826">
        <f>AL826</f>
        <v>7.13</v>
      </c>
      <c r="DB826">
        <f t="shared" si="157"/>
        <v>491.07</v>
      </c>
      <c r="DC826">
        <f t="shared" si="158"/>
        <v>0</v>
      </c>
    </row>
    <row r="827" spans="1:107" x14ac:dyDescent="0.2">
      <c r="A827">
        <f>ROW(Source!A407)</f>
        <v>407</v>
      </c>
      <c r="B827">
        <v>16630606</v>
      </c>
      <c r="C827">
        <v>16633005</v>
      </c>
      <c r="D827">
        <v>15430395</v>
      </c>
      <c r="E827">
        <v>1</v>
      </c>
      <c r="F827">
        <v>1</v>
      </c>
      <c r="G827">
        <v>1</v>
      </c>
      <c r="H827">
        <v>1</v>
      </c>
      <c r="I827" t="s">
        <v>1149</v>
      </c>
      <c r="J827" t="s">
        <v>6</v>
      </c>
      <c r="K827" t="s">
        <v>1150</v>
      </c>
      <c r="L827">
        <v>1191</v>
      </c>
      <c r="N827">
        <v>1013</v>
      </c>
      <c r="O827" t="s">
        <v>1148</v>
      </c>
      <c r="P827" t="s">
        <v>1148</v>
      </c>
      <c r="Q827">
        <v>1</v>
      </c>
      <c r="W827">
        <v>0</v>
      </c>
      <c r="X827">
        <v>-1417349443</v>
      </c>
      <c r="Y827">
        <v>0.12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1</v>
      </c>
      <c r="AJ827">
        <v>1</v>
      </c>
      <c r="AK827">
        <v>7.13</v>
      </c>
      <c r="AL827">
        <v>1</v>
      </c>
      <c r="AN827">
        <v>0</v>
      </c>
      <c r="AO827">
        <v>1</v>
      </c>
      <c r="AP827">
        <v>0</v>
      </c>
      <c r="AQ827">
        <v>0</v>
      </c>
      <c r="AR827">
        <v>0</v>
      </c>
      <c r="AS827" t="s">
        <v>6</v>
      </c>
      <c r="AT827">
        <v>0.12</v>
      </c>
      <c r="AU827" t="s">
        <v>6</v>
      </c>
      <c r="AV827">
        <v>2</v>
      </c>
      <c r="AW827">
        <v>2</v>
      </c>
      <c r="AX827">
        <v>16633010</v>
      </c>
      <c r="AY827">
        <v>1</v>
      </c>
      <c r="AZ827">
        <v>0</v>
      </c>
      <c r="BA827">
        <v>839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CX827">
        <f>Y827*Source!I407</f>
        <v>3.5999999999999999E-3</v>
      </c>
      <c r="CY827">
        <f>AD827</f>
        <v>0</v>
      </c>
      <c r="CZ827">
        <f>AH827</f>
        <v>0</v>
      </c>
      <c r="DA827">
        <f>AL827</f>
        <v>1</v>
      </c>
      <c r="DB827">
        <f t="shared" si="157"/>
        <v>0</v>
      </c>
      <c r="DC827">
        <f t="shared" si="158"/>
        <v>0</v>
      </c>
    </row>
    <row r="828" spans="1:107" x14ac:dyDescent="0.2">
      <c r="A828">
        <f>ROW(Source!A407)</f>
        <v>407</v>
      </c>
      <c r="B828">
        <v>16630606</v>
      </c>
      <c r="C828">
        <v>16633005</v>
      </c>
      <c r="D828">
        <v>15247974</v>
      </c>
      <c r="E828">
        <v>1</v>
      </c>
      <c r="F828">
        <v>1</v>
      </c>
      <c r="G828">
        <v>1</v>
      </c>
      <c r="H828">
        <v>2</v>
      </c>
      <c r="I828" t="s">
        <v>1151</v>
      </c>
      <c r="J828" t="s">
        <v>1152</v>
      </c>
      <c r="K828" t="s">
        <v>1153</v>
      </c>
      <c r="L828">
        <v>1368</v>
      </c>
      <c r="N828">
        <v>1011</v>
      </c>
      <c r="O828" t="s">
        <v>1154</v>
      </c>
      <c r="P828" t="s">
        <v>1154</v>
      </c>
      <c r="Q828">
        <v>1</v>
      </c>
      <c r="W828">
        <v>0</v>
      </c>
      <c r="X828">
        <v>1188625873</v>
      </c>
      <c r="Y828">
        <v>0.12</v>
      </c>
      <c r="AA828">
        <v>0</v>
      </c>
      <c r="AB828">
        <v>222.88</v>
      </c>
      <c r="AC828">
        <v>13.5</v>
      </c>
      <c r="AD828">
        <v>0</v>
      </c>
      <c r="AE828">
        <v>0</v>
      </c>
      <c r="AF828">
        <v>31.26</v>
      </c>
      <c r="AG828">
        <v>13.5</v>
      </c>
      <c r="AH828">
        <v>0</v>
      </c>
      <c r="AI828">
        <v>1</v>
      </c>
      <c r="AJ828">
        <v>7.13</v>
      </c>
      <c r="AK828">
        <v>1</v>
      </c>
      <c r="AL828">
        <v>1</v>
      </c>
      <c r="AN828">
        <v>0</v>
      </c>
      <c r="AO828">
        <v>1</v>
      </c>
      <c r="AP828">
        <v>0</v>
      </c>
      <c r="AQ828">
        <v>0</v>
      </c>
      <c r="AR828">
        <v>0</v>
      </c>
      <c r="AS828" t="s">
        <v>6</v>
      </c>
      <c r="AT828">
        <v>0.12</v>
      </c>
      <c r="AU828" t="s">
        <v>6</v>
      </c>
      <c r="AV828">
        <v>0</v>
      </c>
      <c r="AW828">
        <v>2</v>
      </c>
      <c r="AX828">
        <v>16633011</v>
      </c>
      <c r="AY828">
        <v>1</v>
      </c>
      <c r="AZ828">
        <v>0</v>
      </c>
      <c r="BA828">
        <v>840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CX828">
        <f>Y828*Source!I407</f>
        <v>3.5999999999999999E-3</v>
      </c>
      <c r="CY828">
        <f>AB828</f>
        <v>222.88</v>
      </c>
      <c r="CZ828">
        <f>AF828</f>
        <v>31.26</v>
      </c>
      <c r="DA828">
        <f>AJ828</f>
        <v>7.13</v>
      </c>
      <c r="DB828">
        <f t="shared" si="157"/>
        <v>3.75</v>
      </c>
      <c r="DC828">
        <f t="shared" si="158"/>
        <v>1.62</v>
      </c>
    </row>
    <row r="829" spans="1:107" x14ac:dyDescent="0.2">
      <c r="A829">
        <f>ROW(Source!A408)</f>
        <v>408</v>
      </c>
      <c r="B829">
        <v>16630606</v>
      </c>
      <c r="C829">
        <v>16633013</v>
      </c>
      <c r="D829">
        <v>15430767</v>
      </c>
      <c r="E829">
        <v>1</v>
      </c>
      <c r="F829">
        <v>1</v>
      </c>
      <c r="G829">
        <v>1</v>
      </c>
      <c r="H829">
        <v>1</v>
      </c>
      <c r="I829" t="s">
        <v>1171</v>
      </c>
      <c r="J829" t="s">
        <v>6</v>
      </c>
      <c r="K829" t="s">
        <v>1172</v>
      </c>
      <c r="L829">
        <v>1191</v>
      </c>
      <c r="N829">
        <v>1013</v>
      </c>
      <c r="O829" t="s">
        <v>1148</v>
      </c>
      <c r="P829" t="s">
        <v>1148</v>
      </c>
      <c r="Q829">
        <v>1</v>
      </c>
      <c r="W829">
        <v>0</v>
      </c>
      <c r="X829">
        <v>-400197608</v>
      </c>
      <c r="Y829">
        <v>36.71</v>
      </c>
      <c r="AA829">
        <v>0</v>
      </c>
      <c r="AB829">
        <v>0</v>
      </c>
      <c r="AC829">
        <v>0</v>
      </c>
      <c r="AD829">
        <v>60.82</v>
      </c>
      <c r="AE829">
        <v>0</v>
      </c>
      <c r="AF829">
        <v>0</v>
      </c>
      <c r="AG829">
        <v>0</v>
      </c>
      <c r="AH829">
        <v>8.5299999999999994</v>
      </c>
      <c r="AI829">
        <v>1</v>
      </c>
      <c r="AJ829">
        <v>1</v>
      </c>
      <c r="AK829">
        <v>1</v>
      </c>
      <c r="AL829">
        <v>7.13</v>
      </c>
      <c r="AN829">
        <v>0</v>
      </c>
      <c r="AO829">
        <v>1</v>
      </c>
      <c r="AP829">
        <v>0</v>
      </c>
      <c r="AQ829">
        <v>0</v>
      </c>
      <c r="AR829">
        <v>0</v>
      </c>
      <c r="AS829" t="s">
        <v>6</v>
      </c>
      <c r="AT829">
        <v>36.71</v>
      </c>
      <c r="AU829" t="s">
        <v>6</v>
      </c>
      <c r="AV829">
        <v>1</v>
      </c>
      <c r="AW829">
        <v>2</v>
      </c>
      <c r="AX829">
        <v>16633017</v>
      </c>
      <c r="AY829">
        <v>1</v>
      </c>
      <c r="AZ829">
        <v>0</v>
      </c>
      <c r="BA829">
        <v>842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X829">
        <f>Y829*Source!I408</f>
        <v>2.9368000000000003</v>
      </c>
      <c r="CY829">
        <f>AD829</f>
        <v>60.82</v>
      </c>
      <c r="CZ829">
        <f>AH829</f>
        <v>8.5299999999999994</v>
      </c>
      <c r="DA829">
        <f>AL829</f>
        <v>7.13</v>
      </c>
      <c r="DB829">
        <f t="shared" si="157"/>
        <v>313.14</v>
      </c>
      <c r="DC829">
        <f t="shared" si="158"/>
        <v>0</v>
      </c>
    </row>
    <row r="830" spans="1:107" x14ac:dyDescent="0.2">
      <c r="A830">
        <f>ROW(Source!A408)</f>
        <v>408</v>
      </c>
      <c r="B830">
        <v>16630606</v>
      </c>
      <c r="C830">
        <v>16633013</v>
      </c>
      <c r="D830">
        <v>15430395</v>
      </c>
      <c r="E830">
        <v>1</v>
      </c>
      <c r="F830">
        <v>1</v>
      </c>
      <c r="G830">
        <v>1</v>
      </c>
      <c r="H830">
        <v>1</v>
      </c>
      <c r="I830" t="s">
        <v>1149</v>
      </c>
      <c r="J830" t="s">
        <v>6</v>
      </c>
      <c r="K830" t="s">
        <v>1150</v>
      </c>
      <c r="L830">
        <v>1191</v>
      </c>
      <c r="N830">
        <v>1013</v>
      </c>
      <c r="O830" t="s">
        <v>1148</v>
      </c>
      <c r="P830" t="s">
        <v>1148</v>
      </c>
      <c r="Q830">
        <v>1</v>
      </c>
      <c r="W830">
        <v>0</v>
      </c>
      <c r="X830">
        <v>-1417349443</v>
      </c>
      <c r="Y830">
        <v>7.0000000000000007E-2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1</v>
      </c>
      <c r="AJ830">
        <v>1</v>
      </c>
      <c r="AK830">
        <v>7.13</v>
      </c>
      <c r="AL830">
        <v>1</v>
      </c>
      <c r="AN830">
        <v>0</v>
      </c>
      <c r="AO830">
        <v>1</v>
      </c>
      <c r="AP830">
        <v>0</v>
      </c>
      <c r="AQ830">
        <v>0</v>
      </c>
      <c r="AR830">
        <v>0</v>
      </c>
      <c r="AS830" t="s">
        <v>6</v>
      </c>
      <c r="AT830">
        <v>7.0000000000000007E-2</v>
      </c>
      <c r="AU830" t="s">
        <v>6</v>
      </c>
      <c r="AV830">
        <v>2</v>
      </c>
      <c r="AW830">
        <v>2</v>
      </c>
      <c r="AX830">
        <v>16633018</v>
      </c>
      <c r="AY830">
        <v>1</v>
      </c>
      <c r="AZ830">
        <v>0</v>
      </c>
      <c r="BA830">
        <v>843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X830">
        <f>Y830*Source!I408</f>
        <v>5.6000000000000008E-3</v>
      </c>
      <c r="CY830">
        <f>AD830</f>
        <v>0</v>
      </c>
      <c r="CZ830">
        <f>AH830</f>
        <v>0</v>
      </c>
      <c r="DA830">
        <f>AL830</f>
        <v>1</v>
      </c>
      <c r="DB830">
        <f t="shared" si="157"/>
        <v>0</v>
      </c>
      <c r="DC830">
        <f t="shared" si="158"/>
        <v>0</v>
      </c>
    </row>
    <row r="831" spans="1:107" x14ac:dyDescent="0.2">
      <c r="A831">
        <f>ROW(Source!A408)</f>
        <v>408</v>
      </c>
      <c r="B831">
        <v>16630606</v>
      </c>
      <c r="C831">
        <v>16633013</v>
      </c>
      <c r="D831">
        <v>15247974</v>
      </c>
      <c r="E831">
        <v>1</v>
      </c>
      <c r="F831">
        <v>1</v>
      </c>
      <c r="G831">
        <v>1</v>
      </c>
      <c r="H831">
        <v>2</v>
      </c>
      <c r="I831" t="s">
        <v>1151</v>
      </c>
      <c r="J831" t="s">
        <v>1152</v>
      </c>
      <c r="K831" t="s">
        <v>1153</v>
      </c>
      <c r="L831">
        <v>1368</v>
      </c>
      <c r="N831">
        <v>1011</v>
      </c>
      <c r="O831" t="s">
        <v>1154</v>
      </c>
      <c r="P831" t="s">
        <v>1154</v>
      </c>
      <c r="Q831">
        <v>1</v>
      </c>
      <c r="W831">
        <v>0</v>
      </c>
      <c r="X831">
        <v>1188625873</v>
      </c>
      <c r="Y831">
        <v>7.0000000000000007E-2</v>
      </c>
      <c r="AA831">
        <v>0</v>
      </c>
      <c r="AB831">
        <v>222.88</v>
      </c>
      <c r="AC831">
        <v>13.5</v>
      </c>
      <c r="AD831">
        <v>0</v>
      </c>
      <c r="AE831">
        <v>0</v>
      </c>
      <c r="AF831">
        <v>31.26</v>
      </c>
      <c r="AG831">
        <v>13.5</v>
      </c>
      <c r="AH831">
        <v>0</v>
      </c>
      <c r="AI831">
        <v>1</v>
      </c>
      <c r="AJ831">
        <v>7.13</v>
      </c>
      <c r="AK831">
        <v>1</v>
      </c>
      <c r="AL831">
        <v>1</v>
      </c>
      <c r="AN831">
        <v>0</v>
      </c>
      <c r="AO831">
        <v>1</v>
      </c>
      <c r="AP831">
        <v>0</v>
      </c>
      <c r="AQ831">
        <v>0</v>
      </c>
      <c r="AR831">
        <v>0</v>
      </c>
      <c r="AS831" t="s">
        <v>6</v>
      </c>
      <c r="AT831">
        <v>7.0000000000000007E-2</v>
      </c>
      <c r="AU831" t="s">
        <v>6</v>
      </c>
      <c r="AV831">
        <v>0</v>
      </c>
      <c r="AW831">
        <v>2</v>
      </c>
      <c r="AX831">
        <v>16633019</v>
      </c>
      <c r="AY831">
        <v>1</v>
      </c>
      <c r="AZ831">
        <v>0</v>
      </c>
      <c r="BA831">
        <v>844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X831">
        <f>Y831*Source!I408</f>
        <v>5.6000000000000008E-3</v>
      </c>
      <c r="CY831">
        <f>AB831</f>
        <v>222.88</v>
      </c>
      <c r="CZ831">
        <f>AF831</f>
        <v>31.26</v>
      </c>
      <c r="DA831">
        <f>AJ831</f>
        <v>7.13</v>
      </c>
      <c r="DB831">
        <f t="shared" si="157"/>
        <v>2.19</v>
      </c>
      <c r="DC831">
        <f t="shared" si="158"/>
        <v>0.95</v>
      </c>
    </row>
    <row r="832" spans="1:107" x14ac:dyDescent="0.2">
      <c r="A832">
        <f>ROW(Source!A409)</f>
        <v>409</v>
      </c>
      <c r="B832">
        <v>16630606</v>
      </c>
      <c r="C832">
        <v>16633021</v>
      </c>
      <c r="D832">
        <v>15436556</v>
      </c>
      <c r="E832">
        <v>1</v>
      </c>
      <c r="F832">
        <v>1</v>
      </c>
      <c r="G832">
        <v>1</v>
      </c>
      <c r="H832">
        <v>1</v>
      </c>
      <c r="I832" t="s">
        <v>1354</v>
      </c>
      <c r="J832" t="s">
        <v>6</v>
      </c>
      <c r="K832" t="s">
        <v>1355</v>
      </c>
      <c r="L832">
        <v>1191</v>
      </c>
      <c r="N832">
        <v>1013</v>
      </c>
      <c r="O832" t="s">
        <v>1148</v>
      </c>
      <c r="P832" t="s">
        <v>1148</v>
      </c>
      <c r="Q832">
        <v>1</v>
      </c>
      <c r="W832">
        <v>0</v>
      </c>
      <c r="X832">
        <v>1069510174</v>
      </c>
      <c r="Y832">
        <v>8.0499999999999989</v>
      </c>
      <c r="AA832">
        <v>0</v>
      </c>
      <c r="AB832">
        <v>0</v>
      </c>
      <c r="AC832">
        <v>0</v>
      </c>
      <c r="AD832">
        <v>68.59</v>
      </c>
      <c r="AE832">
        <v>0</v>
      </c>
      <c r="AF832">
        <v>0</v>
      </c>
      <c r="AG832">
        <v>0</v>
      </c>
      <c r="AH832">
        <v>9.6199999999999992</v>
      </c>
      <c r="AI832">
        <v>1</v>
      </c>
      <c r="AJ832">
        <v>1</v>
      </c>
      <c r="AK832">
        <v>1</v>
      </c>
      <c r="AL832">
        <v>7.13</v>
      </c>
      <c r="AN832">
        <v>0</v>
      </c>
      <c r="AO832">
        <v>1</v>
      </c>
      <c r="AP832">
        <v>1</v>
      </c>
      <c r="AQ832">
        <v>0</v>
      </c>
      <c r="AR832">
        <v>0</v>
      </c>
      <c r="AS832" t="s">
        <v>6</v>
      </c>
      <c r="AT832">
        <v>7</v>
      </c>
      <c r="AU832" t="s">
        <v>82</v>
      </c>
      <c r="AV832">
        <v>1</v>
      </c>
      <c r="AW832">
        <v>2</v>
      </c>
      <c r="AX832">
        <v>16633030</v>
      </c>
      <c r="AY832">
        <v>1</v>
      </c>
      <c r="AZ832">
        <v>0</v>
      </c>
      <c r="BA832">
        <v>846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CX832">
        <f>Y832*Source!I409</f>
        <v>8.8550000000000004</v>
      </c>
      <c r="CY832">
        <f>AD832</f>
        <v>68.59</v>
      </c>
      <c r="CZ832">
        <f>AH832</f>
        <v>9.6199999999999992</v>
      </c>
      <c r="DA832">
        <f>AL832</f>
        <v>7.13</v>
      </c>
      <c r="DB832">
        <f>ROUND((ROUND(AT832*CZ832,2)*1.15),2)</f>
        <v>77.44</v>
      </c>
      <c r="DC832">
        <f>ROUND((ROUND(AT832*AG832,2)*1.15),2)</f>
        <v>0</v>
      </c>
    </row>
    <row r="833" spans="1:107" x14ac:dyDescent="0.2">
      <c r="A833">
        <f>ROW(Source!A409)</f>
        <v>409</v>
      </c>
      <c r="B833">
        <v>16630606</v>
      </c>
      <c r="C833">
        <v>16633021</v>
      </c>
      <c r="D833">
        <v>15167963</v>
      </c>
      <c r="E833">
        <v>1</v>
      </c>
      <c r="F833">
        <v>1</v>
      </c>
      <c r="G833">
        <v>1</v>
      </c>
      <c r="H833">
        <v>3</v>
      </c>
      <c r="I833" t="s">
        <v>1533</v>
      </c>
      <c r="J833" t="s">
        <v>1534</v>
      </c>
      <c r="K833" t="s">
        <v>1535</v>
      </c>
      <c r="L833">
        <v>1346</v>
      </c>
      <c r="N833">
        <v>1009</v>
      </c>
      <c r="O833" t="s">
        <v>102</v>
      </c>
      <c r="P833" t="s">
        <v>102</v>
      </c>
      <c r="Q833">
        <v>1</v>
      </c>
      <c r="W833">
        <v>0</v>
      </c>
      <c r="X833">
        <v>-490687590</v>
      </c>
      <c r="Y833">
        <v>0.13</v>
      </c>
      <c r="AA833">
        <v>265.88</v>
      </c>
      <c r="AB833">
        <v>0</v>
      </c>
      <c r="AC833">
        <v>0</v>
      </c>
      <c r="AD833">
        <v>0</v>
      </c>
      <c r="AE833">
        <v>37.29</v>
      </c>
      <c r="AF833">
        <v>0</v>
      </c>
      <c r="AG833">
        <v>0</v>
      </c>
      <c r="AH833">
        <v>0</v>
      </c>
      <c r="AI833">
        <v>7.13</v>
      </c>
      <c r="AJ833">
        <v>1</v>
      </c>
      <c r="AK833">
        <v>1</v>
      </c>
      <c r="AL833">
        <v>1</v>
      </c>
      <c r="AN833">
        <v>0</v>
      </c>
      <c r="AO833">
        <v>1</v>
      </c>
      <c r="AP833">
        <v>0</v>
      </c>
      <c r="AQ833">
        <v>0</v>
      </c>
      <c r="AR833">
        <v>0</v>
      </c>
      <c r="AS833" t="s">
        <v>6</v>
      </c>
      <c r="AT833">
        <v>0.13</v>
      </c>
      <c r="AU833" t="s">
        <v>6</v>
      </c>
      <c r="AV833">
        <v>0</v>
      </c>
      <c r="AW833">
        <v>2</v>
      </c>
      <c r="AX833">
        <v>16633031</v>
      </c>
      <c r="AY833">
        <v>1</v>
      </c>
      <c r="AZ833">
        <v>0</v>
      </c>
      <c r="BA833">
        <v>847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CX833">
        <f>Y833*Source!I409</f>
        <v>0.14300000000000002</v>
      </c>
      <c r="CY833">
        <f t="shared" ref="CY833:CY839" si="159">AA833</f>
        <v>265.88</v>
      </c>
      <c r="CZ833">
        <f t="shared" ref="CZ833:CZ839" si="160">AE833</f>
        <v>37.29</v>
      </c>
      <c r="DA833">
        <f t="shared" ref="DA833:DA839" si="161">AI833</f>
        <v>7.13</v>
      </c>
      <c r="DB833">
        <f t="shared" ref="DB833:DB839" si="162">ROUND(ROUND(AT833*CZ833,2),2)</f>
        <v>4.8499999999999996</v>
      </c>
      <c r="DC833">
        <f t="shared" ref="DC833:DC839" si="163">ROUND(ROUND(AT833*AG833,2),2)</f>
        <v>0</v>
      </c>
    </row>
    <row r="834" spans="1:107" x14ac:dyDescent="0.2">
      <c r="A834">
        <f>ROW(Source!A409)</f>
        <v>409</v>
      </c>
      <c r="B834">
        <v>16630606</v>
      </c>
      <c r="C834">
        <v>16633021</v>
      </c>
      <c r="D834">
        <v>15203740</v>
      </c>
      <c r="E834">
        <v>1</v>
      </c>
      <c r="F834">
        <v>1</v>
      </c>
      <c r="G834">
        <v>1</v>
      </c>
      <c r="H834">
        <v>3</v>
      </c>
      <c r="I834" t="s">
        <v>1542</v>
      </c>
      <c r="J834" t="s">
        <v>1543</v>
      </c>
      <c r="K834" t="s">
        <v>1544</v>
      </c>
      <c r="L834">
        <v>1348</v>
      </c>
      <c r="N834">
        <v>1009</v>
      </c>
      <c r="O834" t="s">
        <v>98</v>
      </c>
      <c r="P834" t="s">
        <v>98</v>
      </c>
      <c r="Q834">
        <v>1000</v>
      </c>
      <c r="W834">
        <v>0</v>
      </c>
      <c r="X834">
        <v>570223526</v>
      </c>
      <c r="Y834">
        <v>2.5999999999999998E-4</v>
      </c>
      <c r="AA834">
        <v>107798.47</v>
      </c>
      <c r="AB834">
        <v>0</v>
      </c>
      <c r="AC834">
        <v>0</v>
      </c>
      <c r="AD834">
        <v>0</v>
      </c>
      <c r="AE834">
        <v>15119</v>
      </c>
      <c r="AF834">
        <v>0</v>
      </c>
      <c r="AG834">
        <v>0</v>
      </c>
      <c r="AH834">
        <v>0</v>
      </c>
      <c r="AI834">
        <v>7.13</v>
      </c>
      <c r="AJ834">
        <v>1</v>
      </c>
      <c r="AK834">
        <v>1</v>
      </c>
      <c r="AL834">
        <v>1</v>
      </c>
      <c r="AN834">
        <v>0</v>
      </c>
      <c r="AO834">
        <v>1</v>
      </c>
      <c r="AP834">
        <v>0</v>
      </c>
      <c r="AQ834">
        <v>0</v>
      </c>
      <c r="AR834">
        <v>0</v>
      </c>
      <c r="AS834" t="s">
        <v>6</v>
      </c>
      <c r="AT834">
        <v>2.5999999999999998E-4</v>
      </c>
      <c r="AU834" t="s">
        <v>6</v>
      </c>
      <c r="AV834">
        <v>0</v>
      </c>
      <c r="AW834">
        <v>2</v>
      </c>
      <c r="AX834">
        <v>16633034</v>
      </c>
      <c r="AY834">
        <v>1</v>
      </c>
      <c r="AZ834">
        <v>0</v>
      </c>
      <c r="BA834">
        <v>850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CX834">
        <f>Y834*Source!I409</f>
        <v>2.8600000000000001E-4</v>
      </c>
      <c r="CY834">
        <f t="shared" si="159"/>
        <v>107798.47</v>
      </c>
      <c r="CZ834">
        <f t="shared" si="160"/>
        <v>15119</v>
      </c>
      <c r="DA834">
        <f t="shared" si="161"/>
        <v>7.13</v>
      </c>
      <c r="DB834">
        <f t="shared" si="162"/>
        <v>3.93</v>
      </c>
      <c r="DC834">
        <f t="shared" si="163"/>
        <v>0</v>
      </c>
    </row>
    <row r="835" spans="1:107" x14ac:dyDescent="0.2">
      <c r="A835">
        <f>ROW(Source!A409)</f>
        <v>409</v>
      </c>
      <c r="B835">
        <v>16630606</v>
      </c>
      <c r="C835">
        <v>16633021</v>
      </c>
      <c r="D835">
        <v>15204468</v>
      </c>
      <c r="E835">
        <v>1</v>
      </c>
      <c r="F835">
        <v>1</v>
      </c>
      <c r="G835">
        <v>1</v>
      </c>
      <c r="H835">
        <v>3</v>
      </c>
      <c r="I835" t="s">
        <v>1545</v>
      </c>
      <c r="J835" t="s">
        <v>1546</v>
      </c>
      <c r="K835" t="s">
        <v>1547</v>
      </c>
      <c r="L835">
        <v>1348</v>
      </c>
      <c r="N835">
        <v>1009</v>
      </c>
      <c r="O835" t="s">
        <v>98</v>
      </c>
      <c r="P835" t="s">
        <v>98</v>
      </c>
      <c r="Q835">
        <v>1000</v>
      </c>
      <c r="W835">
        <v>0</v>
      </c>
      <c r="X835">
        <v>-909021926</v>
      </c>
      <c r="Y835">
        <v>1.2999999999999999E-4</v>
      </c>
      <c r="AA835">
        <v>120853.5</v>
      </c>
      <c r="AB835">
        <v>0</v>
      </c>
      <c r="AC835">
        <v>0</v>
      </c>
      <c r="AD835">
        <v>0</v>
      </c>
      <c r="AE835">
        <v>16950</v>
      </c>
      <c r="AF835">
        <v>0</v>
      </c>
      <c r="AG835">
        <v>0</v>
      </c>
      <c r="AH835">
        <v>0</v>
      </c>
      <c r="AI835">
        <v>7.13</v>
      </c>
      <c r="AJ835">
        <v>1</v>
      </c>
      <c r="AK835">
        <v>1</v>
      </c>
      <c r="AL835">
        <v>1</v>
      </c>
      <c r="AN835">
        <v>0</v>
      </c>
      <c r="AO835">
        <v>1</v>
      </c>
      <c r="AP835">
        <v>0</v>
      </c>
      <c r="AQ835">
        <v>0</v>
      </c>
      <c r="AR835">
        <v>0</v>
      </c>
      <c r="AS835" t="s">
        <v>6</v>
      </c>
      <c r="AT835">
        <v>1.2999999999999999E-4</v>
      </c>
      <c r="AU835" t="s">
        <v>6</v>
      </c>
      <c r="AV835">
        <v>0</v>
      </c>
      <c r="AW835">
        <v>2</v>
      </c>
      <c r="AX835">
        <v>16633035</v>
      </c>
      <c r="AY835">
        <v>1</v>
      </c>
      <c r="AZ835">
        <v>0</v>
      </c>
      <c r="BA835">
        <v>851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CX835">
        <f>Y835*Source!I409</f>
        <v>1.4300000000000001E-4</v>
      </c>
      <c r="CY835">
        <f t="shared" si="159"/>
        <v>120853.5</v>
      </c>
      <c r="CZ835">
        <f t="shared" si="160"/>
        <v>16950</v>
      </c>
      <c r="DA835">
        <f t="shared" si="161"/>
        <v>7.13</v>
      </c>
      <c r="DB835">
        <f t="shared" si="162"/>
        <v>2.2000000000000002</v>
      </c>
      <c r="DC835">
        <f t="shared" si="163"/>
        <v>0</v>
      </c>
    </row>
    <row r="836" spans="1:107" x14ac:dyDescent="0.2">
      <c r="A836">
        <f>ROW(Source!A409)</f>
        <v>409</v>
      </c>
      <c r="B836">
        <v>16630606</v>
      </c>
      <c r="C836">
        <v>16633021</v>
      </c>
      <c r="D836">
        <v>15211306</v>
      </c>
      <c r="E836">
        <v>1</v>
      </c>
      <c r="F836">
        <v>1</v>
      </c>
      <c r="G836">
        <v>1</v>
      </c>
      <c r="H836">
        <v>3</v>
      </c>
      <c r="I836" t="s">
        <v>1066</v>
      </c>
      <c r="J836" t="s">
        <v>1068</v>
      </c>
      <c r="K836" t="s">
        <v>1067</v>
      </c>
      <c r="L836">
        <v>1035</v>
      </c>
      <c r="N836">
        <v>1013</v>
      </c>
      <c r="O836" t="s">
        <v>177</v>
      </c>
      <c r="P836" t="s">
        <v>177</v>
      </c>
      <c r="Q836">
        <v>1</v>
      </c>
      <c r="W836">
        <v>0</v>
      </c>
      <c r="X836">
        <v>1657433162</v>
      </c>
      <c r="Y836">
        <v>2.7272729999999998</v>
      </c>
      <c r="AA836">
        <v>1800.33</v>
      </c>
      <c r="AB836">
        <v>0</v>
      </c>
      <c r="AC836">
        <v>0</v>
      </c>
      <c r="AD836">
        <v>0</v>
      </c>
      <c r="AE836">
        <v>252.5</v>
      </c>
      <c r="AF836">
        <v>0</v>
      </c>
      <c r="AG836">
        <v>0</v>
      </c>
      <c r="AH836">
        <v>0</v>
      </c>
      <c r="AI836">
        <v>7.13</v>
      </c>
      <c r="AJ836">
        <v>1</v>
      </c>
      <c r="AK836">
        <v>1</v>
      </c>
      <c r="AL836">
        <v>1</v>
      </c>
      <c r="AN836">
        <v>0</v>
      </c>
      <c r="AO836">
        <v>0</v>
      </c>
      <c r="AP836">
        <v>0</v>
      </c>
      <c r="AQ836">
        <v>0</v>
      </c>
      <c r="AR836">
        <v>0</v>
      </c>
      <c r="AS836" t="s">
        <v>6</v>
      </c>
      <c r="AT836">
        <v>2.7272729999999998</v>
      </c>
      <c r="AU836" t="s">
        <v>6</v>
      </c>
      <c r="AV836">
        <v>0</v>
      </c>
      <c r="AW836">
        <v>1</v>
      </c>
      <c r="AX836">
        <v>-1</v>
      </c>
      <c r="AY836">
        <v>0</v>
      </c>
      <c r="AZ836">
        <v>0</v>
      </c>
      <c r="BA836" t="s">
        <v>6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CX836">
        <f>Y836*Source!I409</f>
        <v>3.0000003</v>
      </c>
      <c r="CY836">
        <f t="shared" si="159"/>
        <v>1800.33</v>
      </c>
      <c r="CZ836">
        <f t="shared" si="160"/>
        <v>252.5</v>
      </c>
      <c r="DA836">
        <f t="shared" si="161"/>
        <v>7.13</v>
      </c>
      <c r="DB836">
        <f t="shared" si="162"/>
        <v>688.64</v>
      </c>
      <c r="DC836">
        <f t="shared" si="163"/>
        <v>0</v>
      </c>
    </row>
    <row r="837" spans="1:107" x14ac:dyDescent="0.2">
      <c r="A837">
        <f>ROW(Source!A409)</f>
        <v>409</v>
      </c>
      <c r="B837">
        <v>16630606</v>
      </c>
      <c r="C837">
        <v>16633021</v>
      </c>
      <c r="D837">
        <v>15211314</v>
      </c>
      <c r="E837">
        <v>1</v>
      </c>
      <c r="F837">
        <v>1</v>
      </c>
      <c r="G837">
        <v>1</v>
      </c>
      <c r="H837">
        <v>3</v>
      </c>
      <c r="I837" t="s">
        <v>1070</v>
      </c>
      <c r="J837" t="s">
        <v>1072</v>
      </c>
      <c r="K837" t="s">
        <v>1071</v>
      </c>
      <c r="L837">
        <v>1035</v>
      </c>
      <c r="N837">
        <v>1013</v>
      </c>
      <c r="O837" t="s">
        <v>177</v>
      </c>
      <c r="P837" t="s">
        <v>177</v>
      </c>
      <c r="Q837">
        <v>1</v>
      </c>
      <c r="W837">
        <v>0</v>
      </c>
      <c r="X837">
        <v>-1158480503</v>
      </c>
      <c r="Y837">
        <v>2.7272729999999998</v>
      </c>
      <c r="AA837">
        <v>762.41</v>
      </c>
      <c r="AB837">
        <v>0</v>
      </c>
      <c r="AC837">
        <v>0</v>
      </c>
      <c r="AD837">
        <v>0</v>
      </c>
      <c r="AE837">
        <v>106.93</v>
      </c>
      <c r="AF837">
        <v>0</v>
      </c>
      <c r="AG837">
        <v>0</v>
      </c>
      <c r="AH837">
        <v>0</v>
      </c>
      <c r="AI837">
        <v>7.13</v>
      </c>
      <c r="AJ837">
        <v>1</v>
      </c>
      <c r="AK837">
        <v>1</v>
      </c>
      <c r="AL837">
        <v>1</v>
      </c>
      <c r="AN837">
        <v>0</v>
      </c>
      <c r="AO837">
        <v>0</v>
      </c>
      <c r="AP837">
        <v>0</v>
      </c>
      <c r="AQ837">
        <v>0</v>
      </c>
      <c r="AR837">
        <v>0</v>
      </c>
      <c r="AS837" t="s">
        <v>6</v>
      </c>
      <c r="AT837">
        <v>2.7272729999999998</v>
      </c>
      <c r="AU837" t="s">
        <v>6</v>
      </c>
      <c r="AV837">
        <v>0</v>
      </c>
      <c r="AW837">
        <v>1</v>
      </c>
      <c r="AX837">
        <v>-1</v>
      </c>
      <c r="AY837">
        <v>0</v>
      </c>
      <c r="AZ837">
        <v>0</v>
      </c>
      <c r="BA837" t="s">
        <v>6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CX837">
        <f>Y837*Source!I409</f>
        <v>3.0000003</v>
      </c>
      <c r="CY837">
        <f t="shared" si="159"/>
        <v>762.41</v>
      </c>
      <c r="CZ837">
        <f t="shared" si="160"/>
        <v>106.93</v>
      </c>
      <c r="DA837">
        <f t="shared" si="161"/>
        <v>7.13</v>
      </c>
      <c r="DB837">
        <f t="shared" si="162"/>
        <v>291.63</v>
      </c>
      <c r="DC837">
        <f t="shared" si="163"/>
        <v>0</v>
      </c>
    </row>
    <row r="838" spans="1:107" x14ac:dyDescent="0.2">
      <c r="A838">
        <f>ROW(Source!A409)</f>
        <v>409</v>
      </c>
      <c r="B838">
        <v>16630606</v>
      </c>
      <c r="C838">
        <v>16633021</v>
      </c>
      <c r="D838">
        <v>15211319</v>
      </c>
      <c r="E838">
        <v>1</v>
      </c>
      <c r="F838">
        <v>1</v>
      </c>
      <c r="G838">
        <v>1</v>
      </c>
      <c r="H838">
        <v>3</v>
      </c>
      <c r="I838" t="s">
        <v>1074</v>
      </c>
      <c r="J838" t="s">
        <v>1076</v>
      </c>
      <c r="K838" t="s">
        <v>1075</v>
      </c>
      <c r="L838">
        <v>1035</v>
      </c>
      <c r="N838">
        <v>1013</v>
      </c>
      <c r="O838" t="s">
        <v>177</v>
      </c>
      <c r="P838" t="s">
        <v>177</v>
      </c>
      <c r="Q838">
        <v>1</v>
      </c>
      <c r="W838">
        <v>0</v>
      </c>
      <c r="X838">
        <v>-518659730</v>
      </c>
      <c r="Y838">
        <v>4.5454549999999996</v>
      </c>
      <c r="AA838">
        <v>621.52</v>
      </c>
      <c r="AB838">
        <v>0</v>
      </c>
      <c r="AC838">
        <v>0</v>
      </c>
      <c r="AD838">
        <v>0</v>
      </c>
      <c r="AE838">
        <v>87.17</v>
      </c>
      <c r="AF838">
        <v>0</v>
      </c>
      <c r="AG838">
        <v>0</v>
      </c>
      <c r="AH838">
        <v>0</v>
      </c>
      <c r="AI838">
        <v>7.13</v>
      </c>
      <c r="AJ838">
        <v>1</v>
      </c>
      <c r="AK838">
        <v>1</v>
      </c>
      <c r="AL838">
        <v>1</v>
      </c>
      <c r="AN838">
        <v>0</v>
      </c>
      <c r="AO838">
        <v>0</v>
      </c>
      <c r="AP838">
        <v>0</v>
      </c>
      <c r="AQ838">
        <v>0</v>
      </c>
      <c r="AR838">
        <v>0</v>
      </c>
      <c r="AS838" t="s">
        <v>6</v>
      </c>
      <c r="AT838">
        <v>4.5454549999999996</v>
      </c>
      <c r="AU838" t="s">
        <v>6</v>
      </c>
      <c r="AV838">
        <v>0</v>
      </c>
      <c r="AW838">
        <v>1</v>
      </c>
      <c r="AX838">
        <v>-1</v>
      </c>
      <c r="AY838">
        <v>0</v>
      </c>
      <c r="AZ838">
        <v>0</v>
      </c>
      <c r="BA838" t="s">
        <v>6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CX838">
        <f>Y838*Source!I409</f>
        <v>5.0000004999999996</v>
      </c>
      <c r="CY838">
        <f t="shared" si="159"/>
        <v>621.52</v>
      </c>
      <c r="CZ838">
        <f t="shared" si="160"/>
        <v>87.17</v>
      </c>
      <c r="DA838">
        <f t="shared" si="161"/>
        <v>7.13</v>
      </c>
      <c r="DB838">
        <f t="shared" si="162"/>
        <v>396.23</v>
      </c>
      <c r="DC838">
        <f t="shared" si="163"/>
        <v>0</v>
      </c>
    </row>
    <row r="839" spans="1:107" x14ac:dyDescent="0.2">
      <c r="A839">
        <f>ROW(Source!A409)</f>
        <v>409</v>
      </c>
      <c r="B839">
        <v>16630606</v>
      </c>
      <c r="C839">
        <v>16633021</v>
      </c>
      <c r="D839">
        <v>15211963</v>
      </c>
      <c r="E839">
        <v>1</v>
      </c>
      <c r="F839">
        <v>1</v>
      </c>
      <c r="G839">
        <v>1</v>
      </c>
      <c r="H839">
        <v>3</v>
      </c>
      <c r="I839" t="s">
        <v>1062</v>
      </c>
      <c r="J839" t="s">
        <v>1064</v>
      </c>
      <c r="K839" t="s">
        <v>1063</v>
      </c>
      <c r="L839">
        <v>1358</v>
      </c>
      <c r="N839">
        <v>1010</v>
      </c>
      <c r="O839" t="s">
        <v>616</v>
      </c>
      <c r="P839" t="s">
        <v>616</v>
      </c>
      <c r="Q839">
        <v>10</v>
      </c>
      <c r="W839">
        <v>0</v>
      </c>
      <c r="X839">
        <v>1904909872</v>
      </c>
      <c r="Y839">
        <v>2.0909089999999999</v>
      </c>
      <c r="AA839">
        <v>1458.09</v>
      </c>
      <c r="AB839">
        <v>0</v>
      </c>
      <c r="AC839">
        <v>0</v>
      </c>
      <c r="AD839">
        <v>0</v>
      </c>
      <c r="AE839">
        <v>204.5</v>
      </c>
      <c r="AF839">
        <v>0</v>
      </c>
      <c r="AG839">
        <v>0</v>
      </c>
      <c r="AH839">
        <v>0</v>
      </c>
      <c r="AI839">
        <v>7.13</v>
      </c>
      <c r="AJ839">
        <v>1</v>
      </c>
      <c r="AK839">
        <v>1</v>
      </c>
      <c r="AL839">
        <v>1</v>
      </c>
      <c r="AN839">
        <v>0</v>
      </c>
      <c r="AO839">
        <v>0</v>
      </c>
      <c r="AP839">
        <v>0</v>
      </c>
      <c r="AQ839">
        <v>0</v>
      </c>
      <c r="AR839">
        <v>0</v>
      </c>
      <c r="AS839" t="s">
        <v>6</v>
      </c>
      <c r="AT839">
        <v>2.0909089999999999</v>
      </c>
      <c r="AU839" t="s">
        <v>6</v>
      </c>
      <c r="AV839">
        <v>0</v>
      </c>
      <c r="AW839">
        <v>1</v>
      </c>
      <c r="AX839">
        <v>-1</v>
      </c>
      <c r="AY839">
        <v>0</v>
      </c>
      <c r="AZ839">
        <v>0</v>
      </c>
      <c r="BA839" t="s">
        <v>6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CX839">
        <f>Y839*Source!I409</f>
        <v>2.2999999</v>
      </c>
      <c r="CY839">
        <f t="shared" si="159"/>
        <v>1458.09</v>
      </c>
      <c r="CZ839">
        <f t="shared" si="160"/>
        <v>204.5</v>
      </c>
      <c r="DA839">
        <f t="shared" si="161"/>
        <v>7.13</v>
      </c>
      <c r="DB839">
        <f t="shared" si="162"/>
        <v>427.59</v>
      </c>
      <c r="DC839">
        <f t="shared" si="163"/>
        <v>0</v>
      </c>
    </row>
    <row r="840" spans="1:107" x14ac:dyDescent="0.2">
      <c r="A840">
        <f>ROW(Source!A414)</f>
        <v>414</v>
      </c>
      <c r="B840">
        <v>16630606</v>
      </c>
      <c r="C840">
        <v>16633041</v>
      </c>
      <c r="D840">
        <v>15478831</v>
      </c>
      <c r="E840">
        <v>1</v>
      </c>
      <c r="F840">
        <v>1</v>
      </c>
      <c r="G840">
        <v>1</v>
      </c>
      <c r="H840">
        <v>1</v>
      </c>
      <c r="I840" t="s">
        <v>1572</v>
      </c>
      <c r="J840" t="s">
        <v>6</v>
      </c>
      <c r="K840" t="s">
        <v>1573</v>
      </c>
      <c r="L840">
        <v>1191</v>
      </c>
      <c r="N840">
        <v>1013</v>
      </c>
      <c r="O840" t="s">
        <v>1148</v>
      </c>
      <c r="P840" t="s">
        <v>1148</v>
      </c>
      <c r="Q840">
        <v>1</v>
      </c>
      <c r="W840">
        <v>0</v>
      </c>
      <c r="X840">
        <v>-1658069037</v>
      </c>
      <c r="Y840">
        <v>5.761499999999999</v>
      </c>
      <c r="AA840">
        <v>0</v>
      </c>
      <c r="AB840">
        <v>0</v>
      </c>
      <c r="AC840">
        <v>0</v>
      </c>
      <c r="AD840">
        <v>82.99</v>
      </c>
      <c r="AE840">
        <v>0</v>
      </c>
      <c r="AF840">
        <v>0</v>
      </c>
      <c r="AG840">
        <v>0</v>
      </c>
      <c r="AH840">
        <v>11.64</v>
      </c>
      <c r="AI840">
        <v>1</v>
      </c>
      <c r="AJ840">
        <v>1</v>
      </c>
      <c r="AK840">
        <v>1</v>
      </c>
      <c r="AL840">
        <v>7.13</v>
      </c>
      <c r="AN840">
        <v>0</v>
      </c>
      <c r="AO840">
        <v>1</v>
      </c>
      <c r="AP840">
        <v>1</v>
      </c>
      <c r="AQ840">
        <v>0</v>
      </c>
      <c r="AR840">
        <v>0</v>
      </c>
      <c r="AS840" t="s">
        <v>6</v>
      </c>
      <c r="AT840">
        <v>5.01</v>
      </c>
      <c r="AU840" t="s">
        <v>82</v>
      </c>
      <c r="AV840">
        <v>1</v>
      </c>
      <c r="AW840">
        <v>2</v>
      </c>
      <c r="AX840">
        <v>16633048</v>
      </c>
      <c r="AY840">
        <v>1</v>
      </c>
      <c r="AZ840">
        <v>0</v>
      </c>
      <c r="BA840">
        <v>853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CX840">
        <f>Y840*Source!I414</f>
        <v>5.2026344999999994</v>
      </c>
      <c r="CY840">
        <f>AD840</f>
        <v>82.99</v>
      </c>
      <c r="CZ840">
        <f>AH840</f>
        <v>11.64</v>
      </c>
      <c r="DA840">
        <f>AL840</f>
        <v>7.13</v>
      </c>
      <c r="DB840">
        <f>ROUND((ROUND(AT840*CZ840,2)*1.15),2)</f>
        <v>67.069999999999993</v>
      </c>
      <c r="DC840">
        <f>ROUND((ROUND(AT840*AG840,2)*1.15),2)</f>
        <v>0</v>
      </c>
    </row>
    <row r="841" spans="1:107" x14ac:dyDescent="0.2">
      <c r="A841">
        <f>ROW(Source!A414)</f>
        <v>414</v>
      </c>
      <c r="B841">
        <v>16630606</v>
      </c>
      <c r="C841">
        <v>16633041</v>
      </c>
      <c r="D841">
        <v>15248793</v>
      </c>
      <c r="E841">
        <v>1</v>
      </c>
      <c r="F841">
        <v>1</v>
      </c>
      <c r="G841">
        <v>1</v>
      </c>
      <c r="H841">
        <v>2</v>
      </c>
      <c r="I841" t="s">
        <v>1548</v>
      </c>
      <c r="J841" t="s">
        <v>1549</v>
      </c>
      <c r="K841" t="s">
        <v>1550</v>
      </c>
      <c r="L841">
        <v>1368</v>
      </c>
      <c r="N841">
        <v>1011</v>
      </c>
      <c r="O841" t="s">
        <v>1154</v>
      </c>
      <c r="P841" t="s">
        <v>1154</v>
      </c>
      <c r="Q841">
        <v>1</v>
      </c>
      <c r="W841">
        <v>0</v>
      </c>
      <c r="X841">
        <v>-1347092713</v>
      </c>
      <c r="Y841">
        <v>1.875</v>
      </c>
      <c r="AA841">
        <v>0</v>
      </c>
      <c r="AB841">
        <v>211.55</v>
      </c>
      <c r="AC841">
        <v>0</v>
      </c>
      <c r="AD841">
        <v>0</v>
      </c>
      <c r="AE841">
        <v>0</v>
      </c>
      <c r="AF841">
        <v>29.67</v>
      </c>
      <c r="AG841">
        <v>0</v>
      </c>
      <c r="AH841">
        <v>0</v>
      </c>
      <c r="AI841">
        <v>1</v>
      </c>
      <c r="AJ841">
        <v>7.13</v>
      </c>
      <c r="AK841">
        <v>1</v>
      </c>
      <c r="AL841">
        <v>1</v>
      </c>
      <c r="AN841">
        <v>0</v>
      </c>
      <c r="AO841">
        <v>1</v>
      </c>
      <c r="AP841">
        <v>1</v>
      </c>
      <c r="AQ841">
        <v>0</v>
      </c>
      <c r="AR841">
        <v>0</v>
      </c>
      <c r="AS841" t="s">
        <v>6</v>
      </c>
      <c r="AT841">
        <v>1.5</v>
      </c>
      <c r="AU841" t="s">
        <v>81</v>
      </c>
      <c r="AV841">
        <v>0</v>
      </c>
      <c r="AW841">
        <v>2</v>
      </c>
      <c r="AX841">
        <v>16633049</v>
      </c>
      <c r="AY841">
        <v>1</v>
      </c>
      <c r="AZ841">
        <v>0</v>
      </c>
      <c r="BA841">
        <v>854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CX841">
        <f>Y841*Source!I414</f>
        <v>1.693125</v>
      </c>
      <c r="CY841">
        <f>AB841</f>
        <v>211.55</v>
      </c>
      <c r="CZ841">
        <f>AF841</f>
        <v>29.67</v>
      </c>
      <c r="DA841">
        <f>AJ841</f>
        <v>7.13</v>
      </c>
      <c r="DB841">
        <f>ROUND((ROUND(AT841*CZ841,2)*1.25),2)</f>
        <v>55.64</v>
      </c>
      <c r="DC841">
        <f>ROUND((ROUND(AT841*AG841,2)*1.25),2)</f>
        <v>0</v>
      </c>
    </row>
    <row r="842" spans="1:107" x14ac:dyDescent="0.2">
      <c r="A842">
        <f>ROW(Source!A414)</f>
        <v>414</v>
      </c>
      <c r="B842">
        <v>16630606</v>
      </c>
      <c r="C842">
        <v>16633041</v>
      </c>
      <c r="D842">
        <v>15167286</v>
      </c>
      <c r="E842">
        <v>1</v>
      </c>
      <c r="F842">
        <v>1</v>
      </c>
      <c r="G842">
        <v>1</v>
      </c>
      <c r="H842">
        <v>3</v>
      </c>
      <c r="I842" t="s">
        <v>1265</v>
      </c>
      <c r="J842" t="s">
        <v>1266</v>
      </c>
      <c r="K842" t="s">
        <v>1267</v>
      </c>
      <c r="L842">
        <v>1339</v>
      </c>
      <c r="N842">
        <v>1007</v>
      </c>
      <c r="O842" t="s">
        <v>203</v>
      </c>
      <c r="P842" t="s">
        <v>203</v>
      </c>
      <c r="Q842">
        <v>1</v>
      </c>
      <c r="W842">
        <v>0</v>
      </c>
      <c r="X842">
        <v>-1660354250</v>
      </c>
      <c r="Y842">
        <v>1</v>
      </c>
      <c r="AA842">
        <v>17.399999999999999</v>
      </c>
      <c r="AB842">
        <v>0</v>
      </c>
      <c r="AC842">
        <v>0</v>
      </c>
      <c r="AD842">
        <v>0</v>
      </c>
      <c r="AE842">
        <v>2.44</v>
      </c>
      <c r="AF842">
        <v>0</v>
      </c>
      <c r="AG842">
        <v>0</v>
      </c>
      <c r="AH842">
        <v>0</v>
      </c>
      <c r="AI842">
        <v>7.13</v>
      </c>
      <c r="AJ842">
        <v>1</v>
      </c>
      <c r="AK842">
        <v>1</v>
      </c>
      <c r="AL842">
        <v>1</v>
      </c>
      <c r="AN842">
        <v>0</v>
      </c>
      <c r="AO842">
        <v>1</v>
      </c>
      <c r="AP842">
        <v>0</v>
      </c>
      <c r="AQ842">
        <v>0</v>
      </c>
      <c r="AR842">
        <v>0</v>
      </c>
      <c r="AS842" t="s">
        <v>6</v>
      </c>
      <c r="AT842">
        <v>1</v>
      </c>
      <c r="AU842" t="s">
        <v>6</v>
      </c>
      <c r="AV842">
        <v>0</v>
      </c>
      <c r="AW842">
        <v>2</v>
      </c>
      <c r="AX842">
        <v>16633050</v>
      </c>
      <c r="AY842">
        <v>1</v>
      </c>
      <c r="AZ842">
        <v>0</v>
      </c>
      <c r="BA842">
        <v>855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CX842">
        <f>Y842*Source!I414</f>
        <v>0.90300000000000002</v>
      </c>
      <c r="CY842">
        <f>AA842</f>
        <v>17.399999999999999</v>
      </c>
      <c r="CZ842">
        <f>AE842</f>
        <v>2.44</v>
      </c>
      <c r="DA842">
        <f>AI842</f>
        <v>7.13</v>
      </c>
      <c r="DB842">
        <f>ROUND(ROUND(AT842*CZ842,2),2)</f>
        <v>2.44</v>
      </c>
      <c r="DC842">
        <f>ROUND(ROUND(AT842*AG842,2),2)</f>
        <v>0</v>
      </c>
    </row>
    <row r="843" spans="1:107" x14ac:dyDescent="0.2">
      <c r="A843">
        <f>ROW(Source!A414)</f>
        <v>414</v>
      </c>
      <c r="B843">
        <v>16630606</v>
      </c>
      <c r="C843">
        <v>16633041</v>
      </c>
      <c r="D843">
        <v>15167963</v>
      </c>
      <c r="E843">
        <v>1</v>
      </c>
      <c r="F843">
        <v>1</v>
      </c>
      <c r="G843">
        <v>1</v>
      </c>
      <c r="H843">
        <v>3</v>
      </c>
      <c r="I843" t="s">
        <v>1533</v>
      </c>
      <c r="J843" t="s">
        <v>1534</v>
      </c>
      <c r="K843" t="s">
        <v>1535</v>
      </c>
      <c r="L843">
        <v>1346</v>
      </c>
      <c r="N843">
        <v>1009</v>
      </c>
      <c r="O843" t="s">
        <v>102</v>
      </c>
      <c r="P843" t="s">
        <v>102</v>
      </c>
      <c r="Q843">
        <v>1</v>
      </c>
      <c r="W843">
        <v>0</v>
      </c>
      <c r="X843">
        <v>-490687590</v>
      </c>
      <c r="Y843">
        <v>0.02</v>
      </c>
      <c r="AA843">
        <v>265.88</v>
      </c>
      <c r="AB843">
        <v>0</v>
      </c>
      <c r="AC843">
        <v>0</v>
      </c>
      <c r="AD843">
        <v>0</v>
      </c>
      <c r="AE843">
        <v>37.29</v>
      </c>
      <c r="AF843">
        <v>0</v>
      </c>
      <c r="AG843">
        <v>0</v>
      </c>
      <c r="AH843">
        <v>0</v>
      </c>
      <c r="AI843">
        <v>7.13</v>
      </c>
      <c r="AJ843">
        <v>1</v>
      </c>
      <c r="AK843">
        <v>1</v>
      </c>
      <c r="AL843">
        <v>1</v>
      </c>
      <c r="AN843">
        <v>0</v>
      </c>
      <c r="AO843">
        <v>1</v>
      </c>
      <c r="AP843">
        <v>0</v>
      </c>
      <c r="AQ843">
        <v>0</v>
      </c>
      <c r="AR843">
        <v>0</v>
      </c>
      <c r="AS843" t="s">
        <v>6</v>
      </c>
      <c r="AT843">
        <v>0.02</v>
      </c>
      <c r="AU843" t="s">
        <v>6</v>
      </c>
      <c r="AV843">
        <v>0</v>
      </c>
      <c r="AW843">
        <v>2</v>
      </c>
      <c r="AX843">
        <v>16633051</v>
      </c>
      <c r="AY843">
        <v>1</v>
      </c>
      <c r="AZ843">
        <v>0</v>
      </c>
      <c r="BA843">
        <v>856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CX843">
        <f>Y843*Source!I414</f>
        <v>1.806E-2</v>
      </c>
      <c r="CY843">
        <f>AA843</f>
        <v>265.88</v>
      </c>
      <c r="CZ843">
        <f>AE843</f>
        <v>37.29</v>
      </c>
      <c r="DA843">
        <f>AI843</f>
        <v>7.13</v>
      </c>
      <c r="DB843">
        <f>ROUND(ROUND(AT843*CZ843,2),2)</f>
        <v>0.75</v>
      </c>
      <c r="DC843">
        <f>ROUND(ROUND(AT843*AG843,2),2)</f>
        <v>0</v>
      </c>
    </row>
    <row r="844" spans="1:107" x14ac:dyDescent="0.2">
      <c r="A844">
        <f>ROW(Source!A414)</f>
        <v>414</v>
      </c>
      <c r="B844">
        <v>16630606</v>
      </c>
      <c r="C844">
        <v>16633041</v>
      </c>
      <c r="D844">
        <v>15203740</v>
      </c>
      <c r="E844">
        <v>1</v>
      </c>
      <c r="F844">
        <v>1</v>
      </c>
      <c r="G844">
        <v>1</v>
      </c>
      <c r="H844">
        <v>3</v>
      </c>
      <c r="I844" t="s">
        <v>1542</v>
      </c>
      <c r="J844" t="s">
        <v>1543</v>
      </c>
      <c r="K844" t="s">
        <v>1544</v>
      </c>
      <c r="L844">
        <v>1348</v>
      </c>
      <c r="N844">
        <v>1009</v>
      </c>
      <c r="O844" t="s">
        <v>98</v>
      </c>
      <c r="P844" t="s">
        <v>98</v>
      </c>
      <c r="Q844">
        <v>1000</v>
      </c>
      <c r="W844">
        <v>0</v>
      </c>
      <c r="X844">
        <v>570223526</v>
      </c>
      <c r="Y844">
        <v>5.0000000000000002E-5</v>
      </c>
      <c r="AA844">
        <v>107798.47</v>
      </c>
      <c r="AB844">
        <v>0</v>
      </c>
      <c r="AC844">
        <v>0</v>
      </c>
      <c r="AD844">
        <v>0</v>
      </c>
      <c r="AE844">
        <v>15119</v>
      </c>
      <c r="AF844">
        <v>0</v>
      </c>
      <c r="AG844">
        <v>0</v>
      </c>
      <c r="AH844">
        <v>0</v>
      </c>
      <c r="AI844">
        <v>7.13</v>
      </c>
      <c r="AJ844">
        <v>1</v>
      </c>
      <c r="AK844">
        <v>1</v>
      </c>
      <c r="AL844">
        <v>1</v>
      </c>
      <c r="AN844">
        <v>0</v>
      </c>
      <c r="AO844">
        <v>1</v>
      </c>
      <c r="AP844">
        <v>0</v>
      </c>
      <c r="AQ844">
        <v>0</v>
      </c>
      <c r="AR844">
        <v>0</v>
      </c>
      <c r="AS844" t="s">
        <v>6</v>
      </c>
      <c r="AT844">
        <v>5.0000000000000002E-5</v>
      </c>
      <c r="AU844" t="s">
        <v>6</v>
      </c>
      <c r="AV844">
        <v>0</v>
      </c>
      <c r="AW844">
        <v>2</v>
      </c>
      <c r="AX844">
        <v>16633052</v>
      </c>
      <c r="AY844">
        <v>1</v>
      </c>
      <c r="AZ844">
        <v>0</v>
      </c>
      <c r="BA844">
        <v>857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CX844">
        <f>Y844*Source!I414</f>
        <v>4.5150000000000006E-5</v>
      </c>
      <c r="CY844">
        <f>AA844</f>
        <v>107798.47</v>
      </c>
      <c r="CZ844">
        <f>AE844</f>
        <v>15119</v>
      </c>
      <c r="DA844">
        <f>AI844</f>
        <v>7.13</v>
      </c>
      <c r="DB844">
        <f>ROUND(ROUND(AT844*CZ844,2),2)</f>
        <v>0.76</v>
      </c>
      <c r="DC844">
        <f>ROUND(ROUND(AT844*AG844,2),2)</f>
        <v>0</v>
      </c>
    </row>
    <row r="845" spans="1:107" x14ac:dyDescent="0.2">
      <c r="A845">
        <f>ROW(Source!A414)</f>
        <v>414</v>
      </c>
      <c r="B845">
        <v>16630606</v>
      </c>
      <c r="C845">
        <v>16633041</v>
      </c>
      <c r="D845">
        <v>15204468</v>
      </c>
      <c r="E845">
        <v>1</v>
      </c>
      <c r="F845">
        <v>1</v>
      </c>
      <c r="G845">
        <v>1</v>
      </c>
      <c r="H845">
        <v>3</v>
      </c>
      <c r="I845" t="s">
        <v>1545</v>
      </c>
      <c r="J845" t="s">
        <v>1546</v>
      </c>
      <c r="K845" t="s">
        <v>1547</v>
      </c>
      <c r="L845">
        <v>1348</v>
      </c>
      <c r="N845">
        <v>1009</v>
      </c>
      <c r="O845" t="s">
        <v>98</v>
      </c>
      <c r="P845" t="s">
        <v>98</v>
      </c>
      <c r="Q845">
        <v>1000</v>
      </c>
      <c r="W845">
        <v>0</v>
      </c>
      <c r="X845">
        <v>-909021926</v>
      </c>
      <c r="Y845">
        <v>2.0000000000000002E-5</v>
      </c>
      <c r="AA845">
        <v>120853.5</v>
      </c>
      <c r="AB845">
        <v>0</v>
      </c>
      <c r="AC845">
        <v>0</v>
      </c>
      <c r="AD845">
        <v>0</v>
      </c>
      <c r="AE845">
        <v>16950</v>
      </c>
      <c r="AF845">
        <v>0</v>
      </c>
      <c r="AG845">
        <v>0</v>
      </c>
      <c r="AH845">
        <v>0</v>
      </c>
      <c r="AI845">
        <v>7.13</v>
      </c>
      <c r="AJ845">
        <v>1</v>
      </c>
      <c r="AK845">
        <v>1</v>
      </c>
      <c r="AL845">
        <v>1</v>
      </c>
      <c r="AN845">
        <v>0</v>
      </c>
      <c r="AO845">
        <v>1</v>
      </c>
      <c r="AP845">
        <v>0</v>
      </c>
      <c r="AQ845">
        <v>0</v>
      </c>
      <c r="AR845">
        <v>0</v>
      </c>
      <c r="AS845" t="s">
        <v>6</v>
      </c>
      <c r="AT845">
        <v>2.0000000000000002E-5</v>
      </c>
      <c r="AU845" t="s">
        <v>6</v>
      </c>
      <c r="AV845">
        <v>0</v>
      </c>
      <c r="AW845">
        <v>2</v>
      </c>
      <c r="AX845">
        <v>16633053</v>
      </c>
      <c r="AY845">
        <v>1</v>
      </c>
      <c r="AZ845">
        <v>0</v>
      </c>
      <c r="BA845">
        <v>858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CX845">
        <f>Y845*Source!I414</f>
        <v>1.8060000000000003E-5</v>
      </c>
      <c r="CY845">
        <f>AA845</f>
        <v>120853.5</v>
      </c>
      <c r="CZ845">
        <f>AE845</f>
        <v>16950</v>
      </c>
      <c r="DA845">
        <f>AI845</f>
        <v>7.13</v>
      </c>
      <c r="DB845">
        <f>ROUND(ROUND(AT845*CZ845,2),2)</f>
        <v>0.34</v>
      </c>
      <c r="DC845">
        <f>ROUND(ROUND(AT845*AG845,2),2)</f>
        <v>0</v>
      </c>
    </row>
    <row r="846" spans="1:107" x14ac:dyDescent="0.2">
      <c r="A846">
        <f>ROW(Source!A415)</f>
        <v>415</v>
      </c>
      <c r="B846">
        <v>16630606</v>
      </c>
      <c r="C846">
        <v>16633054</v>
      </c>
      <c r="D846">
        <v>15446300</v>
      </c>
      <c r="E846">
        <v>1</v>
      </c>
      <c r="F846">
        <v>1</v>
      </c>
      <c r="G846">
        <v>1</v>
      </c>
      <c r="H846">
        <v>1</v>
      </c>
      <c r="I846" t="s">
        <v>1220</v>
      </c>
      <c r="J846" t="s">
        <v>6</v>
      </c>
      <c r="K846" t="s">
        <v>1221</v>
      </c>
      <c r="L846">
        <v>1191</v>
      </c>
      <c r="N846">
        <v>1013</v>
      </c>
      <c r="O846" t="s">
        <v>1148</v>
      </c>
      <c r="P846" t="s">
        <v>1148</v>
      </c>
      <c r="Q846">
        <v>1</v>
      </c>
      <c r="W846">
        <v>0</v>
      </c>
      <c r="X846">
        <v>912892513</v>
      </c>
      <c r="Y846">
        <v>5.1289999999999996</v>
      </c>
      <c r="AA846">
        <v>0</v>
      </c>
      <c r="AB846">
        <v>0</v>
      </c>
      <c r="AC846">
        <v>0</v>
      </c>
      <c r="AD846">
        <v>70.73</v>
      </c>
      <c r="AE846">
        <v>0</v>
      </c>
      <c r="AF846">
        <v>0</v>
      </c>
      <c r="AG846">
        <v>0</v>
      </c>
      <c r="AH846">
        <v>9.92</v>
      </c>
      <c r="AI846">
        <v>1</v>
      </c>
      <c r="AJ846">
        <v>1</v>
      </c>
      <c r="AK846">
        <v>1</v>
      </c>
      <c r="AL846">
        <v>7.13</v>
      </c>
      <c r="AN846">
        <v>0</v>
      </c>
      <c r="AO846">
        <v>1</v>
      </c>
      <c r="AP846">
        <v>1</v>
      </c>
      <c r="AQ846">
        <v>0</v>
      </c>
      <c r="AR846">
        <v>0</v>
      </c>
      <c r="AS846" t="s">
        <v>6</v>
      </c>
      <c r="AT846">
        <v>4.46</v>
      </c>
      <c r="AU846" t="s">
        <v>82</v>
      </c>
      <c r="AV846">
        <v>1</v>
      </c>
      <c r="AW846">
        <v>2</v>
      </c>
      <c r="AX846">
        <v>16633064</v>
      </c>
      <c r="AY846">
        <v>1</v>
      </c>
      <c r="AZ846">
        <v>0</v>
      </c>
      <c r="BA846">
        <v>859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CX846">
        <f>Y846*Source!I415</f>
        <v>15.386999999999999</v>
      </c>
      <c r="CY846">
        <f>AD846</f>
        <v>70.73</v>
      </c>
      <c r="CZ846">
        <f>AH846</f>
        <v>9.92</v>
      </c>
      <c r="DA846">
        <f>AL846</f>
        <v>7.13</v>
      </c>
      <c r="DB846">
        <f>ROUND((ROUND(AT846*CZ846,2)*1.15),2)</f>
        <v>50.88</v>
      </c>
      <c r="DC846">
        <f>ROUND((ROUND(AT846*AG846,2)*1.15),2)</f>
        <v>0</v>
      </c>
    </row>
    <row r="847" spans="1:107" x14ac:dyDescent="0.2">
      <c r="A847">
        <f>ROW(Source!A415)</f>
        <v>415</v>
      </c>
      <c r="B847">
        <v>16630606</v>
      </c>
      <c r="C847">
        <v>16633054</v>
      </c>
      <c r="D847">
        <v>15430395</v>
      </c>
      <c r="E847">
        <v>1</v>
      </c>
      <c r="F847">
        <v>1</v>
      </c>
      <c r="G847">
        <v>1</v>
      </c>
      <c r="H847">
        <v>1</v>
      </c>
      <c r="I847" t="s">
        <v>1149</v>
      </c>
      <c r="J847" t="s">
        <v>6</v>
      </c>
      <c r="K847" t="s">
        <v>1150</v>
      </c>
      <c r="L847">
        <v>1191</v>
      </c>
      <c r="N847">
        <v>1013</v>
      </c>
      <c r="O847" t="s">
        <v>1148</v>
      </c>
      <c r="P847" t="s">
        <v>1148</v>
      </c>
      <c r="Q847">
        <v>1</v>
      </c>
      <c r="W847">
        <v>0</v>
      </c>
      <c r="X847">
        <v>-1417349443</v>
      </c>
      <c r="Y847">
        <v>0.01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1</v>
      </c>
      <c r="AJ847">
        <v>1</v>
      </c>
      <c r="AK847">
        <v>7.13</v>
      </c>
      <c r="AL847">
        <v>1</v>
      </c>
      <c r="AN847">
        <v>0</v>
      </c>
      <c r="AO847">
        <v>1</v>
      </c>
      <c r="AP847">
        <v>0</v>
      </c>
      <c r="AQ847">
        <v>0</v>
      </c>
      <c r="AR847">
        <v>0</v>
      </c>
      <c r="AS847" t="s">
        <v>6</v>
      </c>
      <c r="AT847">
        <v>0.01</v>
      </c>
      <c r="AU847" t="s">
        <v>6</v>
      </c>
      <c r="AV847">
        <v>2</v>
      </c>
      <c r="AW847">
        <v>2</v>
      </c>
      <c r="AX847">
        <v>16633065</v>
      </c>
      <c r="AY847">
        <v>1</v>
      </c>
      <c r="AZ847">
        <v>2048</v>
      </c>
      <c r="BA847">
        <v>860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CX847">
        <f>Y847*Source!I415</f>
        <v>0.03</v>
      </c>
      <c r="CY847">
        <f>AD847</f>
        <v>0</v>
      </c>
      <c r="CZ847">
        <f>AH847</f>
        <v>0</v>
      </c>
      <c r="DA847">
        <f>AL847</f>
        <v>1</v>
      </c>
      <c r="DB847">
        <f>ROUND(ROUND(AT847*CZ847,2),2)</f>
        <v>0</v>
      </c>
      <c r="DC847">
        <f>ROUND(ROUND(AT847*AG847,2),2)</f>
        <v>0</v>
      </c>
    </row>
    <row r="848" spans="1:107" x14ac:dyDescent="0.2">
      <c r="A848">
        <f>ROW(Source!A415)</f>
        <v>415</v>
      </c>
      <c r="B848">
        <v>16630606</v>
      </c>
      <c r="C848">
        <v>16633054</v>
      </c>
      <c r="D848">
        <v>15249073</v>
      </c>
      <c r="E848">
        <v>1</v>
      </c>
      <c r="F848">
        <v>1</v>
      </c>
      <c r="G848">
        <v>1</v>
      </c>
      <c r="H848">
        <v>2</v>
      </c>
      <c r="I848" t="s">
        <v>1157</v>
      </c>
      <c r="J848" t="s">
        <v>1158</v>
      </c>
      <c r="K848" t="s">
        <v>1159</v>
      </c>
      <c r="L848">
        <v>1368</v>
      </c>
      <c r="N848">
        <v>1011</v>
      </c>
      <c r="O848" t="s">
        <v>1154</v>
      </c>
      <c r="P848" t="s">
        <v>1154</v>
      </c>
      <c r="Q848">
        <v>1</v>
      </c>
      <c r="W848">
        <v>0</v>
      </c>
      <c r="X848">
        <v>1372534845</v>
      </c>
      <c r="Y848">
        <v>1.2500000000000001E-2</v>
      </c>
      <c r="AA848">
        <v>0</v>
      </c>
      <c r="AB848">
        <v>468.51</v>
      </c>
      <c r="AC848">
        <v>11.6</v>
      </c>
      <c r="AD848">
        <v>0</v>
      </c>
      <c r="AE848">
        <v>0</v>
      </c>
      <c r="AF848">
        <v>65.709999999999994</v>
      </c>
      <c r="AG848">
        <v>11.6</v>
      </c>
      <c r="AH848">
        <v>0</v>
      </c>
      <c r="AI848">
        <v>1</v>
      </c>
      <c r="AJ848">
        <v>7.13</v>
      </c>
      <c r="AK848">
        <v>1</v>
      </c>
      <c r="AL848">
        <v>1</v>
      </c>
      <c r="AN848">
        <v>0</v>
      </c>
      <c r="AO848">
        <v>1</v>
      </c>
      <c r="AP848">
        <v>1</v>
      </c>
      <c r="AQ848">
        <v>0</v>
      </c>
      <c r="AR848">
        <v>0</v>
      </c>
      <c r="AS848" t="s">
        <v>6</v>
      </c>
      <c r="AT848">
        <v>0.01</v>
      </c>
      <c r="AU848" t="s">
        <v>81</v>
      </c>
      <c r="AV848">
        <v>0</v>
      </c>
      <c r="AW848">
        <v>2</v>
      </c>
      <c r="AX848">
        <v>16633066</v>
      </c>
      <c r="AY848">
        <v>1</v>
      </c>
      <c r="AZ848">
        <v>0</v>
      </c>
      <c r="BA848">
        <v>861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CX848">
        <f>Y848*Source!I415</f>
        <v>3.7500000000000006E-2</v>
      </c>
      <c r="CY848">
        <f>AB848</f>
        <v>468.51</v>
      </c>
      <c r="CZ848">
        <f>AF848</f>
        <v>65.709999999999994</v>
      </c>
      <c r="DA848">
        <f>AJ848</f>
        <v>7.13</v>
      </c>
      <c r="DB848">
        <f>ROUND((ROUND(AT848*CZ848,2)*1.25),2)</f>
        <v>0.83</v>
      </c>
      <c r="DC848">
        <f>ROUND((ROUND(AT848*AG848,2)*1.25),2)</f>
        <v>0.15</v>
      </c>
    </row>
    <row r="849" spans="1:107" x14ac:dyDescent="0.2">
      <c r="A849">
        <f>ROW(Source!A415)</f>
        <v>415</v>
      </c>
      <c r="B849">
        <v>16630606</v>
      </c>
      <c r="C849">
        <v>16633054</v>
      </c>
      <c r="D849">
        <v>15249308</v>
      </c>
      <c r="E849">
        <v>1</v>
      </c>
      <c r="F849">
        <v>1</v>
      </c>
      <c r="G849">
        <v>1</v>
      </c>
      <c r="H849">
        <v>2</v>
      </c>
      <c r="I849" t="s">
        <v>1521</v>
      </c>
      <c r="J849" t="s">
        <v>1522</v>
      </c>
      <c r="K849" t="s">
        <v>1523</v>
      </c>
      <c r="L849">
        <v>1368</v>
      </c>
      <c r="N849">
        <v>1011</v>
      </c>
      <c r="O849" t="s">
        <v>1154</v>
      </c>
      <c r="P849" t="s">
        <v>1154</v>
      </c>
      <c r="Q849">
        <v>1</v>
      </c>
      <c r="W849">
        <v>0</v>
      </c>
      <c r="X849">
        <v>792402865</v>
      </c>
      <c r="Y849">
        <v>0.61250000000000004</v>
      </c>
      <c r="AA849">
        <v>0</v>
      </c>
      <c r="AB849">
        <v>8.56</v>
      </c>
      <c r="AC849">
        <v>0</v>
      </c>
      <c r="AD849">
        <v>0</v>
      </c>
      <c r="AE849">
        <v>0</v>
      </c>
      <c r="AF849">
        <v>1.2</v>
      </c>
      <c r="AG849">
        <v>0</v>
      </c>
      <c r="AH849">
        <v>0</v>
      </c>
      <c r="AI849">
        <v>1</v>
      </c>
      <c r="AJ849">
        <v>7.13</v>
      </c>
      <c r="AK849">
        <v>1</v>
      </c>
      <c r="AL849">
        <v>1</v>
      </c>
      <c r="AN849">
        <v>0</v>
      </c>
      <c r="AO849">
        <v>1</v>
      </c>
      <c r="AP849">
        <v>1</v>
      </c>
      <c r="AQ849">
        <v>0</v>
      </c>
      <c r="AR849">
        <v>0</v>
      </c>
      <c r="AS849" t="s">
        <v>6</v>
      </c>
      <c r="AT849">
        <v>0.49</v>
      </c>
      <c r="AU849" t="s">
        <v>81</v>
      </c>
      <c r="AV849">
        <v>0</v>
      </c>
      <c r="AW849">
        <v>2</v>
      </c>
      <c r="AX849">
        <v>16633067</v>
      </c>
      <c r="AY849">
        <v>1</v>
      </c>
      <c r="AZ849">
        <v>0</v>
      </c>
      <c r="BA849">
        <v>862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CX849">
        <f>Y849*Source!I415</f>
        <v>1.8375000000000001</v>
      </c>
      <c r="CY849">
        <f>AB849</f>
        <v>8.56</v>
      </c>
      <c r="CZ849">
        <f>AF849</f>
        <v>1.2</v>
      </c>
      <c r="DA849">
        <f>AJ849</f>
        <v>7.13</v>
      </c>
      <c r="DB849">
        <f>ROUND((ROUND(AT849*CZ849,2)*1.25),2)</f>
        <v>0.74</v>
      </c>
      <c r="DC849">
        <f>ROUND((ROUND(AT849*AG849,2)*1.25),2)</f>
        <v>0</v>
      </c>
    </row>
    <row r="850" spans="1:107" x14ac:dyDescent="0.2">
      <c r="A850">
        <f>ROW(Source!A415)</f>
        <v>415</v>
      </c>
      <c r="B850">
        <v>16630606</v>
      </c>
      <c r="C850">
        <v>16633054</v>
      </c>
      <c r="D850">
        <v>15249377</v>
      </c>
      <c r="E850">
        <v>1</v>
      </c>
      <c r="F850">
        <v>1</v>
      </c>
      <c r="G850">
        <v>1</v>
      </c>
      <c r="H850">
        <v>2</v>
      </c>
      <c r="I850" t="s">
        <v>1222</v>
      </c>
      <c r="J850" t="s">
        <v>1223</v>
      </c>
      <c r="K850" t="s">
        <v>1224</v>
      </c>
      <c r="L850">
        <v>1368</v>
      </c>
      <c r="N850">
        <v>1011</v>
      </c>
      <c r="O850" t="s">
        <v>1154</v>
      </c>
      <c r="P850" t="s">
        <v>1154</v>
      </c>
      <c r="Q850">
        <v>1</v>
      </c>
      <c r="W850">
        <v>0</v>
      </c>
      <c r="X850">
        <v>-353815937</v>
      </c>
      <c r="Y850">
        <v>0.53749999999999998</v>
      </c>
      <c r="AA850">
        <v>0</v>
      </c>
      <c r="AB850">
        <v>57.75</v>
      </c>
      <c r="AC850">
        <v>0</v>
      </c>
      <c r="AD850">
        <v>0</v>
      </c>
      <c r="AE850">
        <v>0</v>
      </c>
      <c r="AF850">
        <v>8.1</v>
      </c>
      <c r="AG850">
        <v>0</v>
      </c>
      <c r="AH850">
        <v>0</v>
      </c>
      <c r="AI850">
        <v>1</v>
      </c>
      <c r="AJ850">
        <v>7.13</v>
      </c>
      <c r="AK850">
        <v>1</v>
      </c>
      <c r="AL850">
        <v>1</v>
      </c>
      <c r="AN850">
        <v>0</v>
      </c>
      <c r="AO850">
        <v>1</v>
      </c>
      <c r="AP850">
        <v>1</v>
      </c>
      <c r="AQ850">
        <v>0</v>
      </c>
      <c r="AR850">
        <v>0</v>
      </c>
      <c r="AS850" t="s">
        <v>6</v>
      </c>
      <c r="AT850">
        <v>0.43</v>
      </c>
      <c r="AU850" t="s">
        <v>81</v>
      </c>
      <c r="AV850">
        <v>0</v>
      </c>
      <c r="AW850">
        <v>2</v>
      </c>
      <c r="AX850">
        <v>16633068</v>
      </c>
      <c r="AY850">
        <v>1</v>
      </c>
      <c r="AZ850">
        <v>0</v>
      </c>
      <c r="BA850">
        <v>863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CX850">
        <f>Y850*Source!I415</f>
        <v>1.6124999999999998</v>
      </c>
      <c r="CY850">
        <f>AB850</f>
        <v>57.75</v>
      </c>
      <c r="CZ850">
        <f>AF850</f>
        <v>8.1</v>
      </c>
      <c r="DA850">
        <f>AJ850</f>
        <v>7.13</v>
      </c>
      <c r="DB850">
        <f>ROUND((ROUND(AT850*CZ850,2)*1.25),2)</f>
        <v>4.3499999999999996</v>
      </c>
      <c r="DC850">
        <f>ROUND((ROUND(AT850*AG850,2)*1.25),2)</f>
        <v>0</v>
      </c>
    </row>
    <row r="851" spans="1:107" x14ac:dyDescent="0.2">
      <c r="A851">
        <f>ROW(Source!A415)</f>
        <v>415</v>
      </c>
      <c r="B851">
        <v>16630606</v>
      </c>
      <c r="C851">
        <v>16633054</v>
      </c>
      <c r="D851">
        <v>15165634</v>
      </c>
      <c r="E851">
        <v>1</v>
      </c>
      <c r="F851">
        <v>1</v>
      </c>
      <c r="G851">
        <v>1</v>
      </c>
      <c r="H851">
        <v>3</v>
      </c>
      <c r="I851" t="s">
        <v>1524</v>
      </c>
      <c r="J851" t="s">
        <v>1525</v>
      </c>
      <c r="K851" t="s">
        <v>1526</v>
      </c>
      <c r="L851">
        <v>1339</v>
      </c>
      <c r="N851">
        <v>1007</v>
      </c>
      <c r="O851" t="s">
        <v>203</v>
      </c>
      <c r="P851" t="s">
        <v>203</v>
      </c>
      <c r="Q851">
        <v>1</v>
      </c>
      <c r="W851">
        <v>0</v>
      </c>
      <c r="X851">
        <v>1706747518</v>
      </c>
      <c r="Y851">
        <v>8.3999999999999995E-3</v>
      </c>
      <c r="AA851">
        <v>274.58</v>
      </c>
      <c r="AB851">
        <v>0</v>
      </c>
      <c r="AC851">
        <v>0</v>
      </c>
      <c r="AD851">
        <v>0</v>
      </c>
      <c r="AE851">
        <v>38.51</v>
      </c>
      <c r="AF851">
        <v>0</v>
      </c>
      <c r="AG851">
        <v>0</v>
      </c>
      <c r="AH851">
        <v>0</v>
      </c>
      <c r="AI851">
        <v>7.13</v>
      </c>
      <c r="AJ851">
        <v>1</v>
      </c>
      <c r="AK851">
        <v>1</v>
      </c>
      <c r="AL851">
        <v>1</v>
      </c>
      <c r="AN851">
        <v>0</v>
      </c>
      <c r="AO851">
        <v>1</v>
      </c>
      <c r="AP851">
        <v>0</v>
      </c>
      <c r="AQ851">
        <v>0</v>
      </c>
      <c r="AR851">
        <v>0</v>
      </c>
      <c r="AS851" t="s">
        <v>6</v>
      </c>
      <c r="AT851">
        <v>8.3999999999999995E-3</v>
      </c>
      <c r="AU851" t="s">
        <v>6</v>
      </c>
      <c r="AV851">
        <v>0</v>
      </c>
      <c r="AW851">
        <v>2</v>
      </c>
      <c r="AX851">
        <v>16633069</v>
      </c>
      <c r="AY851">
        <v>1</v>
      </c>
      <c r="AZ851">
        <v>0</v>
      </c>
      <c r="BA851">
        <v>864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CX851">
        <f>Y851*Source!I415</f>
        <v>2.52E-2</v>
      </c>
      <c r="CY851">
        <f>AA851</f>
        <v>274.58</v>
      </c>
      <c r="CZ851">
        <f>AE851</f>
        <v>38.51</v>
      </c>
      <c r="DA851">
        <f>AI851</f>
        <v>7.13</v>
      </c>
      <c r="DB851">
        <f>ROUND(ROUND(AT851*CZ851,2),2)</f>
        <v>0.32</v>
      </c>
      <c r="DC851">
        <f>ROUND(ROUND(AT851*AG851,2),2)</f>
        <v>0</v>
      </c>
    </row>
    <row r="852" spans="1:107" x14ac:dyDescent="0.2">
      <c r="A852">
        <f>ROW(Source!A415)</f>
        <v>415</v>
      </c>
      <c r="B852">
        <v>16630606</v>
      </c>
      <c r="C852">
        <v>16633054</v>
      </c>
      <c r="D852">
        <v>15165653</v>
      </c>
      <c r="E852">
        <v>1</v>
      </c>
      <c r="F852">
        <v>1</v>
      </c>
      <c r="G852">
        <v>1</v>
      </c>
      <c r="H852">
        <v>3</v>
      </c>
      <c r="I852" t="s">
        <v>1527</v>
      </c>
      <c r="J852" t="s">
        <v>1528</v>
      </c>
      <c r="K852" t="s">
        <v>1529</v>
      </c>
      <c r="L852">
        <v>1339</v>
      </c>
      <c r="N852">
        <v>1007</v>
      </c>
      <c r="O852" t="s">
        <v>203</v>
      </c>
      <c r="P852" t="s">
        <v>203</v>
      </c>
      <c r="Q852">
        <v>1</v>
      </c>
      <c r="W852">
        <v>0</v>
      </c>
      <c r="X852">
        <v>1262771840</v>
      </c>
      <c r="Y852">
        <v>3.6999999999999998E-2</v>
      </c>
      <c r="AA852">
        <v>44.35</v>
      </c>
      <c r="AB852">
        <v>0</v>
      </c>
      <c r="AC852">
        <v>0</v>
      </c>
      <c r="AD852">
        <v>0</v>
      </c>
      <c r="AE852">
        <v>6.22</v>
      </c>
      <c r="AF852">
        <v>0</v>
      </c>
      <c r="AG852">
        <v>0</v>
      </c>
      <c r="AH852">
        <v>0</v>
      </c>
      <c r="AI852">
        <v>7.13</v>
      </c>
      <c r="AJ852">
        <v>1</v>
      </c>
      <c r="AK852">
        <v>1</v>
      </c>
      <c r="AL852">
        <v>1</v>
      </c>
      <c r="AN852">
        <v>0</v>
      </c>
      <c r="AO852">
        <v>1</v>
      </c>
      <c r="AP852">
        <v>0</v>
      </c>
      <c r="AQ852">
        <v>0</v>
      </c>
      <c r="AR852">
        <v>0</v>
      </c>
      <c r="AS852" t="s">
        <v>6</v>
      </c>
      <c r="AT852">
        <v>3.6999999999999998E-2</v>
      </c>
      <c r="AU852" t="s">
        <v>6</v>
      </c>
      <c r="AV852">
        <v>0</v>
      </c>
      <c r="AW852">
        <v>2</v>
      </c>
      <c r="AX852">
        <v>16633070</v>
      </c>
      <c r="AY852">
        <v>1</v>
      </c>
      <c r="AZ852">
        <v>0</v>
      </c>
      <c r="BA852">
        <v>865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CX852">
        <f>Y852*Source!I415</f>
        <v>0.11099999999999999</v>
      </c>
      <c r="CY852">
        <f>AA852</f>
        <v>44.35</v>
      </c>
      <c r="CZ852">
        <f>AE852</f>
        <v>6.22</v>
      </c>
      <c r="DA852">
        <f>AI852</f>
        <v>7.13</v>
      </c>
      <c r="DB852">
        <f>ROUND(ROUND(AT852*CZ852,2),2)</f>
        <v>0.23</v>
      </c>
      <c r="DC852">
        <f>ROUND(ROUND(AT852*AG852,2),2)</f>
        <v>0</v>
      </c>
    </row>
    <row r="853" spans="1:107" x14ac:dyDescent="0.2">
      <c r="A853">
        <f>ROW(Source!A415)</f>
        <v>415</v>
      </c>
      <c r="B853">
        <v>16630606</v>
      </c>
      <c r="C853">
        <v>16633054</v>
      </c>
      <c r="D853">
        <v>15168763</v>
      </c>
      <c r="E853">
        <v>1</v>
      </c>
      <c r="F853">
        <v>1</v>
      </c>
      <c r="G853">
        <v>1</v>
      </c>
      <c r="H853">
        <v>3</v>
      </c>
      <c r="I853" t="s">
        <v>1560</v>
      </c>
      <c r="J853" t="s">
        <v>1561</v>
      </c>
      <c r="K853" t="s">
        <v>1562</v>
      </c>
      <c r="L853">
        <v>1348</v>
      </c>
      <c r="N853">
        <v>1009</v>
      </c>
      <c r="O853" t="s">
        <v>98</v>
      </c>
      <c r="P853" t="s">
        <v>98</v>
      </c>
      <c r="Q853">
        <v>1000</v>
      </c>
      <c r="W853">
        <v>0</v>
      </c>
      <c r="X853">
        <v>-1068056325</v>
      </c>
      <c r="Y853">
        <v>1.4999999999999999E-4</v>
      </c>
      <c r="AA853">
        <v>73881.06</v>
      </c>
      <c r="AB853">
        <v>0</v>
      </c>
      <c r="AC853">
        <v>0</v>
      </c>
      <c r="AD853">
        <v>0</v>
      </c>
      <c r="AE853">
        <v>10362</v>
      </c>
      <c r="AF853">
        <v>0</v>
      </c>
      <c r="AG853">
        <v>0</v>
      </c>
      <c r="AH853">
        <v>0</v>
      </c>
      <c r="AI853">
        <v>7.13</v>
      </c>
      <c r="AJ853">
        <v>1</v>
      </c>
      <c r="AK853">
        <v>1</v>
      </c>
      <c r="AL853">
        <v>1</v>
      </c>
      <c r="AN853">
        <v>0</v>
      </c>
      <c r="AO853">
        <v>1</v>
      </c>
      <c r="AP853">
        <v>0</v>
      </c>
      <c r="AQ853">
        <v>0</v>
      </c>
      <c r="AR853">
        <v>0</v>
      </c>
      <c r="AS853" t="s">
        <v>6</v>
      </c>
      <c r="AT853">
        <v>1.4999999999999999E-4</v>
      </c>
      <c r="AU853" t="s">
        <v>6</v>
      </c>
      <c r="AV853">
        <v>0</v>
      </c>
      <c r="AW853">
        <v>2</v>
      </c>
      <c r="AX853">
        <v>16633071</v>
      </c>
      <c r="AY853">
        <v>1</v>
      </c>
      <c r="AZ853">
        <v>0</v>
      </c>
      <c r="BA853">
        <v>866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CX853">
        <f>Y853*Source!I415</f>
        <v>4.4999999999999999E-4</v>
      </c>
      <c r="CY853">
        <f>AA853</f>
        <v>73881.06</v>
      </c>
      <c r="CZ853">
        <f>AE853</f>
        <v>10362</v>
      </c>
      <c r="DA853">
        <f>AI853</f>
        <v>7.13</v>
      </c>
      <c r="DB853">
        <f>ROUND(ROUND(AT853*CZ853,2),2)</f>
        <v>1.55</v>
      </c>
      <c r="DC853">
        <f>ROUND(ROUND(AT853*AG853,2),2)</f>
        <v>0</v>
      </c>
    </row>
    <row r="854" spans="1:107" x14ac:dyDescent="0.2">
      <c r="A854">
        <f>ROW(Source!A415)</f>
        <v>415</v>
      </c>
      <c r="B854">
        <v>16630606</v>
      </c>
      <c r="C854">
        <v>16633054</v>
      </c>
      <c r="D854">
        <v>15227603</v>
      </c>
      <c r="E854">
        <v>1</v>
      </c>
      <c r="F854">
        <v>1</v>
      </c>
      <c r="G854">
        <v>1</v>
      </c>
      <c r="H854">
        <v>3</v>
      </c>
      <c r="I854" t="s">
        <v>1665</v>
      </c>
      <c r="J854" t="s">
        <v>1666</v>
      </c>
      <c r="K854" t="s">
        <v>1667</v>
      </c>
      <c r="L854">
        <v>1301</v>
      </c>
      <c r="N854">
        <v>1003</v>
      </c>
      <c r="O854" t="s">
        <v>150</v>
      </c>
      <c r="P854" t="s">
        <v>150</v>
      </c>
      <c r="Q854">
        <v>1</v>
      </c>
      <c r="W854">
        <v>0</v>
      </c>
      <c r="X854">
        <v>1526288398</v>
      </c>
      <c r="Y854">
        <v>0.4</v>
      </c>
      <c r="AA854">
        <v>288.77</v>
      </c>
      <c r="AB854">
        <v>0</v>
      </c>
      <c r="AC854">
        <v>0</v>
      </c>
      <c r="AD854">
        <v>0</v>
      </c>
      <c r="AE854">
        <v>40.5</v>
      </c>
      <c r="AF854">
        <v>0</v>
      </c>
      <c r="AG854">
        <v>0</v>
      </c>
      <c r="AH854">
        <v>0</v>
      </c>
      <c r="AI854">
        <v>7.13</v>
      </c>
      <c r="AJ854">
        <v>1</v>
      </c>
      <c r="AK854">
        <v>1</v>
      </c>
      <c r="AL854">
        <v>1</v>
      </c>
      <c r="AN854">
        <v>0</v>
      </c>
      <c r="AO854">
        <v>1</v>
      </c>
      <c r="AP854">
        <v>0</v>
      </c>
      <c r="AQ854">
        <v>0</v>
      </c>
      <c r="AR854">
        <v>0</v>
      </c>
      <c r="AS854" t="s">
        <v>6</v>
      </c>
      <c r="AT854">
        <v>0.4</v>
      </c>
      <c r="AU854" t="s">
        <v>6</v>
      </c>
      <c r="AV854">
        <v>0</v>
      </c>
      <c r="AW854">
        <v>2</v>
      </c>
      <c r="AX854">
        <v>16633073</v>
      </c>
      <c r="AY854">
        <v>1</v>
      </c>
      <c r="AZ854">
        <v>0</v>
      </c>
      <c r="BA854">
        <v>868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CX854">
        <f>Y854*Source!I415</f>
        <v>1.2000000000000002</v>
      </c>
      <c r="CY854">
        <f>AA854</f>
        <v>288.77</v>
      </c>
      <c r="CZ854">
        <f>AE854</f>
        <v>40.5</v>
      </c>
      <c r="DA854">
        <f>AI854</f>
        <v>7.13</v>
      </c>
      <c r="DB854">
        <f>ROUND(ROUND(AT854*CZ854,2),2)</f>
        <v>16.2</v>
      </c>
      <c r="DC854">
        <f>ROUND(ROUND(AT854*AG854,2),2)</f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6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16630965</v>
      </c>
      <c r="C1">
        <v>16630961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1146</v>
      </c>
      <c r="J1" t="s">
        <v>6</v>
      </c>
      <c r="K1" t="s">
        <v>1147</v>
      </c>
      <c r="L1">
        <v>1191</v>
      </c>
      <c r="N1">
        <v>1013</v>
      </c>
      <c r="O1" t="s">
        <v>1148</v>
      </c>
      <c r="P1" t="s">
        <v>1148</v>
      </c>
      <c r="Q1">
        <v>1</v>
      </c>
      <c r="X1">
        <v>103.91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103.91</v>
      </c>
      <c r="AH1">
        <v>2</v>
      </c>
      <c r="AI1">
        <v>16630962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16630966</v>
      </c>
      <c r="C2">
        <v>16630961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1149</v>
      </c>
      <c r="J2" t="s">
        <v>6</v>
      </c>
      <c r="K2" t="s">
        <v>1150</v>
      </c>
      <c r="L2">
        <v>1191</v>
      </c>
      <c r="N2">
        <v>1013</v>
      </c>
      <c r="O2" t="s">
        <v>1148</v>
      </c>
      <c r="P2" t="s">
        <v>1148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16630963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16630967</v>
      </c>
      <c r="C3">
        <v>16630961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1151</v>
      </c>
      <c r="J3" t="s">
        <v>1152</v>
      </c>
      <c r="K3" t="s">
        <v>1153</v>
      </c>
      <c r="L3">
        <v>1368</v>
      </c>
      <c r="N3">
        <v>1011</v>
      </c>
      <c r="O3" t="s">
        <v>1154</v>
      </c>
      <c r="P3" t="s">
        <v>1154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16630964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16630976</v>
      </c>
      <c r="C4">
        <v>16630968</v>
      </c>
      <c r="D4">
        <v>15432010</v>
      </c>
      <c r="E4">
        <v>1</v>
      </c>
      <c r="F4">
        <v>1</v>
      </c>
      <c r="G4">
        <v>1</v>
      </c>
      <c r="H4">
        <v>1</v>
      </c>
      <c r="I4" t="s">
        <v>1155</v>
      </c>
      <c r="J4" t="s">
        <v>6</v>
      </c>
      <c r="K4" t="s">
        <v>1156</v>
      </c>
      <c r="L4">
        <v>1191</v>
      </c>
      <c r="N4">
        <v>1013</v>
      </c>
      <c r="O4" t="s">
        <v>1148</v>
      </c>
      <c r="P4" t="s">
        <v>1148</v>
      </c>
      <c r="Q4">
        <v>1</v>
      </c>
      <c r="X4">
        <v>75.150000000000006</v>
      </c>
      <c r="Y4">
        <v>0</v>
      </c>
      <c r="Z4">
        <v>0</v>
      </c>
      <c r="AA4">
        <v>0</v>
      </c>
      <c r="AB4">
        <v>8.02</v>
      </c>
      <c r="AC4">
        <v>0</v>
      </c>
      <c r="AD4">
        <v>1</v>
      </c>
      <c r="AE4">
        <v>1</v>
      </c>
      <c r="AF4" t="s">
        <v>31</v>
      </c>
      <c r="AG4">
        <v>60.120000000000005</v>
      </c>
      <c r="AH4">
        <v>2</v>
      </c>
      <c r="AI4">
        <v>16630969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16630977</v>
      </c>
      <c r="C5">
        <v>16630968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1149</v>
      </c>
      <c r="J5" t="s">
        <v>6</v>
      </c>
      <c r="K5" t="s">
        <v>1150</v>
      </c>
      <c r="L5">
        <v>1191</v>
      </c>
      <c r="N5">
        <v>1013</v>
      </c>
      <c r="O5" t="s">
        <v>1148</v>
      </c>
      <c r="P5" t="s">
        <v>1148</v>
      </c>
      <c r="Q5">
        <v>1</v>
      </c>
      <c r="X5">
        <v>4.2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31</v>
      </c>
      <c r="AG5">
        <v>3.3600000000000003</v>
      </c>
      <c r="AH5">
        <v>2</v>
      </c>
      <c r="AI5">
        <v>16630970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16630978</v>
      </c>
      <c r="C6">
        <v>16630968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1151</v>
      </c>
      <c r="J6" t="s">
        <v>1152</v>
      </c>
      <c r="K6" t="s">
        <v>1153</v>
      </c>
      <c r="L6">
        <v>1368</v>
      </c>
      <c r="N6">
        <v>1011</v>
      </c>
      <c r="O6" t="s">
        <v>1154</v>
      </c>
      <c r="P6" t="s">
        <v>1154</v>
      </c>
      <c r="Q6">
        <v>1</v>
      </c>
      <c r="X6">
        <v>1.73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31</v>
      </c>
      <c r="AG6">
        <v>1.3840000000000001</v>
      </c>
      <c r="AH6">
        <v>2</v>
      </c>
      <c r="AI6">
        <v>16630971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ROW(Source!A29)</f>
        <v>29</v>
      </c>
      <c r="B7">
        <v>16630979</v>
      </c>
      <c r="C7">
        <v>16630968</v>
      </c>
      <c r="D7">
        <v>15249073</v>
      </c>
      <c r="E7">
        <v>1</v>
      </c>
      <c r="F7">
        <v>1</v>
      </c>
      <c r="G7">
        <v>1</v>
      </c>
      <c r="H7">
        <v>2</v>
      </c>
      <c r="I7" t="s">
        <v>1157</v>
      </c>
      <c r="J7" t="s">
        <v>1158</v>
      </c>
      <c r="K7" t="s">
        <v>1159</v>
      </c>
      <c r="L7">
        <v>1368</v>
      </c>
      <c r="N7">
        <v>1011</v>
      </c>
      <c r="O7" t="s">
        <v>1154</v>
      </c>
      <c r="P7" t="s">
        <v>1154</v>
      </c>
      <c r="Q7">
        <v>1</v>
      </c>
      <c r="X7">
        <v>2.4700000000000002</v>
      </c>
      <c r="Y7">
        <v>0</v>
      </c>
      <c r="Z7">
        <v>65.709999999999994</v>
      </c>
      <c r="AA7">
        <v>11.6</v>
      </c>
      <c r="AB7">
        <v>0</v>
      </c>
      <c r="AC7">
        <v>0</v>
      </c>
      <c r="AD7">
        <v>1</v>
      </c>
      <c r="AE7">
        <v>0</v>
      </c>
      <c r="AF7" t="s">
        <v>31</v>
      </c>
      <c r="AG7">
        <v>1.9760000000000002</v>
      </c>
      <c r="AH7">
        <v>2</v>
      </c>
      <c r="AI7">
        <v>16630972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ROW(Source!A29)</f>
        <v>29</v>
      </c>
      <c r="B8">
        <v>16630980</v>
      </c>
      <c r="C8">
        <v>16630968</v>
      </c>
      <c r="D8">
        <v>15170039</v>
      </c>
      <c r="E8">
        <v>1</v>
      </c>
      <c r="F8">
        <v>1</v>
      </c>
      <c r="G8">
        <v>1</v>
      </c>
      <c r="H8">
        <v>3</v>
      </c>
      <c r="I8" t="s">
        <v>1160</v>
      </c>
      <c r="J8" t="s">
        <v>1161</v>
      </c>
      <c r="K8" t="s">
        <v>1162</v>
      </c>
      <c r="L8">
        <v>1348</v>
      </c>
      <c r="N8">
        <v>1009</v>
      </c>
      <c r="O8" t="s">
        <v>98</v>
      </c>
      <c r="P8" t="s">
        <v>98</v>
      </c>
      <c r="Q8">
        <v>1000</v>
      </c>
      <c r="X8">
        <v>1.2E-2</v>
      </c>
      <c r="Y8">
        <v>11978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30</v>
      </c>
      <c r="AG8">
        <v>0</v>
      </c>
      <c r="AH8">
        <v>2</v>
      </c>
      <c r="AI8">
        <v>16630973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ROW(Source!A29)</f>
        <v>29</v>
      </c>
      <c r="B9">
        <v>16630981</v>
      </c>
      <c r="C9">
        <v>16630968</v>
      </c>
      <c r="D9">
        <v>15189796</v>
      </c>
      <c r="E9">
        <v>1</v>
      </c>
      <c r="F9">
        <v>1</v>
      </c>
      <c r="G9">
        <v>1</v>
      </c>
      <c r="H9">
        <v>3</v>
      </c>
      <c r="I9" t="s">
        <v>1163</v>
      </c>
      <c r="J9" t="s">
        <v>1164</v>
      </c>
      <c r="K9" t="s">
        <v>1165</v>
      </c>
      <c r="L9">
        <v>1348</v>
      </c>
      <c r="N9">
        <v>1009</v>
      </c>
      <c r="O9" t="s">
        <v>98</v>
      </c>
      <c r="P9" t="s">
        <v>98</v>
      </c>
      <c r="Q9">
        <v>1000</v>
      </c>
      <c r="X9">
        <v>3.5000000000000003E-2</v>
      </c>
      <c r="Y9">
        <v>5989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30</v>
      </c>
      <c r="AG9">
        <v>0</v>
      </c>
      <c r="AH9">
        <v>2</v>
      </c>
      <c r="AI9">
        <v>16630974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ROW(Source!A29)</f>
        <v>29</v>
      </c>
      <c r="B10">
        <v>16630982</v>
      </c>
      <c r="C10">
        <v>16630968</v>
      </c>
      <c r="D10">
        <v>15162522</v>
      </c>
      <c r="E10">
        <v>17</v>
      </c>
      <c r="F10">
        <v>1</v>
      </c>
      <c r="G10">
        <v>1</v>
      </c>
      <c r="H10">
        <v>3</v>
      </c>
      <c r="I10" t="s">
        <v>1668</v>
      </c>
      <c r="J10" t="s">
        <v>6</v>
      </c>
      <c r="K10" t="s">
        <v>1669</v>
      </c>
      <c r="L10">
        <v>1354</v>
      </c>
      <c r="N10">
        <v>1010</v>
      </c>
      <c r="O10" t="s">
        <v>132</v>
      </c>
      <c r="P10" t="s">
        <v>132</v>
      </c>
      <c r="Q10">
        <v>1</v>
      </c>
      <c r="X10">
        <v>100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 t="s">
        <v>30</v>
      </c>
      <c r="AG10">
        <v>0</v>
      </c>
      <c r="AH10">
        <v>3</v>
      </c>
      <c r="AI10">
        <v>-1</v>
      </c>
      <c r="AJ10" t="s">
        <v>6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ROW(Source!A29)</f>
        <v>29</v>
      </c>
      <c r="B11">
        <v>16630983</v>
      </c>
      <c r="C11">
        <v>16630968</v>
      </c>
      <c r="D11">
        <v>15196771</v>
      </c>
      <c r="E11">
        <v>1</v>
      </c>
      <c r="F11">
        <v>1</v>
      </c>
      <c r="G11">
        <v>1</v>
      </c>
      <c r="H11">
        <v>3</v>
      </c>
      <c r="I11" t="s">
        <v>1166</v>
      </c>
      <c r="J11" t="s">
        <v>1167</v>
      </c>
      <c r="K11" t="s">
        <v>1168</v>
      </c>
      <c r="L11">
        <v>1301</v>
      </c>
      <c r="N11">
        <v>1003</v>
      </c>
      <c r="O11" t="s">
        <v>150</v>
      </c>
      <c r="P11" t="s">
        <v>150</v>
      </c>
      <c r="Q11">
        <v>1</v>
      </c>
      <c r="X11">
        <v>400</v>
      </c>
      <c r="Y11">
        <v>3.2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30</v>
      </c>
      <c r="AG11">
        <v>0</v>
      </c>
      <c r="AH11">
        <v>2</v>
      </c>
      <c r="AI11">
        <v>16630975</v>
      </c>
      <c r="AJ11">
        <v>10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ROW(Source!A30)</f>
        <v>30</v>
      </c>
      <c r="B12">
        <v>16630986</v>
      </c>
      <c r="C12">
        <v>16630984</v>
      </c>
      <c r="D12">
        <v>15430517</v>
      </c>
      <c r="E12">
        <v>1</v>
      </c>
      <c r="F12">
        <v>1</v>
      </c>
      <c r="G12">
        <v>1</v>
      </c>
      <c r="H12">
        <v>1</v>
      </c>
      <c r="I12" t="s">
        <v>1169</v>
      </c>
      <c r="J12" t="s">
        <v>6</v>
      </c>
      <c r="K12" t="s">
        <v>1170</v>
      </c>
      <c r="L12">
        <v>1191</v>
      </c>
      <c r="N12">
        <v>1013</v>
      </c>
      <c r="O12" t="s">
        <v>1148</v>
      </c>
      <c r="P12" t="s">
        <v>1148</v>
      </c>
      <c r="Q12">
        <v>1</v>
      </c>
      <c r="X12">
        <v>7.67</v>
      </c>
      <c r="Y12">
        <v>0</v>
      </c>
      <c r="Z12">
        <v>0</v>
      </c>
      <c r="AA12">
        <v>0</v>
      </c>
      <c r="AB12">
        <v>7.8</v>
      </c>
      <c r="AC12">
        <v>0</v>
      </c>
      <c r="AD12">
        <v>1</v>
      </c>
      <c r="AE12">
        <v>1</v>
      </c>
      <c r="AF12" t="s">
        <v>6</v>
      </c>
      <c r="AG12">
        <v>7.67</v>
      </c>
      <c r="AH12">
        <v>2</v>
      </c>
      <c r="AI12">
        <v>16630985</v>
      </c>
      <c r="AJ12">
        <v>11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ROW(Source!A30)</f>
        <v>30</v>
      </c>
      <c r="B13">
        <v>16630987</v>
      </c>
      <c r="C13">
        <v>16630984</v>
      </c>
      <c r="D13">
        <v>15164566</v>
      </c>
      <c r="E13">
        <v>17</v>
      </c>
      <c r="F13">
        <v>1</v>
      </c>
      <c r="G13">
        <v>1</v>
      </c>
      <c r="H13">
        <v>3</v>
      </c>
      <c r="I13" t="s">
        <v>1670</v>
      </c>
      <c r="J13" t="s">
        <v>6</v>
      </c>
      <c r="K13" t="s">
        <v>1671</v>
      </c>
      <c r="L13">
        <v>1348</v>
      </c>
      <c r="N13">
        <v>1009</v>
      </c>
      <c r="O13" t="s">
        <v>98</v>
      </c>
      <c r="P13" t="s">
        <v>98</v>
      </c>
      <c r="Q13">
        <v>1000</v>
      </c>
      <c r="X13">
        <v>0.7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 t="s">
        <v>6</v>
      </c>
      <c r="AG13">
        <v>0.7</v>
      </c>
      <c r="AH13">
        <v>3</v>
      </c>
      <c r="AI13">
        <v>-1</v>
      </c>
      <c r="AJ13" t="s">
        <v>6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ROW(Source!A31)</f>
        <v>31</v>
      </c>
      <c r="B14">
        <v>16630992</v>
      </c>
      <c r="C14">
        <v>16630988</v>
      </c>
      <c r="D14">
        <v>15430517</v>
      </c>
      <c r="E14">
        <v>1</v>
      </c>
      <c r="F14">
        <v>1</v>
      </c>
      <c r="G14">
        <v>1</v>
      </c>
      <c r="H14">
        <v>1</v>
      </c>
      <c r="I14" t="s">
        <v>1169</v>
      </c>
      <c r="J14" t="s">
        <v>6</v>
      </c>
      <c r="K14" t="s">
        <v>1170</v>
      </c>
      <c r="L14">
        <v>1191</v>
      </c>
      <c r="N14">
        <v>1013</v>
      </c>
      <c r="O14" t="s">
        <v>1148</v>
      </c>
      <c r="P14" t="s">
        <v>1148</v>
      </c>
      <c r="Q14">
        <v>1</v>
      </c>
      <c r="X14">
        <v>11.39</v>
      </c>
      <c r="Y14">
        <v>0</v>
      </c>
      <c r="Z14">
        <v>0</v>
      </c>
      <c r="AA14">
        <v>0</v>
      </c>
      <c r="AB14">
        <v>7.8</v>
      </c>
      <c r="AC14">
        <v>0</v>
      </c>
      <c r="AD14">
        <v>1</v>
      </c>
      <c r="AE14">
        <v>1</v>
      </c>
      <c r="AF14" t="s">
        <v>6</v>
      </c>
      <c r="AG14">
        <v>11.39</v>
      </c>
      <c r="AH14">
        <v>2</v>
      </c>
      <c r="AI14">
        <v>16630989</v>
      </c>
      <c r="AJ14">
        <v>12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ROW(Source!A31)</f>
        <v>31</v>
      </c>
      <c r="B15">
        <v>16630993</v>
      </c>
      <c r="C15">
        <v>16630988</v>
      </c>
      <c r="D15">
        <v>15430395</v>
      </c>
      <c r="E15">
        <v>1</v>
      </c>
      <c r="F15">
        <v>1</v>
      </c>
      <c r="G15">
        <v>1</v>
      </c>
      <c r="H15">
        <v>1</v>
      </c>
      <c r="I15" t="s">
        <v>1149</v>
      </c>
      <c r="J15" t="s">
        <v>6</v>
      </c>
      <c r="K15" t="s">
        <v>1150</v>
      </c>
      <c r="L15">
        <v>1191</v>
      </c>
      <c r="N15">
        <v>1013</v>
      </c>
      <c r="O15" t="s">
        <v>1148</v>
      </c>
      <c r="P15" t="s">
        <v>1148</v>
      </c>
      <c r="Q15">
        <v>1</v>
      </c>
      <c r="X15">
        <v>0.13</v>
      </c>
      <c r="Y15">
        <v>0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2</v>
      </c>
      <c r="AF15" t="s">
        <v>6</v>
      </c>
      <c r="AG15">
        <v>0.13</v>
      </c>
      <c r="AH15">
        <v>2</v>
      </c>
      <c r="AI15">
        <v>16630990</v>
      </c>
      <c r="AJ15">
        <v>13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ROW(Source!A31)</f>
        <v>31</v>
      </c>
      <c r="B16">
        <v>16630994</v>
      </c>
      <c r="C16">
        <v>16630988</v>
      </c>
      <c r="D16">
        <v>15247974</v>
      </c>
      <c r="E16">
        <v>1</v>
      </c>
      <c r="F16">
        <v>1</v>
      </c>
      <c r="G16">
        <v>1</v>
      </c>
      <c r="H16">
        <v>2</v>
      </c>
      <c r="I16" t="s">
        <v>1151</v>
      </c>
      <c r="J16" t="s">
        <v>1152</v>
      </c>
      <c r="K16" t="s">
        <v>1153</v>
      </c>
      <c r="L16">
        <v>1368</v>
      </c>
      <c r="N16">
        <v>1011</v>
      </c>
      <c r="O16" t="s">
        <v>1154</v>
      </c>
      <c r="P16" t="s">
        <v>1154</v>
      </c>
      <c r="Q16">
        <v>1</v>
      </c>
      <c r="X16">
        <v>0.13</v>
      </c>
      <c r="Y16">
        <v>0</v>
      </c>
      <c r="Z16">
        <v>31.26</v>
      </c>
      <c r="AA16">
        <v>13.5</v>
      </c>
      <c r="AB16">
        <v>0</v>
      </c>
      <c r="AC16">
        <v>0</v>
      </c>
      <c r="AD16">
        <v>1</v>
      </c>
      <c r="AE16">
        <v>0</v>
      </c>
      <c r="AF16" t="s">
        <v>6</v>
      </c>
      <c r="AG16">
        <v>0.13</v>
      </c>
      <c r="AH16">
        <v>2</v>
      </c>
      <c r="AI16">
        <v>16630991</v>
      </c>
      <c r="AJ16">
        <v>14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ROW(Source!A31)</f>
        <v>31</v>
      </c>
      <c r="B17">
        <v>16630995</v>
      </c>
      <c r="C17">
        <v>16630988</v>
      </c>
      <c r="D17">
        <v>15164566</v>
      </c>
      <c r="E17">
        <v>17</v>
      </c>
      <c r="F17">
        <v>1</v>
      </c>
      <c r="G17">
        <v>1</v>
      </c>
      <c r="H17">
        <v>3</v>
      </c>
      <c r="I17" t="s">
        <v>1670</v>
      </c>
      <c r="J17" t="s">
        <v>6</v>
      </c>
      <c r="K17" t="s">
        <v>1671</v>
      </c>
      <c r="L17">
        <v>1348</v>
      </c>
      <c r="N17">
        <v>1009</v>
      </c>
      <c r="O17" t="s">
        <v>98</v>
      </c>
      <c r="P17" t="s">
        <v>98</v>
      </c>
      <c r="Q17">
        <v>1000</v>
      </c>
      <c r="X17">
        <v>0.47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 t="s">
        <v>6</v>
      </c>
      <c r="AG17">
        <v>0.47</v>
      </c>
      <c r="AH17">
        <v>3</v>
      </c>
      <c r="AI17">
        <v>-1</v>
      </c>
      <c r="AJ17" t="s">
        <v>6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ROW(Source!A32)</f>
        <v>32</v>
      </c>
      <c r="B18">
        <v>16631000</v>
      </c>
      <c r="C18">
        <v>16630996</v>
      </c>
      <c r="D18">
        <v>15430767</v>
      </c>
      <c r="E18">
        <v>1</v>
      </c>
      <c r="F18">
        <v>1</v>
      </c>
      <c r="G18">
        <v>1</v>
      </c>
      <c r="H18">
        <v>1</v>
      </c>
      <c r="I18" t="s">
        <v>1171</v>
      </c>
      <c r="J18" t="s">
        <v>6</v>
      </c>
      <c r="K18" t="s">
        <v>1172</v>
      </c>
      <c r="L18">
        <v>1191</v>
      </c>
      <c r="N18">
        <v>1013</v>
      </c>
      <c r="O18" t="s">
        <v>1148</v>
      </c>
      <c r="P18" t="s">
        <v>1148</v>
      </c>
      <c r="Q18">
        <v>1</v>
      </c>
      <c r="X18">
        <v>69.87</v>
      </c>
      <c r="Y18">
        <v>0</v>
      </c>
      <c r="Z18">
        <v>0</v>
      </c>
      <c r="AA18">
        <v>0</v>
      </c>
      <c r="AB18">
        <v>8.5299999999999994</v>
      </c>
      <c r="AC18">
        <v>0</v>
      </c>
      <c r="AD18">
        <v>1</v>
      </c>
      <c r="AE18">
        <v>1</v>
      </c>
      <c r="AF18" t="s">
        <v>6</v>
      </c>
      <c r="AG18">
        <v>69.87</v>
      </c>
      <c r="AH18">
        <v>2</v>
      </c>
      <c r="AI18">
        <v>16630997</v>
      </c>
      <c r="AJ18">
        <v>15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ROW(Source!A32)</f>
        <v>32</v>
      </c>
      <c r="B19">
        <v>16631001</v>
      </c>
      <c r="C19">
        <v>16630996</v>
      </c>
      <c r="D19">
        <v>15430395</v>
      </c>
      <c r="E19">
        <v>1</v>
      </c>
      <c r="F19">
        <v>1</v>
      </c>
      <c r="G19">
        <v>1</v>
      </c>
      <c r="H19">
        <v>1</v>
      </c>
      <c r="I19" t="s">
        <v>1149</v>
      </c>
      <c r="J19" t="s">
        <v>6</v>
      </c>
      <c r="K19" t="s">
        <v>1150</v>
      </c>
      <c r="L19">
        <v>1191</v>
      </c>
      <c r="N19">
        <v>1013</v>
      </c>
      <c r="O19" t="s">
        <v>1148</v>
      </c>
      <c r="P19" t="s">
        <v>1148</v>
      </c>
      <c r="Q19">
        <v>1</v>
      </c>
      <c r="X19">
        <v>1.44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2</v>
      </c>
      <c r="AF19" t="s">
        <v>6</v>
      </c>
      <c r="AG19">
        <v>1.44</v>
      </c>
      <c r="AH19">
        <v>2</v>
      </c>
      <c r="AI19">
        <v>16630998</v>
      </c>
      <c r="AJ19">
        <v>16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ROW(Source!A32)</f>
        <v>32</v>
      </c>
      <c r="B20">
        <v>16631002</v>
      </c>
      <c r="C20">
        <v>16630996</v>
      </c>
      <c r="D20">
        <v>15247974</v>
      </c>
      <c r="E20">
        <v>1</v>
      </c>
      <c r="F20">
        <v>1</v>
      </c>
      <c r="G20">
        <v>1</v>
      </c>
      <c r="H20">
        <v>2</v>
      </c>
      <c r="I20" t="s">
        <v>1151</v>
      </c>
      <c r="J20" t="s">
        <v>1152</v>
      </c>
      <c r="K20" t="s">
        <v>1153</v>
      </c>
      <c r="L20">
        <v>1368</v>
      </c>
      <c r="N20">
        <v>1011</v>
      </c>
      <c r="O20" t="s">
        <v>1154</v>
      </c>
      <c r="P20" t="s">
        <v>1154</v>
      </c>
      <c r="Q20">
        <v>1</v>
      </c>
      <c r="X20">
        <v>1.44</v>
      </c>
      <c r="Y20">
        <v>0</v>
      </c>
      <c r="Z20">
        <v>31.26</v>
      </c>
      <c r="AA20">
        <v>13.5</v>
      </c>
      <c r="AB20">
        <v>0</v>
      </c>
      <c r="AC20">
        <v>0</v>
      </c>
      <c r="AD20">
        <v>1</v>
      </c>
      <c r="AE20">
        <v>0</v>
      </c>
      <c r="AF20" t="s">
        <v>6</v>
      </c>
      <c r="AG20">
        <v>1.44</v>
      </c>
      <c r="AH20">
        <v>2</v>
      </c>
      <c r="AI20">
        <v>16630999</v>
      </c>
      <c r="AJ20">
        <v>17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ROW(Source!A32)</f>
        <v>32</v>
      </c>
      <c r="B21">
        <v>16631003</v>
      </c>
      <c r="C21">
        <v>16630996</v>
      </c>
      <c r="D21">
        <v>15164566</v>
      </c>
      <c r="E21">
        <v>17</v>
      </c>
      <c r="F21">
        <v>1</v>
      </c>
      <c r="G21">
        <v>1</v>
      </c>
      <c r="H21">
        <v>3</v>
      </c>
      <c r="I21" t="s">
        <v>1670</v>
      </c>
      <c r="J21" t="s">
        <v>6</v>
      </c>
      <c r="K21" t="s">
        <v>1671</v>
      </c>
      <c r="L21">
        <v>1348</v>
      </c>
      <c r="N21">
        <v>1009</v>
      </c>
      <c r="O21" t="s">
        <v>98</v>
      </c>
      <c r="P21" t="s">
        <v>98</v>
      </c>
      <c r="Q21">
        <v>1000</v>
      </c>
      <c r="X21">
        <v>5.2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 t="s">
        <v>6</v>
      </c>
      <c r="AG21">
        <v>5.2</v>
      </c>
      <c r="AH21">
        <v>3</v>
      </c>
      <c r="AI21">
        <v>-1</v>
      </c>
      <c r="AJ21" t="s">
        <v>6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ROW(Source!A33)</f>
        <v>33</v>
      </c>
      <c r="B22">
        <v>16631010</v>
      </c>
      <c r="C22">
        <v>16631004</v>
      </c>
      <c r="D22">
        <v>15430767</v>
      </c>
      <c r="E22">
        <v>1</v>
      </c>
      <c r="F22">
        <v>1</v>
      </c>
      <c r="G22">
        <v>1</v>
      </c>
      <c r="H22">
        <v>1</v>
      </c>
      <c r="I22" t="s">
        <v>1171</v>
      </c>
      <c r="J22" t="s">
        <v>6</v>
      </c>
      <c r="K22" t="s">
        <v>1172</v>
      </c>
      <c r="L22">
        <v>1191</v>
      </c>
      <c r="N22">
        <v>1013</v>
      </c>
      <c r="O22" t="s">
        <v>1148</v>
      </c>
      <c r="P22" t="s">
        <v>1148</v>
      </c>
      <c r="Q22">
        <v>1</v>
      </c>
      <c r="X22">
        <v>111.2</v>
      </c>
      <c r="Y22">
        <v>0</v>
      </c>
      <c r="Z22">
        <v>0</v>
      </c>
      <c r="AA22">
        <v>0</v>
      </c>
      <c r="AB22">
        <v>8.5299999999999994</v>
      </c>
      <c r="AC22">
        <v>0</v>
      </c>
      <c r="AD22">
        <v>1</v>
      </c>
      <c r="AE22">
        <v>1</v>
      </c>
      <c r="AF22" t="s">
        <v>6</v>
      </c>
      <c r="AG22">
        <v>111.2</v>
      </c>
      <c r="AH22">
        <v>2</v>
      </c>
      <c r="AI22">
        <v>16631005</v>
      </c>
      <c r="AJ22">
        <v>18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ROW(Source!A33)</f>
        <v>33</v>
      </c>
      <c r="B23">
        <v>16631011</v>
      </c>
      <c r="C23">
        <v>16631004</v>
      </c>
      <c r="D23">
        <v>15430395</v>
      </c>
      <c r="E23">
        <v>1</v>
      </c>
      <c r="F23">
        <v>1</v>
      </c>
      <c r="G23">
        <v>1</v>
      </c>
      <c r="H23">
        <v>1</v>
      </c>
      <c r="I23" t="s">
        <v>1149</v>
      </c>
      <c r="J23" t="s">
        <v>6</v>
      </c>
      <c r="K23" t="s">
        <v>1150</v>
      </c>
      <c r="L23">
        <v>1191</v>
      </c>
      <c r="N23">
        <v>1013</v>
      </c>
      <c r="O23" t="s">
        <v>1148</v>
      </c>
      <c r="P23" t="s">
        <v>1148</v>
      </c>
      <c r="Q23">
        <v>1</v>
      </c>
      <c r="X23">
        <v>1.8</v>
      </c>
      <c r="Y23">
        <v>0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2</v>
      </c>
      <c r="AF23" t="s">
        <v>6</v>
      </c>
      <c r="AG23">
        <v>1.8</v>
      </c>
      <c r="AH23">
        <v>2</v>
      </c>
      <c r="AI23">
        <v>16631006</v>
      </c>
      <c r="AJ23">
        <v>19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ROW(Source!A33)</f>
        <v>33</v>
      </c>
      <c r="B24">
        <v>16631012</v>
      </c>
      <c r="C24">
        <v>16631004</v>
      </c>
      <c r="D24">
        <v>15247974</v>
      </c>
      <c r="E24">
        <v>1</v>
      </c>
      <c r="F24">
        <v>1</v>
      </c>
      <c r="G24">
        <v>1</v>
      </c>
      <c r="H24">
        <v>2</v>
      </c>
      <c r="I24" t="s">
        <v>1151</v>
      </c>
      <c r="J24" t="s">
        <v>1152</v>
      </c>
      <c r="K24" t="s">
        <v>1153</v>
      </c>
      <c r="L24">
        <v>1368</v>
      </c>
      <c r="N24">
        <v>1011</v>
      </c>
      <c r="O24" t="s">
        <v>1154</v>
      </c>
      <c r="P24" t="s">
        <v>1154</v>
      </c>
      <c r="Q24">
        <v>1</v>
      </c>
      <c r="X24">
        <v>1.8</v>
      </c>
      <c r="Y24">
        <v>0</v>
      </c>
      <c r="Z24">
        <v>31.26</v>
      </c>
      <c r="AA24">
        <v>13.5</v>
      </c>
      <c r="AB24">
        <v>0</v>
      </c>
      <c r="AC24">
        <v>0</v>
      </c>
      <c r="AD24">
        <v>1</v>
      </c>
      <c r="AE24">
        <v>0</v>
      </c>
      <c r="AF24" t="s">
        <v>6</v>
      </c>
      <c r="AG24">
        <v>1.8</v>
      </c>
      <c r="AH24">
        <v>2</v>
      </c>
      <c r="AI24">
        <v>16631007</v>
      </c>
      <c r="AJ24">
        <v>20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ROW(Source!A33)</f>
        <v>33</v>
      </c>
      <c r="B25">
        <v>16631013</v>
      </c>
      <c r="C25">
        <v>16631004</v>
      </c>
      <c r="D25">
        <v>15249402</v>
      </c>
      <c r="E25">
        <v>1</v>
      </c>
      <c r="F25">
        <v>1</v>
      </c>
      <c r="G25">
        <v>1</v>
      </c>
      <c r="H25">
        <v>2</v>
      </c>
      <c r="I25" t="s">
        <v>1173</v>
      </c>
      <c r="J25" t="s">
        <v>1174</v>
      </c>
      <c r="K25" t="s">
        <v>1175</v>
      </c>
      <c r="L25">
        <v>1368</v>
      </c>
      <c r="N25">
        <v>1011</v>
      </c>
      <c r="O25" t="s">
        <v>1154</v>
      </c>
      <c r="P25" t="s">
        <v>1154</v>
      </c>
      <c r="Q25">
        <v>1</v>
      </c>
      <c r="X25">
        <v>19.2</v>
      </c>
      <c r="Y25">
        <v>0</v>
      </c>
      <c r="Z25">
        <v>32.5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6</v>
      </c>
      <c r="AG25">
        <v>19.2</v>
      </c>
      <c r="AH25">
        <v>2</v>
      </c>
      <c r="AI25">
        <v>16631008</v>
      </c>
      <c r="AJ25">
        <v>21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ROW(Source!A33)</f>
        <v>33</v>
      </c>
      <c r="B26">
        <v>16631014</v>
      </c>
      <c r="C26">
        <v>16631004</v>
      </c>
      <c r="D26">
        <v>15249998</v>
      </c>
      <c r="E26">
        <v>1</v>
      </c>
      <c r="F26">
        <v>1</v>
      </c>
      <c r="G26">
        <v>1</v>
      </c>
      <c r="H26">
        <v>2</v>
      </c>
      <c r="I26" t="s">
        <v>1176</v>
      </c>
      <c r="J26" t="s">
        <v>1177</v>
      </c>
      <c r="K26" t="s">
        <v>1178</v>
      </c>
      <c r="L26">
        <v>1368</v>
      </c>
      <c r="N26">
        <v>1011</v>
      </c>
      <c r="O26" t="s">
        <v>1154</v>
      </c>
      <c r="P26" t="s">
        <v>1154</v>
      </c>
      <c r="Q26">
        <v>1</v>
      </c>
      <c r="X26">
        <v>38.4</v>
      </c>
      <c r="Y26">
        <v>0</v>
      </c>
      <c r="Z26">
        <v>1.53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6</v>
      </c>
      <c r="AG26">
        <v>38.4</v>
      </c>
      <c r="AH26">
        <v>2</v>
      </c>
      <c r="AI26">
        <v>16631009</v>
      </c>
      <c r="AJ26">
        <v>22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ROW(Source!A33)</f>
        <v>33</v>
      </c>
      <c r="B27">
        <v>16631015</v>
      </c>
      <c r="C27">
        <v>16631004</v>
      </c>
      <c r="D27">
        <v>15164566</v>
      </c>
      <c r="E27">
        <v>17</v>
      </c>
      <c r="F27">
        <v>1</v>
      </c>
      <c r="G27">
        <v>1</v>
      </c>
      <c r="H27">
        <v>3</v>
      </c>
      <c r="I27" t="s">
        <v>1670</v>
      </c>
      <c r="J27" t="s">
        <v>6</v>
      </c>
      <c r="K27" t="s">
        <v>1671</v>
      </c>
      <c r="L27">
        <v>1348</v>
      </c>
      <c r="N27">
        <v>1009</v>
      </c>
      <c r="O27" t="s">
        <v>98</v>
      </c>
      <c r="P27" t="s">
        <v>98</v>
      </c>
      <c r="Q27">
        <v>1000</v>
      </c>
      <c r="X27">
        <v>6.6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 t="s">
        <v>6</v>
      </c>
      <c r="AG27">
        <v>6.6</v>
      </c>
      <c r="AH27">
        <v>3</v>
      </c>
      <c r="AI27">
        <v>-1</v>
      </c>
      <c r="AJ27" t="s">
        <v>6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ROW(Source!A34)</f>
        <v>34</v>
      </c>
      <c r="B28">
        <v>16631018</v>
      </c>
      <c r="C28">
        <v>16631016</v>
      </c>
      <c r="D28">
        <v>15430517</v>
      </c>
      <c r="E28">
        <v>1</v>
      </c>
      <c r="F28">
        <v>1</v>
      </c>
      <c r="G28">
        <v>1</v>
      </c>
      <c r="H28">
        <v>1</v>
      </c>
      <c r="I28" t="s">
        <v>1169</v>
      </c>
      <c r="J28" t="s">
        <v>6</v>
      </c>
      <c r="K28" t="s">
        <v>1170</v>
      </c>
      <c r="L28">
        <v>1191</v>
      </c>
      <c r="N28">
        <v>1013</v>
      </c>
      <c r="O28" t="s">
        <v>1148</v>
      </c>
      <c r="P28" t="s">
        <v>1148</v>
      </c>
      <c r="Q28">
        <v>1</v>
      </c>
      <c r="X28">
        <v>14.28</v>
      </c>
      <c r="Y28">
        <v>0</v>
      </c>
      <c r="Z28">
        <v>0</v>
      </c>
      <c r="AA28">
        <v>0</v>
      </c>
      <c r="AB28">
        <v>7.8</v>
      </c>
      <c r="AC28">
        <v>0</v>
      </c>
      <c r="AD28">
        <v>1</v>
      </c>
      <c r="AE28">
        <v>1</v>
      </c>
      <c r="AF28" t="s">
        <v>6</v>
      </c>
      <c r="AG28">
        <v>14.28</v>
      </c>
      <c r="AH28">
        <v>2</v>
      </c>
      <c r="AI28">
        <v>16631017</v>
      </c>
      <c r="AJ28">
        <v>23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ROW(Source!A34)</f>
        <v>34</v>
      </c>
      <c r="B29">
        <v>16631019</v>
      </c>
      <c r="C29">
        <v>16631016</v>
      </c>
      <c r="D29">
        <v>15164566</v>
      </c>
      <c r="E29">
        <v>17</v>
      </c>
      <c r="F29">
        <v>1</v>
      </c>
      <c r="G29">
        <v>1</v>
      </c>
      <c r="H29">
        <v>3</v>
      </c>
      <c r="I29" t="s">
        <v>1670</v>
      </c>
      <c r="J29" t="s">
        <v>6</v>
      </c>
      <c r="K29" t="s">
        <v>1671</v>
      </c>
      <c r="L29">
        <v>1348</v>
      </c>
      <c r="N29">
        <v>1009</v>
      </c>
      <c r="O29" t="s">
        <v>98</v>
      </c>
      <c r="P29" t="s">
        <v>98</v>
      </c>
      <c r="Q29">
        <v>1000</v>
      </c>
      <c r="X29">
        <v>0.62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 t="s">
        <v>6</v>
      </c>
      <c r="AG29">
        <v>0.62</v>
      </c>
      <c r="AH29">
        <v>3</v>
      </c>
      <c r="AI29">
        <v>-1</v>
      </c>
      <c r="AJ29" t="s">
        <v>6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ROW(Source!A35)</f>
        <v>35</v>
      </c>
      <c r="B30">
        <v>16631022</v>
      </c>
      <c r="C30">
        <v>16631020</v>
      </c>
      <c r="D30">
        <v>15430517</v>
      </c>
      <c r="E30">
        <v>1</v>
      </c>
      <c r="F30">
        <v>1</v>
      </c>
      <c r="G30">
        <v>1</v>
      </c>
      <c r="H30">
        <v>1</v>
      </c>
      <c r="I30" t="s">
        <v>1169</v>
      </c>
      <c r="J30" t="s">
        <v>6</v>
      </c>
      <c r="K30" t="s">
        <v>1170</v>
      </c>
      <c r="L30">
        <v>1191</v>
      </c>
      <c r="N30">
        <v>1013</v>
      </c>
      <c r="O30" t="s">
        <v>1148</v>
      </c>
      <c r="P30" t="s">
        <v>1148</v>
      </c>
      <c r="Q30">
        <v>1</v>
      </c>
      <c r="X30">
        <v>3.77</v>
      </c>
      <c r="Y30">
        <v>0</v>
      </c>
      <c r="Z30">
        <v>0</v>
      </c>
      <c r="AA30">
        <v>0</v>
      </c>
      <c r="AB30">
        <v>7.8</v>
      </c>
      <c r="AC30">
        <v>0</v>
      </c>
      <c r="AD30">
        <v>1</v>
      </c>
      <c r="AE30">
        <v>1</v>
      </c>
      <c r="AF30" t="s">
        <v>6</v>
      </c>
      <c r="AG30">
        <v>3.77</v>
      </c>
      <c r="AH30">
        <v>2</v>
      </c>
      <c r="AI30">
        <v>16631021</v>
      </c>
      <c r="AJ30">
        <v>24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ROW(Source!A35)</f>
        <v>35</v>
      </c>
      <c r="B31">
        <v>16631023</v>
      </c>
      <c r="C31">
        <v>16631020</v>
      </c>
      <c r="D31">
        <v>15164566</v>
      </c>
      <c r="E31">
        <v>17</v>
      </c>
      <c r="F31">
        <v>1</v>
      </c>
      <c r="G31">
        <v>1</v>
      </c>
      <c r="H31">
        <v>3</v>
      </c>
      <c r="I31" t="s">
        <v>1670</v>
      </c>
      <c r="J31" t="s">
        <v>6</v>
      </c>
      <c r="K31" t="s">
        <v>1671</v>
      </c>
      <c r="L31">
        <v>1348</v>
      </c>
      <c r="N31">
        <v>1009</v>
      </c>
      <c r="O31" t="s">
        <v>98</v>
      </c>
      <c r="P31" t="s">
        <v>98</v>
      </c>
      <c r="Q31">
        <v>1000</v>
      </c>
      <c r="X31">
        <v>0.11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 t="s">
        <v>6</v>
      </c>
      <c r="AG31">
        <v>0.11</v>
      </c>
      <c r="AH31">
        <v>3</v>
      </c>
      <c r="AI31">
        <v>-1</v>
      </c>
      <c r="AJ31" t="s">
        <v>6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ROW(Source!A36)</f>
        <v>36</v>
      </c>
      <c r="B32">
        <v>16631030</v>
      </c>
      <c r="C32">
        <v>16631024</v>
      </c>
      <c r="D32">
        <v>15431465</v>
      </c>
      <c r="E32">
        <v>1</v>
      </c>
      <c r="F32">
        <v>1</v>
      </c>
      <c r="G32">
        <v>1</v>
      </c>
      <c r="H32">
        <v>1</v>
      </c>
      <c r="I32" t="s">
        <v>1179</v>
      </c>
      <c r="J32" t="s">
        <v>6</v>
      </c>
      <c r="K32" t="s">
        <v>1180</v>
      </c>
      <c r="L32">
        <v>1191</v>
      </c>
      <c r="N32">
        <v>1013</v>
      </c>
      <c r="O32" t="s">
        <v>1148</v>
      </c>
      <c r="P32" t="s">
        <v>1148</v>
      </c>
      <c r="Q32">
        <v>1</v>
      </c>
      <c r="X32">
        <v>74.3</v>
      </c>
      <c r="Y32">
        <v>0</v>
      </c>
      <c r="Z32">
        <v>0</v>
      </c>
      <c r="AA32">
        <v>0</v>
      </c>
      <c r="AB32">
        <v>7.87</v>
      </c>
      <c r="AC32">
        <v>0</v>
      </c>
      <c r="AD32">
        <v>1</v>
      </c>
      <c r="AE32">
        <v>1</v>
      </c>
      <c r="AF32" t="s">
        <v>6</v>
      </c>
      <c r="AG32">
        <v>74.3</v>
      </c>
      <c r="AH32">
        <v>2</v>
      </c>
      <c r="AI32">
        <v>16631025</v>
      </c>
      <c r="AJ32">
        <v>25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ROW(Source!A36)</f>
        <v>36</v>
      </c>
      <c r="B33">
        <v>16631031</v>
      </c>
      <c r="C33">
        <v>16631024</v>
      </c>
      <c r="D33">
        <v>15430395</v>
      </c>
      <c r="E33">
        <v>1</v>
      </c>
      <c r="F33">
        <v>1</v>
      </c>
      <c r="G33">
        <v>1</v>
      </c>
      <c r="H33">
        <v>1</v>
      </c>
      <c r="I33" t="s">
        <v>1149</v>
      </c>
      <c r="J33" t="s">
        <v>6</v>
      </c>
      <c r="K33" t="s">
        <v>1150</v>
      </c>
      <c r="L33">
        <v>1191</v>
      </c>
      <c r="N33">
        <v>1013</v>
      </c>
      <c r="O33" t="s">
        <v>1148</v>
      </c>
      <c r="P33" t="s">
        <v>1148</v>
      </c>
      <c r="Q33">
        <v>1</v>
      </c>
      <c r="X33">
        <v>0.35</v>
      </c>
      <c r="Y33">
        <v>0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2</v>
      </c>
      <c r="AF33" t="s">
        <v>6</v>
      </c>
      <c r="AG33">
        <v>0.35</v>
      </c>
      <c r="AH33">
        <v>2</v>
      </c>
      <c r="AI33">
        <v>16631026</v>
      </c>
      <c r="AJ33">
        <v>26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ROW(Source!A36)</f>
        <v>36</v>
      </c>
      <c r="B34">
        <v>16631032</v>
      </c>
      <c r="C34">
        <v>16631024</v>
      </c>
      <c r="D34">
        <v>15247974</v>
      </c>
      <c r="E34">
        <v>1</v>
      </c>
      <c r="F34">
        <v>1</v>
      </c>
      <c r="G34">
        <v>1</v>
      </c>
      <c r="H34">
        <v>2</v>
      </c>
      <c r="I34" t="s">
        <v>1151</v>
      </c>
      <c r="J34" t="s">
        <v>1152</v>
      </c>
      <c r="K34" t="s">
        <v>1153</v>
      </c>
      <c r="L34">
        <v>1368</v>
      </c>
      <c r="N34">
        <v>1011</v>
      </c>
      <c r="O34" t="s">
        <v>1154</v>
      </c>
      <c r="P34" t="s">
        <v>1154</v>
      </c>
      <c r="Q34">
        <v>1</v>
      </c>
      <c r="X34">
        <v>0.35</v>
      </c>
      <c r="Y34">
        <v>0</v>
      </c>
      <c r="Z34">
        <v>31.26</v>
      </c>
      <c r="AA34">
        <v>13.5</v>
      </c>
      <c r="AB34">
        <v>0</v>
      </c>
      <c r="AC34">
        <v>0</v>
      </c>
      <c r="AD34">
        <v>1</v>
      </c>
      <c r="AE34">
        <v>0</v>
      </c>
      <c r="AF34" t="s">
        <v>6</v>
      </c>
      <c r="AG34">
        <v>0.35</v>
      </c>
      <c r="AH34">
        <v>2</v>
      </c>
      <c r="AI34">
        <v>16631027</v>
      </c>
      <c r="AJ34">
        <v>27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ROW(Source!A36)</f>
        <v>36</v>
      </c>
      <c r="B35">
        <v>16631033</v>
      </c>
      <c r="C35">
        <v>16631024</v>
      </c>
      <c r="D35">
        <v>15249402</v>
      </c>
      <c r="E35">
        <v>1</v>
      </c>
      <c r="F35">
        <v>1</v>
      </c>
      <c r="G35">
        <v>1</v>
      </c>
      <c r="H35">
        <v>2</v>
      </c>
      <c r="I35" t="s">
        <v>1173</v>
      </c>
      <c r="J35" t="s">
        <v>1174</v>
      </c>
      <c r="K35" t="s">
        <v>1175</v>
      </c>
      <c r="L35">
        <v>1368</v>
      </c>
      <c r="N35">
        <v>1011</v>
      </c>
      <c r="O35" t="s">
        <v>1154</v>
      </c>
      <c r="P35" t="s">
        <v>1154</v>
      </c>
      <c r="Q35">
        <v>1</v>
      </c>
      <c r="X35">
        <v>1.64</v>
      </c>
      <c r="Y35">
        <v>0</v>
      </c>
      <c r="Z35">
        <v>32.5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6</v>
      </c>
      <c r="AG35">
        <v>1.64</v>
      </c>
      <c r="AH35">
        <v>2</v>
      </c>
      <c r="AI35">
        <v>16631028</v>
      </c>
      <c r="AJ35">
        <v>28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ROW(Source!A36)</f>
        <v>36</v>
      </c>
      <c r="B36">
        <v>16631034</v>
      </c>
      <c r="C36">
        <v>16631024</v>
      </c>
      <c r="D36">
        <v>15249998</v>
      </c>
      <c r="E36">
        <v>1</v>
      </c>
      <c r="F36">
        <v>1</v>
      </c>
      <c r="G36">
        <v>1</v>
      </c>
      <c r="H36">
        <v>2</v>
      </c>
      <c r="I36" t="s">
        <v>1176</v>
      </c>
      <c r="J36" t="s">
        <v>1177</v>
      </c>
      <c r="K36" t="s">
        <v>1178</v>
      </c>
      <c r="L36">
        <v>1368</v>
      </c>
      <c r="N36">
        <v>1011</v>
      </c>
      <c r="O36" t="s">
        <v>1154</v>
      </c>
      <c r="P36" t="s">
        <v>1154</v>
      </c>
      <c r="Q36">
        <v>1</v>
      </c>
      <c r="X36">
        <v>3.28</v>
      </c>
      <c r="Y36">
        <v>0</v>
      </c>
      <c r="Z36">
        <v>1.53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6</v>
      </c>
      <c r="AG36">
        <v>3.28</v>
      </c>
      <c r="AH36">
        <v>2</v>
      </c>
      <c r="AI36">
        <v>16631029</v>
      </c>
      <c r="AJ36">
        <v>29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ROW(Source!A37)</f>
        <v>37</v>
      </c>
      <c r="B37">
        <v>16631037</v>
      </c>
      <c r="C37">
        <v>16631035</v>
      </c>
      <c r="D37">
        <v>15430517</v>
      </c>
      <c r="E37">
        <v>1</v>
      </c>
      <c r="F37">
        <v>1</v>
      </c>
      <c r="G37">
        <v>1</v>
      </c>
      <c r="H37">
        <v>1</v>
      </c>
      <c r="I37" t="s">
        <v>1169</v>
      </c>
      <c r="J37" t="s">
        <v>6</v>
      </c>
      <c r="K37" t="s">
        <v>1170</v>
      </c>
      <c r="L37">
        <v>1191</v>
      </c>
      <c r="N37">
        <v>1013</v>
      </c>
      <c r="O37" t="s">
        <v>1148</v>
      </c>
      <c r="P37" t="s">
        <v>1148</v>
      </c>
      <c r="Q37">
        <v>1</v>
      </c>
      <c r="X37">
        <v>10.4</v>
      </c>
      <c r="Y37">
        <v>0</v>
      </c>
      <c r="Z37">
        <v>0</v>
      </c>
      <c r="AA37">
        <v>0</v>
      </c>
      <c r="AB37">
        <v>7.8</v>
      </c>
      <c r="AC37">
        <v>0</v>
      </c>
      <c r="AD37">
        <v>1</v>
      </c>
      <c r="AE37">
        <v>1</v>
      </c>
      <c r="AF37" t="s">
        <v>6</v>
      </c>
      <c r="AG37">
        <v>10.4</v>
      </c>
      <c r="AH37">
        <v>2</v>
      </c>
      <c r="AI37">
        <v>16631036</v>
      </c>
      <c r="AJ37">
        <v>30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ROW(Source!A37)</f>
        <v>37</v>
      </c>
      <c r="B38">
        <v>16631038</v>
      </c>
      <c r="C38">
        <v>16631035</v>
      </c>
      <c r="D38">
        <v>15164566</v>
      </c>
      <c r="E38">
        <v>17</v>
      </c>
      <c r="F38">
        <v>1</v>
      </c>
      <c r="G38">
        <v>1</v>
      </c>
      <c r="H38">
        <v>3</v>
      </c>
      <c r="I38" t="s">
        <v>1670</v>
      </c>
      <c r="J38" t="s">
        <v>6</v>
      </c>
      <c r="K38" t="s">
        <v>1671</v>
      </c>
      <c r="L38">
        <v>1348</v>
      </c>
      <c r="N38">
        <v>1009</v>
      </c>
      <c r="O38" t="s">
        <v>98</v>
      </c>
      <c r="P38" t="s">
        <v>98</v>
      </c>
      <c r="Q38">
        <v>1000</v>
      </c>
      <c r="X38">
        <v>0.03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 t="s">
        <v>6</v>
      </c>
      <c r="AG38">
        <v>0.03</v>
      </c>
      <c r="AH38">
        <v>3</v>
      </c>
      <c r="AI38">
        <v>-1</v>
      </c>
      <c r="AJ38" t="s">
        <v>6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ROW(Source!A38)</f>
        <v>38</v>
      </c>
      <c r="B39">
        <v>16631041</v>
      </c>
      <c r="C39">
        <v>16631039</v>
      </c>
      <c r="D39">
        <v>15430517</v>
      </c>
      <c r="E39">
        <v>1</v>
      </c>
      <c r="F39">
        <v>1</v>
      </c>
      <c r="G39">
        <v>1</v>
      </c>
      <c r="H39">
        <v>1</v>
      </c>
      <c r="I39" t="s">
        <v>1169</v>
      </c>
      <c r="J39" t="s">
        <v>6</v>
      </c>
      <c r="K39" t="s">
        <v>1170</v>
      </c>
      <c r="L39">
        <v>1191</v>
      </c>
      <c r="N39">
        <v>1013</v>
      </c>
      <c r="O39" t="s">
        <v>1148</v>
      </c>
      <c r="P39" t="s">
        <v>1148</v>
      </c>
      <c r="Q39">
        <v>1</v>
      </c>
      <c r="X39">
        <v>22.82</v>
      </c>
      <c r="Y39">
        <v>0</v>
      </c>
      <c r="Z39">
        <v>0</v>
      </c>
      <c r="AA39">
        <v>0</v>
      </c>
      <c r="AB39">
        <v>7.8</v>
      </c>
      <c r="AC39">
        <v>0</v>
      </c>
      <c r="AD39">
        <v>1</v>
      </c>
      <c r="AE39">
        <v>1</v>
      </c>
      <c r="AF39" t="s">
        <v>6</v>
      </c>
      <c r="AG39">
        <v>22.82</v>
      </c>
      <c r="AH39">
        <v>2</v>
      </c>
      <c r="AI39">
        <v>16631040</v>
      </c>
      <c r="AJ39">
        <v>31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ROW(Source!A39)</f>
        <v>39</v>
      </c>
      <c r="B40">
        <v>16631054</v>
      </c>
      <c r="C40">
        <v>16631042</v>
      </c>
      <c r="D40">
        <v>15436014</v>
      </c>
      <c r="E40">
        <v>1</v>
      </c>
      <c r="F40">
        <v>1</v>
      </c>
      <c r="G40">
        <v>1</v>
      </c>
      <c r="H40">
        <v>1</v>
      </c>
      <c r="I40" t="s">
        <v>1181</v>
      </c>
      <c r="J40" t="s">
        <v>6</v>
      </c>
      <c r="K40" t="s">
        <v>1182</v>
      </c>
      <c r="L40">
        <v>1191</v>
      </c>
      <c r="N40">
        <v>1013</v>
      </c>
      <c r="O40" t="s">
        <v>1148</v>
      </c>
      <c r="P40" t="s">
        <v>1148</v>
      </c>
      <c r="Q40">
        <v>1</v>
      </c>
      <c r="X40">
        <v>124.91</v>
      </c>
      <c r="Y40">
        <v>0</v>
      </c>
      <c r="Z40">
        <v>0</v>
      </c>
      <c r="AA40">
        <v>0</v>
      </c>
      <c r="AB40">
        <v>8.74</v>
      </c>
      <c r="AC40">
        <v>0</v>
      </c>
      <c r="AD40">
        <v>1</v>
      </c>
      <c r="AE40">
        <v>1</v>
      </c>
      <c r="AF40" t="s">
        <v>82</v>
      </c>
      <c r="AG40">
        <v>143.64649999999997</v>
      </c>
      <c r="AH40">
        <v>2</v>
      </c>
      <c r="AI40">
        <v>16631043</v>
      </c>
      <c r="AJ40">
        <v>32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ROW(Source!A39)</f>
        <v>39</v>
      </c>
      <c r="B41">
        <v>16631055</v>
      </c>
      <c r="C41">
        <v>16631042</v>
      </c>
      <c r="D41">
        <v>15430395</v>
      </c>
      <c r="E41">
        <v>1</v>
      </c>
      <c r="F41">
        <v>1</v>
      </c>
      <c r="G41">
        <v>1</v>
      </c>
      <c r="H41">
        <v>1</v>
      </c>
      <c r="I41" t="s">
        <v>1149</v>
      </c>
      <c r="J41" t="s">
        <v>6</v>
      </c>
      <c r="K41" t="s">
        <v>1150</v>
      </c>
      <c r="L41">
        <v>1191</v>
      </c>
      <c r="N41">
        <v>1013</v>
      </c>
      <c r="O41" t="s">
        <v>1148</v>
      </c>
      <c r="P41" t="s">
        <v>1148</v>
      </c>
      <c r="Q41">
        <v>1</v>
      </c>
      <c r="X41">
        <v>4.09</v>
      </c>
      <c r="Y41">
        <v>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2</v>
      </c>
      <c r="AF41" t="s">
        <v>81</v>
      </c>
      <c r="AG41">
        <v>5.1124999999999998</v>
      </c>
      <c r="AH41">
        <v>2</v>
      </c>
      <c r="AI41">
        <v>16631044</v>
      </c>
      <c r="AJ41">
        <v>33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ROW(Source!A39)</f>
        <v>39</v>
      </c>
      <c r="B42">
        <v>16631056</v>
      </c>
      <c r="C42">
        <v>16631042</v>
      </c>
      <c r="D42">
        <v>15247974</v>
      </c>
      <c r="E42">
        <v>1</v>
      </c>
      <c r="F42">
        <v>1</v>
      </c>
      <c r="G42">
        <v>1</v>
      </c>
      <c r="H42">
        <v>2</v>
      </c>
      <c r="I42" t="s">
        <v>1151</v>
      </c>
      <c r="J42" t="s">
        <v>1152</v>
      </c>
      <c r="K42" t="s">
        <v>1153</v>
      </c>
      <c r="L42">
        <v>1368</v>
      </c>
      <c r="N42">
        <v>1011</v>
      </c>
      <c r="O42" t="s">
        <v>1154</v>
      </c>
      <c r="P42" t="s">
        <v>1154</v>
      </c>
      <c r="Q42">
        <v>1</v>
      </c>
      <c r="X42">
        <v>0.52</v>
      </c>
      <c r="Y42">
        <v>0</v>
      </c>
      <c r="Z42">
        <v>31.26</v>
      </c>
      <c r="AA42">
        <v>13.5</v>
      </c>
      <c r="AB42">
        <v>0</v>
      </c>
      <c r="AC42">
        <v>0</v>
      </c>
      <c r="AD42">
        <v>1</v>
      </c>
      <c r="AE42">
        <v>0</v>
      </c>
      <c r="AF42" t="s">
        <v>81</v>
      </c>
      <c r="AG42">
        <v>0.65</v>
      </c>
      <c r="AH42">
        <v>2</v>
      </c>
      <c r="AI42">
        <v>16631045</v>
      </c>
      <c r="AJ42">
        <v>34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ROW(Source!A39)</f>
        <v>39</v>
      </c>
      <c r="B43">
        <v>16631057</v>
      </c>
      <c r="C43">
        <v>16631042</v>
      </c>
      <c r="D43">
        <v>15249073</v>
      </c>
      <c r="E43">
        <v>1</v>
      </c>
      <c r="F43">
        <v>1</v>
      </c>
      <c r="G43">
        <v>1</v>
      </c>
      <c r="H43">
        <v>2</v>
      </c>
      <c r="I43" t="s">
        <v>1157</v>
      </c>
      <c r="J43" t="s">
        <v>1158</v>
      </c>
      <c r="K43" t="s">
        <v>1159</v>
      </c>
      <c r="L43">
        <v>1368</v>
      </c>
      <c r="N43">
        <v>1011</v>
      </c>
      <c r="O43" t="s">
        <v>1154</v>
      </c>
      <c r="P43" t="s">
        <v>1154</v>
      </c>
      <c r="Q43">
        <v>1</v>
      </c>
      <c r="X43">
        <v>3.57</v>
      </c>
      <c r="Y43">
        <v>0</v>
      </c>
      <c r="Z43">
        <v>65.709999999999994</v>
      </c>
      <c r="AA43">
        <v>11.6</v>
      </c>
      <c r="AB43">
        <v>0</v>
      </c>
      <c r="AC43">
        <v>0</v>
      </c>
      <c r="AD43">
        <v>1</v>
      </c>
      <c r="AE43">
        <v>0</v>
      </c>
      <c r="AF43" t="s">
        <v>81</v>
      </c>
      <c r="AG43">
        <v>4.4624999999999995</v>
      </c>
      <c r="AH43">
        <v>2</v>
      </c>
      <c r="AI43">
        <v>16631046</v>
      </c>
      <c r="AJ43">
        <v>35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ROW(Source!A39)</f>
        <v>39</v>
      </c>
      <c r="B44">
        <v>16631058</v>
      </c>
      <c r="C44">
        <v>16631042</v>
      </c>
      <c r="D44">
        <v>15167551</v>
      </c>
      <c r="E44">
        <v>1</v>
      </c>
      <c r="F44">
        <v>1</v>
      </c>
      <c r="G44">
        <v>1</v>
      </c>
      <c r="H44">
        <v>3</v>
      </c>
      <c r="I44" t="s">
        <v>1183</v>
      </c>
      <c r="J44" t="s">
        <v>1184</v>
      </c>
      <c r="K44" t="s">
        <v>1185</v>
      </c>
      <c r="L44">
        <v>1301</v>
      </c>
      <c r="N44">
        <v>1003</v>
      </c>
      <c r="O44" t="s">
        <v>150</v>
      </c>
      <c r="P44" t="s">
        <v>150</v>
      </c>
      <c r="Q44">
        <v>1</v>
      </c>
      <c r="X44">
        <v>218</v>
      </c>
      <c r="Y44">
        <v>6.38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6</v>
      </c>
      <c r="AG44">
        <v>218</v>
      </c>
      <c r="AH44">
        <v>2</v>
      </c>
      <c r="AI44">
        <v>16631047</v>
      </c>
      <c r="AJ44">
        <v>36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ROW(Source!A39)</f>
        <v>39</v>
      </c>
      <c r="B45">
        <v>16631059</v>
      </c>
      <c r="C45">
        <v>16631042</v>
      </c>
      <c r="D45">
        <v>15167552</v>
      </c>
      <c r="E45">
        <v>1</v>
      </c>
      <c r="F45">
        <v>1</v>
      </c>
      <c r="G45">
        <v>1</v>
      </c>
      <c r="H45">
        <v>3</v>
      </c>
      <c r="I45" t="s">
        <v>1186</v>
      </c>
      <c r="J45" t="s">
        <v>1187</v>
      </c>
      <c r="K45" t="s">
        <v>1188</v>
      </c>
      <c r="L45">
        <v>1301</v>
      </c>
      <c r="N45">
        <v>1003</v>
      </c>
      <c r="O45" t="s">
        <v>150</v>
      </c>
      <c r="P45" t="s">
        <v>150</v>
      </c>
      <c r="Q45">
        <v>1</v>
      </c>
      <c r="X45">
        <v>40</v>
      </c>
      <c r="Y45">
        <v>7.95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6</v>
      </c>
      <c r="AG45">
        <v>40</v>
      </c>
      <c r="AH45">
        <v>2</v>
      </c>
      <c r="AI45">
        <v>16631048</v>
      </c>
      <c r="AJ45">
        <v>37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ROW(Source!A39)</f>
        <v>39</v>
      </c>
      <c r="B46">
        <v>16631060</v>
      </c>
      <c r="C46">
        <v>16631042</v>
      </c>
      <c r="D46">
        <v>15167640</v>
      </c>
      <c r="E46">
        <v>1</v>
      </c>
      <c r="F46">
        <v>1</v>
      </c>
      <c r="G46">
        <v>1</v>
      </c>
      <c r="H46">
        <v>3</v>
      </c>
      <c r="I46" t="s">
        <v>1189</v>
      </c>
      <c r="J46" t="s">
        <v>1190</v>
      </c>
      <c r="K46" t="s">
        <v>1191</v>
      </c>
      <c r="L46">
        <v>1302</v>
      </c>
      <c r="N46">
        <v>1003</v>
      </c>
      <c r="O46" t="s">
        <v>392</v>
      </c>
      <c r="P46" t="s">
        <v>392</v>
      </c>
      <c r="Q46">
        <v>10</v>
      </c>
      <c r="X46">
        <v>15.1</v>
      </c>
      <c r="Y46">
        <v>64.099999999999994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6</v>
      </c>
      <c r="AG46">
        <v>15.1</v>
      </c>
      <c r="AH46">
        <v>2</v>
      </c>
      <c r="AI46">
        <v>16631049</v>
      </c>
      <c r="AJ46">
        <v>38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ROW(Source!A39)</f>
        <v>39</v>
      </c>
      <c r="B47">
        <v>16631061</v>
      </c>
      <c r="C47">
        <v>16631042</v>
      </c>
      <c r="D47">
        <v>15170065</v>
      </c>
      <c r="E47">
        <v>1</v>
      </c>
      <c r="F47">
        <v>1</v>
      </c>
      <c r="G47">
        <v>1</v>
      </c>
      <c r="H47">
        <v>3</v>
      </c>
      <c r="I47" t="s">
        <v>1192</v>
      </c>
      <c r="J47" t="s">
        <v>1193</v>
      </c>
      <c r="K47" t="s">
        <v>1194</v>
      </c>
      <c r="L47">
        <v>1358</v>
      </c>
      <c r="N47">
        <v>1010</v>
      </c>
      <c r="O47" t="s">
        <v>616</v>
      </c>
      <c r="P47" t="s">
        <v>616</v>
      </c>
      <c r="Q47">
        <v>10</v>
      </c>
      <c r="X47">
        <v>31.1</v>
      </c>
      <c r="Y47">
        <v>7.03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6</v>
      </c>
      <c r="AG47">
        <v>31.1</v>
      </c>
      <c r="AH47">
        <v>2</v>
      </c>
      <c r="AI47">
        <v>16631050</v>
      </c>
      <c r="AJ47">
        <v>39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ROW(Source!A39)</f>
        <v>39</v>
      </c>
      <c r="B48">
        <v>16631062</v>
      </c>
      <c r="C48">
        <v>16631042</v>
      </c>
      <c r="D48">
        <v>15162504</v>
      </c>
      <c r="E48">
        <v>17</v>
      </c>
      <c r="F48">
        <v>1</v>
      </c>
      <c r="G48">
        <v>1</v>
      </c>
      <c r="H48">
        <v>3</v>
      </c>
      <c r="I48" t="s">
        <v>1672</v>
      </c>
      <c r="J48" t="s">
        <v>6</v>
      </c>
      <c r="K48" t="s">
        <v>1673</v>
      </c>
      <c r="L48">
        <v>1327</v>
      </c>
      <c r="N48">
        <v>1005</v>
      </c>
      <c r="O48" t="s">
        <v>87</v>
      </c>
      <c r="P48" t="s">
        <v>87</v>
      </c>
      <c r="Q48">
        <v>1</v>
      </c>
      <c r="X48">
        <v>100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 t="s">
        <v>6</v>
      </c>
      <c r="AG48">
        <v>100</v>
      </c>
      <c r="AH48">
        <v>3</v>
      </c>
      <c r="AI48">
        <v>-1</v>
      </c>
      <c r="AJ48" t="s">
        <v>6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ROW(Source!A39)</f>
        <v>39</v>
      </c>
      <c r="B49">
        <v>16631063</v>
      </c>
      <c r="C49">
        <v>16631042</v>
      </c>
      <c r="D49">
        <v>15197780</v>
      </c>
      <c r="E49">
        <v>1</v>
      </c>
      <c r="F49">
        <v>1</v>
      </c>
      <c r="G49">
        <v>1</v>
      </c>
      <c r="H49">
        <v>3</v>
      </c>
      <c r="I49" t="s">
        <v>1195</v>
      </c>
      <c r="J49" t="s">
        <v>1196</v>
      </c>
      <c r="K49" t="s">
        <v>1197</v>
      </c>
      <c r="L49">
        <v>1355</v>
      </c>
      <c r="N49">
        <v>1010</v>
      </c>
      <c r="O49" t="s">
        <v>243</v>
      </c>
      <c r="P49" t="s">
        <v>243</v>
      </c>
      <c r="Q49">
        <v>100</v>
      </c>
      <c r="X49">
        <v>8</v>
      </c>
      <c r="Y49">
        <v>50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6</v>
      </c>
      <c r="AG49">
        <v>8</v>
      </c>
      <c r="AH49">
        <v>2</v>
      </c>
      <c r="AI49">
        <v>16631052</v>
      </c>
      <c r="AJ49">
        <v>41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ROW(Source!A39)</f>
        <v>39</v>
      </c>
      <c r="B50">
        <v>16631064</v>
      </c>
      <c r="C50">
        <v>16631042</v>
      </c>
      <c r="D50">
        <v>15204239</v>
      </c>
      <c r="E50">
        <v>1</v>
      </c>
      <c r="F50">
        <v>1</v>
      </c>
      <c r="G50">
        <v>1</v>
      </c>
      <c r="H50">
        <v>3</v>
      </c>
      <c r="I50" t="s">
        <v>1198</v>
      </c>
      <c r="J50" t="s">
        <v>1199</v>
      </c>
      <c r="K50" t="s">
        <v>1200</v>
      </c>
      <c r="L50">
        <v>1354</v>
      </c>
      <c r="N50">
        <v>1010</v>
      </c>
      <c r="O50" t="s">
        <v>132</v>
      </c>
      <c r="P50" t="s">
        <v>132</v>
      </c>
      <c r="Q50">
        <v>1</v>
      </c>
      <c r="X50">
        <v>70.3</v>
      </c>
      <c r="Y50">
        <v>67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6</v>
      </c>
      <c r="AG50">
        <v>70.3</v>
      </c>
      <c r="AH50">
        <v>2</v>
      </c>
      <c r="AI50">
        <v>16631053</v>
      </c>
      <c r="AJ50">
        <v>42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ROW(Source!A41)</f>
        <v>41</v>
      </c>
      <c r="B51">
        <v>16631219</v>
      </c>
      <c r="C51">
        <v>16631209</v>
      </c>
      <c r="D51">
        <v>15436014</v>
      </c>
      <c r="E51">
        <v>1</v>
      </c>
      <c r="F51">
        <v>1</v>
      </c>
      <c r="G51">
        <v>1</v>
      </c>
      <c r="H51">
        <v>1</v>
      </c>
      <c r="I51" t="s">
        <v>1181</v>
      </c>
      <c r="J51" t="s">
        <v>6</v>
      </c>
      <c r="K51" t="s">
        <v>1182</v>
      </c>
      <c r="L51">
        <v>1191</v>
      </c>
      <c r="N51">
        <v>1013</v>
      </c>
      <c r="O51" t="s">
        <v>1148</v>
      </c>
      <c r="P51" t="s">
        <v>1148</v>
      </c>
      <c r="Q51">
        <v>1</v>
      </c>
      <c r="X51">
        <v>17.16</v>
      </c>
      <c r="Y51">
        <v>0</v>
      </c>
      <c r="Z51">
        <v>0</v>
      </c>
      <c r="AA51">
        <v>0</v>
      </c>
      <c r="AB51">
        <v>8.74</v>
      </c>
      <c r="AC51">
        <v>0</v>
      </c>
      <c r="AD51">
        <v>1</v>
      </c>
      <c r="AE51">
        <v>1</v>
      </c>
      <c r="AF51" t="s">
        <v>6</v>
      </c>
      <c r="AG51">
        <v>17.16</v>
      </c>
      <c r="AH51">
        <v>2</v>
      </c>
      <c r="AI51">
        <v>16631210</v>
      </c>
      <c r="AJ51">
        <v>43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ROW(Source!A41)</f>
        <v>41</v>
      </c>
      <c r="B52">
        <v>16631220</v>
      </c>
      <c r="C52">
        <v>16631209</v>
      </c>
      <c r="D52">
        <v>15430395</v>
      </c>
      <c r="E52">
        <v>1</v>
      </c>
      <c r="F52">
        <v>1</v>
      </c>
      <c r="G52">
        <v>1</v>
      </c>
      <c r="H52">
        <v>1</v>
      </c>
      <c r="I52" t="s">
        <v>1149</v>
      </c>
      <c r="J52" t="s">
        <v>6</v>
      </c>
      <c r="K52" t="s">
        <v>1150</v>
      </c>
      <c r="L52">
        <v>1191</v>
      </c>
      <c r="N52">
        <v>1013</v>
      </c>
      <c r="O52" t="s">
        <v>1148</v>
      </c>
      <c r="P52" t="s">
        <v>1148</v>
      </c>
      <c r="Q52">
        <v>1</v>
      </c>
      <c r="X52">
        <v>0.04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2</v>
      </c>
      <c r="AF52" t="s">
        <v>6</v>
      </c>
      <c r="AG52">
        <v>0.04</v>
      </c>
      <c r="AH52">
        <v>2</v>
      </c>
      <c r="AI52">
        <v>16631211</v>
      </c>
      <c r="AJ52">
        <v>44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ROW(Source!A41)</f>
        <v>41</v>
      </c>
      <c r="B53">
        <v>16631221</v>
      </c>
      <c r="C53">
        <v>16631209</v>
      </c>
      <c r="D53">
        <v>15247878</v>
      </c>
      <c r="E53">
        <v>1</v>
      </c>
      <c r="F53">
        <v>1</v>
      </c>
      <c r="G53">
        <v>1</v>
      </c>
      <c r="H53">
        <v>2</v>
      </c>
      <c r="I53" t="s">
        <v>1201</v>
      </c>
      <c r="J53" t="s">
        <v>1202</v>
      </c>
      <c r="K53" t="s">
        <v>1203</v>
      </c>
      <c r="L53">
        <v>1368</v>
      </c>
      <c r="N53">
        <v>1011</v>
      </c>
      <c r="O53" t="s">
        <v>1154</v>
      </c>
      <c r="P53" t="s">
        <v>1154</v>
      </c>
      <c r="Q53">
        <v>1</v>
      </c>
      <c r="X53">
        <v>0.1</v>
      </c>
      <c r="Y53">
        <v>0</v>
      </c>
      <c r="Z53">
        <v>1.7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6</v>
      </c>
      <c r="AG53">
        <v>0.1</v>
      </c>
      <c r="AH53">
        <v>2</v>
      </c>
      <c r="AI53">
        <v>16631212</v>
      </c>
      <c r="AJ53">
        <v>45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ROW(Source!A41)</f>
        <v>41</v>
      </c>
      <c r="B54">
        <v>16631222</v>
      </c>
      <c r="C54">
        <v>16631209</v>
      </c>
      <c r="D54">
        <v>15249073</v>
      </c>
      <c r="E54">
        <v>1</v>
      </c>
      <c r="F54">
        <v>1</v>
      </c>
      <c r="G54">
        <v>1</v>
      </c>
      <c r="H54">
        <v>2</v>
      </c>
      <c r="I54" t="s">
        <v>1157</v>
      </c>
      <c r="J54" t="s">
        <v>1158</v>
      </c>
      <c r="K54" t="s">
        <v>1159</v>
      </c>
      <c r="L54">
        <v>1368</v>
      </c>
      <c r="N54">
        <v>1011</v>
      </c>
      <c r="O54" t="s">
        <v>1154</v>
      </c>
      <c r="P54" t="s">
        <v>1154</v>
      </c>
      <c r="Q54">
        <v>1</v>
      </c>
      <c r="X54">
        <v>0.04</v>
      </c>
      <c r="Y54">
        <v>0</v>
      </c>
      <c r="Z54">
        <v>65.709999999999994</v>
      </c>
      <c r="AA54">
        <v>11.6</v>
      </c>
      <c r="AB54">
        <v>0</v>
      </c>
      <c r="AC54">
        <v>0</v>
      </c>
      <c r="AD54">
        <v>1</v>
      </c>
      <c r="AE54">
        <v>0</v>
      </c>
      <c r="AF54" t="s">
        <v>6</v>
      </c>
      <c r="AG54">
        <v>0.04</v>
      </c>
      <c r="AH54">
        <v>2</v>
      </c>
      <c r="AI54">
        <v>16631213</v>
      </c>
      <c r="AJ54">
        <v>46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ROW(Source!A41)</f>
        <v>41</v>
      </c>
      <c r="B55">
        <v>16631223</v>
      </c>
      <c r="C55">
        <v>16631209</v>
      </c>
      <c r="D55">
        <v>15171018</v>
      </c>
      <c r="E55">
        <v>1</v>
      </c>
      <c r="F55">
        <v>1</v>
      </c>
      <c r="G55">
        <v>1</v>
      </c>
      <c r="H55">
        <v>3</v>
      </c>
      <c r="I55" t="s">
        <v>1204</v>
      </c>
      <c r="J55" t="s">
        <v>1205</v>
      </c>
      <c r="K55" t="s">
        <v>1206</v>
      </c>
      <c r="L55">
        <v>1346</v>
      </c>
      <c r="N55">
        <v>1009</v>
      </c>
      <c r="O55" t="s">
        <v>102</v>
      </c>
      <c r="P55" t="s">
        <v>102</v>
      </c>
      <c r="Q55">
        <v>1</v>
      </c>
      <c r="X55">
        <v>0.01</v>
      </c>
      <c r="Y55">
        <v>1.82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6</v>
      </c>
      <c r="AG55">
        <v>0.01</v>
      </c>
      <c r="AH55">
        <v>2</v>
      </c>
      <c r="AI55">
        <v>16631214</v>
      </c>
      <c r="AJ55">
        <v>47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ROW(Source!A41)</f>
        <v>41</v>
      </c>
      <c r="B56">
        <v>16631224</v>
      </c>
      <c r="C56">
        <v>16631209</v>
      </c>
      <c r="D56">
        <v>15171150</v>
      </c>
      <c r="E56">
        <v>1</v>
      </c>
      <c r="F56">
        <v>1</v>
      </c>
      <c r="G56">
        <v>1</v>
      </c>
      <c r="H56">
        <v>3</v>
      </c>
      <c r="I56" t="s">
        <v>1207</v>
      </c>
      <c r="J56" t="s">
        <v>1208</v>
      </c>
      <c r="K56" t="s">
        <v>1209</v>
      </c>
      <c r="L56">
        <v>1348</v>
      </c>
      <c r="N56">
        <v>1009</v>
      </c>
      <c r="O56" t="s">
        <v>98</v>
      </c>
      <c r="P56" t="s">
        <v>98</v>
      </c>
      <c r="Q56">
        <v>1000</v>
      </c>
      <c r="X56">
        <v>1.4500000000000001E-2</v>
      </c>
      <c r="Y56">
        <v>2734.6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6</v>
      </c>
      <c r="AG56">
        <v>1.4500000000000001E-2</v>
      </c>
      <c r="AH56">
        <v>2</v>
      </c>
      <c r="AI56">
        <v>16631215</v>
      </c>
      <c r="AJ56">
        <v>48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ROW(Source!A41)</f>
        <v>41</v>
      </c>
      <c r="B57">
        <v>16631225</v>
      </c>
      <c r="C57">
        <v>16631209</v>
      </c>
      <c r="D57">
        <v>15171907</v>
      </c>
      <c r="E57">
        <v>1</v>
      </c>
      <c r="F57">
        <v>1</v>
      </c>
      <c r="G57">
        <v>1</v>
      </c>
      <c r="H57">
        <v>3</v>
      </c>
      <c r="I57" t="s">
        <v>1210</v>
      </c>
      <c r="J57" t="s">
        <v>1211</v>
      </c>
      <c r="K57" t="s">
        <v>1212</v>
      </c>
      <c r="L57">
        <v>1339</v>
      </c>
      <c r="N57">
        <v>1007</v>
      </c>
      <c r="O57" t="s">
        <v>203</v>
      </c>
      <c r="P57" t="s">
        <v>203</v>
      </c>
      <c r="Q57">
        <v>1</v>
      </c>
      <c r="X57">
        <v>3.0000000000000001E-3</v>
      </c>
      <c r="Y57">
        <v>74.58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6</v>
      </c>
      <c r="AG57">
        <v>3.0000000000000001E-3</v>
      </c>
      <c r="AH57">
        <v>2</v>
      </c>
      <c r="AI57">
        <v>16631216</v>
      </c>
      <c r="AJ57">
        <v>49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ROW(Source!A41)</f>
        <v>41</v>
      </c>
      <c r="B58">
        <v>16631226</v>
      </c>
      <c r="C58">
        <v>16631209</v>
      </c>
      <c r="D58">
        <v>15163051</v>
      </c>
      <c r="E58">
        <v>17</v>
      </c>
      <c r="F58">
        <v>1</v>
      </c>
      <c r="G58">
        <v>1</v>
      </c>
      <c r="H58">
        <v>3</v>
      </c>
      <c r="I58" t="s">
        <v>96</v>
      </c>
      <c r="J58" t="s">
        <v>6</v>
      </c>
      <c r="K58" t="s">
        <v>97</v>
      </c>
      <c r="L58">
        <v>1348</v>
      </c>
      <c r="N58">
        <v>1009</v>
      </c>
      <c r="O58" t="s">
        <v>98</v>
      </c>
      <c r="P58" t="s">
        <v>98</v>
      </c>
      <c r="Q58">
        <v>1000</v>
      </c>
      <c r="X58">
        <v>1.4E-2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 t="s">
        <v>6</v>
      </c>
      <c r="AG58">
        <v>1.4E-2</v>
      </c>
      <c r="AH58">
        <v>2</v>
      </c>
      <c r="AI58">
        <v>16631217</v>
      </c>
      <c r="AJ58">
        <v>50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ROW(Source!A44)</f>
        <v>44</v>
      </c>
      <c r="B59">
        <v>16631234</v>
      </c>
      <c r="C59">
        <v>16631229</v>
      </c>
      <c r="D59">
        <v>15435683</v>
      </c>
      <c r="E59">
        <v>1</v>
      </c>
      <c r="F59">
        <v>1</v>
      </c>
      <c r="G59">
        <v>1</v>
      </c>
      <c r="H59">
        <v>1</v>
      </c>
      <c r="I59" t="s">
        <v>1213</v>
      </c>
      <c r="J59" t="s">
        <v>6</v>
      </c>
      <c r="K59" t="s">
        <v>1214</v>
      </c>
      <c r="L59">
        <v>1191</v>
      </c>
      <c r="N59">
        <v>1013</v>
      </c>
      <c r="O59" t="s">
        <v>1148</v>
      </c>
      <c r="P59" t="s">
        <v>1148</v>
      </c>
      <c r="Q59">
        <v>1</v>
      </c>
      <c r="X59">
        <v>12.8</v>
      </c>
      <c r="Y59">
        <v>0</v>
      </c>
      <c r="Z59">
        <v>0</v>
      </c>
      <c r="AA59">
        <v>0</v>
      </c>
      <c r="AB59">
        <v>9.2899999999999991</v>
      </c>
      <c r="AC59">
        <v>0</v>
      </c>
      <c r="AD59">
        <v>1</v>
      </c>
      <c r="AE59">
        <v>1</v>
      </c>
      <c r="AF59" t="s">
        <v>82</v>
      </c>
      <c r="AG59">
        <v>14.719999999999999</v>
      </c>
      <c r="AH59">
        <v>2</v>
      </c>
      <c r="AI59">
        <v>16631230</v>
      </c>
      <c r="AJ59">
        <v>52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ROW(Source!A44)</f>
        <v>44</v>
      </c>
      <c r="B60">
        <v>16631235</v>
      </c>
      <c r="C60">
        <v>16631229</v>
      </c>
      <c r="D60">
        <v>15430395</v>
      </c>
      <c r="E60">
        <v>1</v>
      </c>
      <c r="F60">
        <v>1</v>
      </c>
      <c r="G60">
        <v>1</v>
      </c>
      <c r="H60">
        <v>1</v>
      </c>
      <c r="I60" t="s">
        <v>1149</v>
      </c>
      <c r="J60" t="s">
        <v>6</v>
      </c>
      <c r="K60" t="s">
        <v>1150</v>
      </c>
      <c r="L60">
        <v>1191</v>
      </c>
      <c r="N60">
        <v>1013</v>
      </c>
      <c r="O60" t="s">
        <v>1148</v>
      </c>
      <c r="P60" t="s">
        <v>1148</v>
      </c>
      <c r="Q60">
        <v>1</v>
      </c>
      <c r="X60">
        <v>0.05</v>
      </c>
      <c r="Y60">
        <v>0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2</v>
      </c>
      <c r="AF60" t="s">
        <v>81</v>
      </c>
      <c r="AG60">
        <v>6.25E-2</v>
      </c>
      <c r="AH60">
        <v>2</v>
      </c>
      <c r="AI60">
        <v>16631231</v>
      </c>
      <c r="AJ60">
        <v>53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ROW(Source!A44)</f>
        <v>44</v>
      </c>
      <c r="B61">
        <v>16631236</v>
      </c>
      <c r="C61">
        <v>16631229</v>
      </c>
      <c r="D61">
        <v>15249073</v>
      </c>
      <c r="E61">
        <v>1</v>
      </c>
      <c r="F61">
        <v>1</v>
      </c>
      <c r="G61">
        <v>1</v>
      </c>
      <c r="H61">
        <v>2</v>
      </c>
      <c r="I61" t="s">
        <v>1157</v>
      </c>
      <c r="J61" t="s">
        <v>1158</v>
      </c>
      <c r="K61" t="s">
        <v>1159</v>
      </c>
      <c r="L61">
        <v>1368</v>
      </c>
      <c r="N61">
        <v>1011</v>
      </c>
      <c r="O61" t="s">
        <v>1154</v>
      </c>
      <c r="P61" t="s">
        <v>1154</v>
      </c>
      <c r="Q61">
        <v>1</v>
      </c>
      <c r="X61">
        <v>0.05</v>
      </c>
      <c r="Y61">
        <v>0</v>
      </c>
      <c r="Z61">
        <v>65.709999999999994</v>
      </c>
      <c r="AA61">
        <v>11.6</v>
      </c>
      <c r="AB61">
        <v>0</v>
      </c>
      <c r="AC61">
        <v>0</v>
      </c>
      <c r="AD61">
        <v>1</v>
      </c>
      <c r="AE61">
        <v>0</v>
      </c>
      <c r="AF61" t="s">
        <v>81</v>
      </c>
      <c r="AG61">
        <v>6.25E-2</v>
      </c>
      <c r="AH61">
        <v>2</v>
      </c>
      <c r="AI61">
        <v>16631232</v>
      </c>
      <c r="AJ61">
        <v>54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ROW(Source!A44)</f>
        <v>44</v>
      </c>
      <c r="B62">
        <v>16631237</v>
      </c>
      <c r="C62">
        <v>16631229</v>
      </c>
      <c r="D62">
        <v>15162072</v>
      </c>
      <c r="E62">
        <v>17</v>
      </c>
      <c r="F62">
        <v>1</v>
      </c>
      <c r="G62">
        <v>1</v>
      </c>
      <c r="H62">
        <v>3</v>
      </c>
      <c r="I62" t="s">
        <v>1674</v>
      </c>
      <c r="J62" t="s">
        <v>6</v>
      </c>
      <c r="K62" t="s">
        <v>1675</v>
      </c>
      <c r="L62">
        <v>1348</v>
      </c>
      <c r="N62">
        <v>1009</v>
      </c>
      <c r="O62" t="s">
        <v>98</v>
      </c>
      <c r="P62" t="s">
        <v>98</v>
      </c>
      <c r="Q62">
        <v>1000</v>
      </c>
      <c r="X62">
        <v>7.5000000000000002E-4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 t="s">
        <v>6</v>
      </c>
      <c r="AG62">
        <v>7.5000000000000002E-4</v>
      </c>
      <c r="AH62">
        <v>3</v>
      </c>
      <c r="AI62">
        <v>-1</v>
      </c>
      <c r="AJ62" t="s">
        <v>6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ROW(Source!A44)</f>
        <v>44</v>
      </c>
      <c r="B63">
        <v>16631238</v>
      </c>
      <c r="C63">
        <v>16631229</v>
      </c>
      <c r="D63">
        <v>15161825</v>
      </c>
      <c r="E63">
        <v>17</v>
      </c>
      <c r="F63">
        <v>1</v>
      </c>
      <c r="G63">
        <v>1</v>
      </c>
      <c r="H63">
        <v>3</v>
      </c>
      <c r="I63" t="s">
        <v>1676</v>
      </c>
      <c r="J63" t="s">
        <v>6</v>
      </c>
      <c r="K63" t="s">
        <v>1677</v>
      </c>
      <c r="L63">
        <v>1348</v>
      </c>
      <c r="N63">
        <v>1009</v>
      </c>
      <c r="O63" t="s">
        <v>98</v>
      </c>
      <c r="P63" t="s">
        <v>98</v>
      </c>
      <c r="Q63">
        <v>1000</v>
      </c>
      <c r="X63">
        <v>0</v>
      </c>
      <c r="Y63">
        <v>0</v>
      </c>
      <c r="Z63">
        <v>0</v>
      </c>
      <c r="AA63">
        <v>0</v>
      </c>
      <c r="AB63">
        <v>0</v>
      </c>
      <c r="AC63">
        <v>1</v>
      </c>
      <c r="AD63">
        <v>0</v>
      </c>
      <c r="AE63">
        <v>0</v>
      </c>
      <c r="AF63" t="s">
        <v>6</v>
      </c>
      <c r="AG63">
        <v>0</v>
      </c>
      <c r="AH63">
        <v>3</v>
      </c>
      <c r="AI63">
        <v>-1</v>
      </c>
      <c r="AJ63" t="s">
        <v>6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ROW(Source!A44)</f>
        <v>44</v>
      </c>
      <c r="B64">
        <v>16631239</v>
      </c>
      <c r="C64">
        <v>16631229</v>
      </c>
      <c r="D64">
        <v>15161825</v>
      </c>
      <c r="E64">
        <v>17</v>
      </c>
      <c r="F64">
        <v>1</v>
      </c>
      <c r="G64">
        <v>1</v>
      </c>
      <c r="H64">
        <v>3</v>
      </c>
      <c r="I64" t="s">
        <v>1676</v>
      </c>
      <c r="J64" t="s">
        <v>6</v>
      </c>
      <c r="K64" t="s">
        <v>1678</v>
      </c>
      <c r="L64">
        <v>1348</v>
      </c>
      <c r="N64">
        <v>1009</v>
      </c>
      <c r="O64" t="s">
        <v>98</v>
      </c>
      <c r="P64" t="s">
        <v>98</v>
      </c>
      <c r="Q64">
        <v>1000</v>
      </c>
      <c r="X64">
        <v>4.0000000000000001E-3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 t="s">
        <v>6</v>
      </c>
      <c r="AG64">
        <v>4.0000000000000001E-3</v>
      </c>
      <c r="AH64">
        <v>3</v>
      </c>
      <c r="AI64">
        <v>-1</v>
      </c>
      <c r="AJ64" t="s">
        <v>6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ROW(Source!A46)</f>
        <v>46</v>
      </c>
      <c r="B65">
        <v>16631249</v>
      </c>
      <c r="C65">
        <v>16631241</v>
      </c>
      <c r="D65">
        <v>15430497</v>
      </c>
      <c r="E65">
        <v>1</v>
      </c>
      <c r="F65">
        <v>1</v>
      </c>
      <c r="G65">
        <v>1</v>
      </c>
      <c r="H65">
        <v>1</v>
      </c>
      <c r="I65" t="s">
        <v>1215</v>
      </c>
      <c r="J65" t="s">
        <v>6</v>
      </c>
      <c r="K65" t="s">
        <v>1216</v>
      </c>
      <c r="L65">
        <v>1191</v>
      </c>
      <c r="N65">
        <v>1013</v>
      </c>
      <c r="O65" t="s">
        <v>1148</v>
      </c>
      <c r="P65" t="s">
        <v>1148</v>
      </c>
      <c r="Q65">
        <v>1</v>
      </c>
      <c r="X65">
        <v>71.06</v>
      </c>
      <c r="Y65">
        <v>0</v>
      </c>
      <c r="Z65">
        <v>0</v>
      </c>
      <c r="AA65">
        <v>0</v>
      </c>
      <c r="AB65">
        <v>8.86</v>
      </c>
      <c r="AC65">
        <v>0</v>
      </c>
      <c r="AD65">
        <v>1</v>
      </c>
      <c r="AE65">
        <v>1</v>
      </c>
      <c r="AF65" t="s">
        <v>82</v>
      </c>
      <c r="AG65">
        <v>81.718999999999994</v>
      </c>
      <c r="AH65">
        <v>2</v>
      </c>
      <c r="AI65">
        <v>16631242</v>
      </c>
      <c r="AJ65">
        <v>56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ROW(Source!A46)</f>
        <v>46</v>
      </c>
      <c r="B66">
        <v>16631250</v>
      </c>
      <c r="C66">
        <v>16631241</v>
      </c>
      <c r="D66">
        <v>15430395</v>
      </c>
      <c r="E66">
        <v>1</v>
      </c>
      <c r="F66">
        <v>1</v>
      </c>
      <c r="G66">
        <v>1</v>
      </c>
      <c r="H66">
        <v>1</v>
      </c>
      <c r="I66" t="s">
        <v>1149</v>
      </c>
      <c r="J66" t="s">
        <v>6</v>
      </c>
      <c r="K66" t="s">
        <v>1150</v>
      </c>
      <c r="L66">
        <v>1191</v>
      </c>
      <c r="N66">
        <v>1013</v>
      </c>
      <c r="O66" t="s">
        <v>1148</v>
      </c>
      <c r="P66" t="s">
        <v>1148</v>
      </c>
      <c r="Q66">
        <v>1</v>
      </c>
      <c r="X66">
        <v>0.04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2</v>
      </c>
      <c r="AF66" t="s">
        <v>81</v>
      </c>
      <c r="AG66">
        <v>0.05</v>
      </c>
      <c r="AH66">
        <v>2</v>
      </c>
      <c r="AI66">
        <v>16631243</v>
      </c>
      <c r="AJ66">
        <v>57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ROW(Source!A46)</f>
        <v>46</v>
      </c>
      <c r="B67">
        <v>16631251</v>
      </c>
      <c r="C67">
        <v>16631241</v>
      </c>
      <c r="D67">
        <v>15247974</v>
      </c>
      <c r="E67">
        <v>1</v>
      </c>
      <c r="F67">
        <v>1</v>
      </c>
      <c r="G67">
        <v>1</v>
      </c>
      <c r="H67">
        <v>2</v>
      </c>
      <c r="I67" t="s">
        <v>1151</v>
      </c>
      <c r="J67" t="s">
        <v>1152</v>
      </c>
      <c r="K67" t="s">
        <v>1153</v>
      </c>
      <c r="L67">
        <v>1368</v>
      </c>
      <c r="N67">
        <v>1011</v>
      </c>
      <c r="O67" t="s">
        <v>1154</v>
      </c>
      <c r="P67" t="s">
        <v>1154</v>
      </c>
      <c r="Q67">
        <v>1</v>
      </c>
      <c r="X67">
        <v>0.01</v>
      </c>
      <c r="Y67">
        <v>0</v>
      </c>
      <c r="Z67">
        <v>31.26</v>
      </c>
      <c r="AA67">
        <v>13.5</v>
      </c>
      <c r="AB67">
        <v>0</v>
      </c>
      <c r="AC67">
        <v>0</v>
      </c>
      <c r="AD67">
        <v>1</v>
      </c>
      <c r="AE67">
        <v>0</v>
      </c>
      <c r="AF67" t="s">
        <v>81</v>
      </c>
      <c r="AG67">
        <v>1.2500000000000001E-2</v>
      </c>
      <c r="AH67">
        <v>2</v>
      </c>
      <c r="AI67">
        <v>16631244</v>
      </c>
      <c r="AJ67">
        <v>58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ROW(Source!A46)</f>
        <v>46</v>
      </c>
      <c r="B68">
        <v>16631252</v>
      </c>
      <c r="C68">
        <v>16631241</v>
      </c>
      <c r="D68">
        <v>15249073</v>
      </c>
      <c r="E68">
        <v>1</v>
      </c>
      <c r="F68">
        <v>1</v>
      </c>
      <c r="G68">
        <v>1</v>
      </c>
      <c r="H68">
        <v>2</v>
      </c>
      <c r="I68" t="s">
        <v>1157</v>
      </c>
      <c r="J68" t="s">
        <v>1158</v>
      </c>
      <c r="K68" t="s">
        <v>1159</v>
      </c>
      <c r="L68">
        <v>1368</v>
      </c>
      <c r="N68">
        <v>1011</v>
      </c>
      <c r="O68" t="s">
        <v>1154</v>
      </c>
      <c r="P68" t="s">
        <v>1154</v>
      </c>
      <c r="Q68">
        <v>1</v>
      </c>
      <c r="X68">
        <v>0.03</v>
      </c>
      <c r="Y68">
        <v>0</v>
      </c>
      <c r="Z68">
        <v>65.709999999999994</v>
      </c>
      <c r="AA68">
        <v>11.6</v>
      </c>
      <c r="AB68">
        <v>0</v>
      </c>
      <c r="AC68">
        <v>0</v>
      </c>
      <c r="AD68">
        <v>1</v>
      </c>
      <c r="AE68">
        <v>0</v>
      </c>
      <c r="AF68" t="s">
        <v>81</v>
      </c>
      <c r="AG68">
        <v>3.7499999999999999E-2</v>
      </c>
      <c r="AH68">
        <v>2</v>
      </c>
      <c r="AI68">
        <v>16631245</v>
      </c>
      <c r="AJ68">
        <v>59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ROW(Source!A46)</f>
        <v>46</v>
      </c>
      <c r="B69">
        <v>16631253</v>
      </c>
      <c r="C69">
        <v>16631241</v>
      </c>
      <c r="D69">
        <v>15171018</v>
      </c>
      <c r="E69">
        <v>1</v>
      </c>
      <c r="F69">
        <v>1</v>
      </c>
      <c r="G69">
        <v>1</v>
      </c>
      <c r="H69">
        <v>3</v>
      </c>
      <c r="I69" t="s">
        <v>1204</v>
      </c>
      <c r="J69" t="s">
        <v>1205</v>
      </c>
      <c r="K69" t="s">
        <v>1206</v>
      </c>
      <c r="L69">
        <v>1346</v>
      </c>
      <c r="N69">
        <v>1009</v>
      </c>
      <c r="O69" t="s">
        <v>102</v>
      </c>
      <c r="P69" t="s">
        <v>102</v>
      </c>
      <c r="Q69">
        <v>1</v>
      </c>
      <c r="X69">
        <v>0.3</v>
      </c>
      <c r="Y69">
        <v>1.82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6</v>
      </c>
      <c r="AG69">
        <v>0.3</v>
      </c>
      <c r="AH69">
        <v>2</v>
      </c>
      <c r="AI69">
        <v>16631246</v>
      </c>
      <c r="AJ69">
        <v>60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ROW(Source!A46)</f>
        <v>46</v>
      </c>
      <c r="B70">
        <v>16631254</v>
      </c>
      <c r="C70">
        <v>16631241</v>
      </c>
      <c r="D70">
        <v>15163068</v>
      </c>
      <c r="E70">
        <v>17</v>
      </c>
      <c r="F70">
        <v>1</v>
      </c>
      <c r="G70">
        <v>1</v>
      </c>
      <c r="H70">
        <v>3</v>
      </c>
      <c r="I70" t="s">
        <v>1679</v>
      </c>
      <c r="J70" t="s">
        <v>6</v>
      </c>
      <c r="K70" t="s">
        <v>1680</v>
      </c>
      <c r="L70">
        <v>1348</v>
      </c>
      <c r="N70">
        <v>1009</v>
      </c>
      <c r="O70" t="s">
        <v>98</v>
      </c>
      <c r="P70" t="s">
        <v>98</v>
      </c>
      <c r="Q70">
        <v>1000</v>
      </c>
      <c r="X70">
        <v>2.46E-2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 t="s">
        <v>6</v>
      </c>
      <c r="AG70">
        <v>2.46E-2</v>
      </c>
      <c r="AH70">
        <v>3</v>
      </c>
      <c r="AI70">
        <v>-1</v>
      </c>
      <c r="AJ70" t="s">
        <v>6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ROW(Source!A46)</f>
        <v>46</v>
      </c>
      <c r="B71">
        <v>16631255</v>
      </c>
      <c r="C71">
        <v>16631241</v>
      </c>
      <c r="D71">
        <v>15204471</v>
      </c>
      <c r="E71">
        <v>1</v>
      </c>
      <c r="F71">
        <v>1</v>
      </c>
      <c r="G71">
        <v>1</v>
      </c>
      <c r="H71">
        <v>3</v>
      </c>
      <c r="I71" t="s">
        <v>1217</v>
      </c>
      <c r="J71" t="s">
        <v>1218</v>
      </c>
      <c r="K71" t="s">
        <v>1219</v>
      </c>
      <c r="L71">
        <v>1346</v>
      </c>
      <c r="N71">
        <v>1009</v>
      </c>
      <c r="O71" t="s">
        <v>102</v>
      </c>
      <c r="P71" t="s">
        <v>102</v>
      </c>
      <c r="Q71">
        <v>1</v>
      </c>
      <c r="X71">
        <v>2.7</v>
      </c>
      <c r="Y71">
        <v>32.6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6</v>
      </c>
      <c r="AG71">
        <v>2.7</v>
      </c>
      <c r="AH71">
        <v>2</v>
      </c>
      <c r="AI71">
        <v>16631247</v>
      </c>
      <c r="AJ71">
        <v>62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ROW(Source!A48)</f>
        <v>48</v>
      </c>
      <c r="B72">
        <v>16631263</v>
      </c>
      <c r="C72">
        <v>16631257</v>
      </c>
      <c r="D72">
        <v>15446300</v>
      </c>
      <c r="E72">
        <v>1</v>
      </c>
      <c r="F72">
        <v>1</v>
      </c>
      <c r="G72">
        <v>1</v>
      </c>
      <c r="H72">
        <v>1</v>
      </c>
      <c r="I72" t="s">
        <v>1220</v>
      </c>
      <c r="J72" t="s">
        <v>6</v>
      </c>
      <c r="K72" t="s">
        <v>1221</v>
      </c>
      <c r="L72">
        <v>1191</v>
      </c>
      <c r="N72">
        <v>1013</v>
      </c>
      <c r="O72" t="s">
        <v>1148</v>
      </c>
      <c r="P72" t="s">
        <v>1148</v>
      </c>
      <c r="Q72">
        <v>1</v>
      </c>
      <c r="X72">
        <v>1.1100000000000001</v>
      </c>
      <c r="Y72">
        <v>0</v>
      </c>
      <c r="Z72">
        <v>0</v>
      </c>
      <c r="AA72">
        <v>0</v>
      </c>
      <c r="AB72">
        <v>9.92</v>
      </c>
      <c r="AC72">
        <v>0</v>
      </c>
      <c r="AD72">
        <v>1</v>
      </c>
      <c r="AE72">
        <v>1</v>
      </c>
      <c r="AF72" t="s">
        <v>82</v>
      </c>
      <c r="AG72">
        <v>1.2765</v>
      </c>
      <c r="AH72">
        <v>2</v>
      </c>
      <c r="AI72">
        <v>16631258</v>
      </c>
      <c r="AJ72">
        <v>63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ROW(Source!A48)</f>
        <v>48</v>
      </c>
      <c r="B73">
        <v>16631264</v>
      </c>
      <c r="C73">
        <v>16631257</v>
      </c>
      <c r="D73">
        <v>15249377</v>
      </c>
      <c r="E73">
        <v>1</v>
      </c>
      <c r="F73">
        <v>1</v>
      </c>
      <c r="G73">
        <v>1</v>
      </c>
      <c r="H73">
        <v>2</v>
      </c>
      <c r="I73" t="s">
        <v>1222</v>
      </c>
      <c r="J73" t="s">
        <v>1223</v>
      </c>
      <c r="K73" t="s">
        <v>1224</v>
      </c>
      <c r="L73">
        <v>1368</v>
      </c>
      <c r="N73">
        <v>1011</v>
      </c>
      <c r="O73" t="s">
        <v>1154</v>
      </c>
      <c r="P73" t="s">
        <v>1154</v>
      </c>
      <c r="Q73">
        <v>1</v>
      </c>
      <c r="X73">
        <v>0.26</v>
      </c>
      <c r="Y73">
        <v>0</v>
      </c>
      <c r="Z73">
        <v>8.1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81</v>
      </c>
      <c r="AG73">
        <v>0.32500000000000001</v>
      </c>
      <c r="AH73">
        <v>2</v>
      </c>
      <c r="AI73">
        <v>16631259</v>
      </c>
      <c r="AJ73">
        <v>64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ROW(Source!A48)</f>
        <v>48</v>
      </c>
      <c r="B74">
        <v>16631265</v>
      </c>
      <c r="C74">
        <v>16631257</v>
      </c>
      <c r="D74">
        <v>15162381</v>
      </c>
      <c r="E74">
        <v>17</v>
      </c>
      <c r="F74">
        <v>1</v>
      </c>
      <c r="G74">
        <v>1</v>
      </c>
      <c r="H74">
        <v>3</v>
      </c>
      <c r="I74" t="s">
        <v>1681</v>
      </c>
      <c r="J74" t="s">
        <v>6</v>
      </c>
      <c r="K74" t="s">
        <v>1682</v>
      </c>
      <c r="L74">
        <v>1035</v>
      </c>
      <c r="N74">
        <v>1013</v>
      </c>
      <c r="O74" t="s">
        <v>177</v>
      </c>
      <c r="P74" t="s">
        <v>177</v>
      </c>
      <c r="Q74">
        <v>1</v>
      </c>
      <c r="X74">
        <v>0</v>
      </c>
      <c r="Y74">
        <v>0</v>
      </c>
      <c r="Z74">
        <v>0</v>
      </c>
      <c r="AA74">
        <v>0</v>
      </c>
      <c r="AB74">
        <v>0</v>
      </c>
      <c r="AC74">
        <v>1</v>
      </c>
      <c r="AD74">
        <v>0</v>
      </c>
      <c r="AE74">
        <v>0</v>
      </c>
      <c r="AF74" t="s">
        <v>6</v>
      </c>
      <c r="AG74">
        <v>0</v>
      </c>
      <c r="AH74">
        <v>3</v>
      </c>
      <c r="AI74">
        <v>-1</v>
      </c>
      <c r="AJ74" t="s">
        <v>6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ROW(Source!A48)</f>
        <v>48</v>
      </c>
      <c r="B75">
        <v>16631266</v>
      </c>
      <c r="C75">
        <v>16631257</v>
      </c>
      <c r="D75">
        <v>15168750</v>
      </c>
      <c r="E75">
        <v>1</v>
      </c>
      <c r="F75">
        <v>1</v>
      </c>
      <c r="G75">
        <v>1</v>
      </c>
      <c r="H75">
        <v>3</v>
      </c>
      <c r="I75" t="s">
        <v>1225</v>
      </c>
      <c r="J75" t="s">
        <v>1226</v>
      </c>
      <c r="K75" t="s">
        <v>1227</v>
      </c>
      <c r="L75">
        <v>1348</v>
      </c>
      <c r="N75">
        <v>1009</v>
      </c>
      <c r="O75" t="s">
        <v>98</v>
      </c>
      <c r="P75" t="s">
        <v>98</v>
      </c>
      <c r="Q75">
        <v>1000</v>
      </c>
      <c r="X75">
        <v>6.9999999999999994E-5</v>
      </c>
      <c r="Y75">
        <v>10315.01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6</v>
      </c>
      <c r="AG75">
        <v>6.9999999999999994E-5</v>
      </c>
      <c r="AH75">
        <v>2</v>
      </c>
      <c r="AI75">
        <v>16631261</v>
      </c>
      <c r="AJ75">
        <v>66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ROW(Source!A48)</f>
        <v>48</v>
      </c>
      <c r="B76">
        <v>16631267</v>
      </c>
      <c r="C76">
        <v>16631257</v>
      </c>
      <c r="D76">
        <v>15169980</v>
      </c>
      <c r="E76">
        <v>1</v>
      </c>
      <c r="F76">
        <v>1</v>
      </c>
      <c r="G76">
        <v>1</v>
      </c>
      <c r="H76">
        <v>3</v>
      </c>
      <c r="I76" t="s">
        <v>1228</v>
      </c>
      <c r="J76" t="s">
        <v>1229</v>
      </c>
      <c r="K76" t="s">
        <v>1230</v>
      </c>
      <c r="L76">
        <v>1355</v>
      </c>
      <c r="N76">
        <v>1010</v>
      </c>
      <c r="O76" t="s">
        <v>243</v>
      </c>
      <c r="P76" t="s">
        <v>243</v>
      </c>
      <c r="Q76">
        <v>100</v>
      </c>
      <c r="X76">
        <v>8.0000000000000007E-5</v>
      </c>
      <c r="Y76">
        <v>20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6</v>
      </c>
      <c r="AG76">
        <v>8.0000000000000007E-5</v>
      </c>
      <c r="AH76">
        <v>2</v>
      </c>
      <c r="AI76">
        <v>16631262</v>
      </c>
      <c r="AJ76">
        <v>67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ROW(Source!A50)</f>
        <v>50</v>
      </c>
      <c r="B77">
        <v>16631278</v>
      </c>
      <c r="C77">
        <v>16631269</v>
      </c>
      <c r="D77">
        <v>15435609</v>
      </c>
      <c r="E77">
        <v>1</v>
      </c>
      <c r="F77">
        <v>1</v>
      </c>
      <c r="G77">
        <v>1</v>
      </c>
      <c r="H77">
        <v>1</v>
      </c>
      <c r="I77" t="s">
        <v>1231</v>
      </c>
      <c r="J77" t="s">
        <v>6</v>
      </c>
      <c r="K77" t="s">
        <v>1232</v>
      </c>
      <c r="L77">
        <v>1191</v>
      </c>
      <c r="N77">
        <v>1013</v>
      </c>
      <c r="O77" t="s">
        <v>1148</v>
      </c>
      <c r="P77" t="s">
        <v>1148</v>
      </c>
      <c r="Q77">
        <v>1</v>
      </c>
      <c r="X77">
        <v>42.9</v>
      </c>
      <c r="Y77">
        <v>0</v>
      </c>
      <c r="Z77">
        <v>0</v>
      </c>
      <c r="AA77">
        <v>0</v>
      </c>
      <c r="AB77">
        <v>8.9700000000000006</v>
      </c>
      <c r="AC77">
        <v>0</v>
      </c>
      <c r="AD77">
        <v>1</v>
      </c>
      <c r="AE77">
        <v>1</v>
      </c>
      <c r="AF77" t="s">
        <v>82</v>
      </c>
      <c r="AG77">
        <v>49.334999999999994</v>
      </c>
      <c r="AH77">
        <v>2</v>
      </c>
      <c r="AI77">
        <v>16631270</v>
      </c>
      <c r="AJ77">
        <v>68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ROW(Source!A50)</f>
        <v>50</v>
      </c>
      <c r="B78">
        <v>16631279</v>
      </c>
      <c r="C78">
        <v>16631269</v>
      </c>
      <c r="D78">
        <v>15430395</v>
      </c>
      <c r="E78">
        <v>1</v>
      </c>
      <c r="F78">
        <v>1</v>
      </c>
      <c r="G78">
        <v>1</v>
      </c>
      <c r="H78">
        <v>1</v>
      </c>
      <c r="I78" t="s">
        <v>1149</v>
      </c>
      <c r="J78" t="s">
        <v>6</v>
      </c>
      <c r="K78" t="s">
        <v>1150</v>
      </c>
      <c r="L78">
        <v>1191</v>
      </c>
      <c r="N78">
        <v>1013</v>
      </c>
      <c r="O78" t="s">
        <v>1148</v>
      </c>
      <c r="P78" t="s">
        <v>1148</v>
      </c>
      <c r="Q78">
        <v>1</v>
      </c>
      <c r="X78">
        <v>0.17</v>
      </c>
      <c r="Y78">
        <v>0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2</v>
      </c>
      <c r="AF78" t="s">
        <v>81</v>
      </c>
      <c r="AG78">
        <v>0.21250000000000002</v>
      </c>
      <c r="AH78">
        <v>2</v>
      </c>
      <c r="AI78">
        <v>16631271</v>
      </c>
      <c r="AJ78">
        <v>69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ROW(Source!A50)</f>
        <v>50</v>
      </c>
      <c r="B79">
        <v>16631280</v>
      </c>
      <c r="C79">
        <v>16631269</v>
      </c>
      <c r="D79">
        <v>15247974</v>
      </c>
      <c r="E79">
        <v>1</v>
      </c>
      <c r="F79">
        <v>1</v>
      </c>
      <c r="G79">
        <v>1</v>
      </c>
      <c r="H79">
        <v>2</v>
      </c>
      <c r="I79" t="s">
        <v>1151</v>
      </c>
      <c r="J79" t="s">
        <v>1152</v>
      </c>
      <c r="K79" t="s">
        <v>1153</v>
      </c>
      <c r="L79">
        <v>1368</v>
      </c>
      <c r="N79">
        <v>1011</v>
      </c>
      <c r="O79" t="s">
        <v>1154</v>
      </c>
      <c r="P79" t="s">
        <v>1154</v>
      </c>
      <c r="Q79">
        <v>1</v>
      </c>
      <c r="X79">
        <v>0.02</v>
      </c>
      <c r="Y79">
        <v>0</v>
      </c>
      <c r="Z79">
        <v>31.26</v>
      </c>
      <c r="AA79">
        <v>13.5</v>
      </c>
      <c r="AB79">
        <v>0</v>
      </c>
      <c r="AC79">
        <v>0</v>
      </c>
      <c r="AD79">
        <v>1</v>
      </c>
      <c r="AE79">
        <v>0</v>
      </c>
      <c r="AF79" t="s">
        <v>81</v>
      </c>
      <c r="AG79">
        <v>2.5000000000000001E-2</v>
      </c>
      <c r="AH79">
        <v>2</v>
      </c>
      <c r="AI79">
        <v>16631272</v>
      </c>
      <c r="AJ79">
        <v>70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ROW(Source!A50)</f>
        <v>50</v>
      </c>
      <c r="B80">
        <v>16631281</v>
      </c>
      <c r="C80">
        <v>16631269</v>
      </c>
      <c r="D80">
        <v>15249073</v>
      </c>
      <c r="E80">
        <v>1</v>
      </c>
      <c r="F80">
        <v>1</v>
      </c>
      <c r="G80">
        <v>1</v>
      </c>
      <c r="H80">
        <v>2</v>
      </c>
      <c r="I80" t="s">
        <v>1157</v>
      </c>
      <c r="J80" t="s">
        <v>1158</v>
      </c>
      <c r="K80" t="s">
        <v>1159</v>
      </c>
      <c r="L80">
        <v>1368</v>
      </c>
      <c r="N80">
        <v>1011</v>
      </c>
      <c r="O80" t="s">
        <v>1154</v>
      </c>
      <c r="P80" t="s">
        <v>1154</v>
      </c>
      <c r="Q80">
        <v>1</v>
      </c>
      <c r="X80">
        <v>0.15</v>
      </c>
      <c r="Y80">
        <v>0</v>
      </c>
      <c r="Z80">
        <v>65.709999999999994</v>
      </c>
      <c r="AA80">
        <v>11.6</v>
      </c>
      <c r="AB80">
        <v>0</v>
      </c>
      <c r="AC80">
        <v>0</v>
      </c>
      <c r="AD80">
        <v>1</v>
      </c>
      <c r="AE80">
        <v>0</v>
      </c>
      <c r="AF80" t="s">
        <v>81</v>
      </c>
      <c r="AG80">
        <v>0.1875</v>
      </c>
      <c r="AH80">
        <v>2</v>
      </c>
      <c r="AI80">
        <v>16631273</v>
      </c>
      <c r="AJ80">
        <v>71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ROW(Source!A50)</f>
        <v>50</v>
      </c>
      <c r="B81">
        <v>16631282</v>
      </c>
      <c r="C81">
        <v>16631269</v>
      </c>
      <c r="D81">
        <v>15170682</v>
      </c>
      <c r="E81">
        <v>1</v>
      </c>
      <c r="F81">
        <v>1</v>
      </c>
      <c r="G81">
        <v>1</v>
      </c>
      <c r="H81">
        <v>3</v>
      </c>
      <c r="I81" t="s">
        <v>1233</v>
      </c>
      <c r="J81" t="s">
        <v>1234</v>
      </c>
      <c r="K81" t="s">
        <v>1235</v>
      </c>
      <c r="L81">
        <v>1327</v>
      </c>
      <c r="N81">
        <v>1005</v>
      </c>
      <c r="O81" t="s">
        <v>87</v>
      </c>
      <c r="P81" t="s">
        <v>87</v>
      </c>
      <c r="Q81">
        <v>1</v>
      </c>
      <c r="X81">
        <v>0.84</v>
      </c>
      <c r="Y81">
        <v>72.319999999999993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6</v>
      </c>
      <c r="AG81">
        <v>0.84</v>
      </c>
      <c r="AH81">
        <v>2</v>
      </c>
      <c r="AI81">
        <v>16631274</v>
      </c>
      <c r="AJ81">
        <v>72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ROW(Source!A50)</f>
        <v>50</v>
      </c>
      <c r="B82">
        <v>16631283</v>
      </c>
      <c r="C82">
        <v>16631269</v>
      </c>
      <c r="D82">
        <v>15171018</v>
      </c>
      <c r="E82">
        <v>1</v>
      </c>
      <c r="F82">
        <v>1</v>
      </c>
      <c r="G82">
        <v>1</v>
      </c>
      <c r="H82">
        <v>3</v>
      </c>
      <c r="I82" t="s">
        <v>1204</v>
      </c>
      <c r="J82" t="s">
        <v>1205</v>
      </c>
      <c r="K82" t="s">
        <v>1206</v>
      </c>
      <c r="L82">
        <v>1346</v>
      </c>
      <c r="N82">
        <v>1009</v>
      </c>
      <c r="O82" t="s">
        <v>102</v>
      </c>
      <c r="P82" t="s">
        <v>102</v>
      </c>
      <c r="Q82">
        <v>1</v>
      </c>
      <c r="X82">
        <v>0.31</v>
      </c>
      <c r="Y82">
        <v>1.82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6</v>
      </c>
      <c r="AG82">
        <v>0.31</v>
      </c>
      <c r="AH82">
        <v>2</v>
      </c>
      <c r="AI82">
        <v>16631275</v>
      </c>
      <c r="AJ82">
        <v>73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ROW(Source!A50)</f>
        <v>50</v>
      </c>
      <c r="B83">
        <v>16631284</v>
      </c>
      <c r="C83">
        <v>16631269</v>
      </c>
      <c r="D83">
        <v>15163054</v>
      </c>
      <c r="E83">
        <v>17</v>
      </c>
      <c r="F83">
        <v>1</v>
      </c>
      <c r="G83">
        <v>1</v>
      </c>
      <c r="H83">
        <v>3</v>
      </c>
      <c r="I83" t="s">
        <v>346</v>
      </c>
      <c r="J83" t="s">
        <v>6</v>
      </c>
      <c r="K83" t="s">
        <v>347</v>
      </c>
      <c r="L83">
        <v>1348</v>
      </c>
      <c r="N83">
        <v>1009</v>
      </c>
      <c r="O83" t="s">
        <v>98</v>
      </c>
      <c r="P83" t="s">
        <v>98</v>
      </c>
      <c r="Q83">
        <v>1000</v>
      </c>
      <c r="X83">
        <v>6.3E-2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 t="s">
        <v>6</v>
      </c>
      <c r="AG83">
        <v>6.3E-2</v>
      </c>
      <c r="AH83">
        <v>3</v>
      </c>
      <c r="AI83">
        <v>-1</v>
      </c>
      <c r="AJ83" t="s">
        <v>6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ROW(Source!A50)</f>
        <v>50</v>
      </c>
      <c r="B84">
        <v>16631285</v>
      </c>
      <c r="C84">
        <v>16631269</v>
      </c>
      <c r="D84">
        <v>15204729</v>
      </c>
      <c r="E84">
        <v>1</v>
      </c>
      <c r="F84">
        <v>1</v>
      </c>
      <c r="G84">
        <v>1</v>
      </c>
      <c r="H84">
        <v>3</v>
      </c>
      <c r="I84" t="s">
        <v>1236</v>
      </c>
      <c r="J84" t="s">
        <v>1237</v>
      </c>
      <c r="K84" t="s">
        <v>1238</v>
      </c>
      <c r="L84">
        <v>1348</v>
      </c>
      <c r="N84">
        <v>1009</v>
      </c>
      <c r="O84" t="s">
        <v>98</v>
      </c>
      <c r="P84" t="s">
        <v>98</v>
      </c>
      <c r="Q84">
        <v>1000</v>
      </c>
      <c r="X84">
        <v>5.0999999999999997E-2</v>
      </c>
      <c r="Y84">
        <v>4294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6</v>
      </c>
      <c r="AG84">
        <v>5.0999999999999997E-2</v>
      </c>
      <c r="AH84">
        <v>2</v>
      </c>
      <c r="AI84">
        <v>16631277</v>
      </c>
      <c r="AJ84">
        <v>75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ROW(Source!A52)</f>
        <v>52</v>
      </c>
      <c r="B85">
        <v>16631292</v>
      </c>
      <c r="C85">
        <v>16631287</v>
      </c>
      <c r="D85">
        <v>15436014</v>
      </c>
      <c r="E85">
        <v>1</v>
      </c>
      <c r="F85">
        <v>1</v>
      </c>
      <c r="G85">
        <v>1</v>
      </c>
      <c r="H85">
        <v>1</v>
      </c>
      <c r="I85" t="s">
        <v>1181</v>
      </c>
      <c r="J85" t="s">
        <v>6</v>
      </c>
      <c r="K85" t="s">
        <v>1182</v>
      </c>
      <c r="L85">
        <v>1191</v>
      </c>
      <c r="N85">
        <v>1013</v>
      </c>
      <c r="O85" t="s">
        <v>1148</v>
      </c>
      <c r="P85" t="s">
        <v>1148</v>
      </c>
      <c r="Q85">
        <v>1</v>
      </c>
      <c r="X85">
        <v>16.64</v>
      </c>
      <c r="Y85">
        <v>0</v>
      </c>
      <c r="Z85">
        <v>0</v>
      </c>
      <c r="AA85">
        <v>0</v>
      </c>
      <c r="AB85">
        <v>8.74</v>
      </c>
      <c r="AC85">
        <v>0</v>
      </c>
      <c r="AD85">
        <v>1</v>
      </c>
      <c r="AE85">
        <v>1</v>
      </c>
      <c r="AF85" t="s">
        <v>82</v>
      </c>
      <c r="AG85">
        <v>19.135999999999999</v>
      </c>
      <c r="AH85">
        <v>2</v>
      </c>
      <c r="AI85">
        <v>16631288</v>
      </c>
      <c r="AJ85">
        <v>76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ROW(Source!A52)</f>
        <v>52</v>
      </c>
      <c r="B86">
        <v>16631293</v>
      </c>
      <c r="C86">
        <v>16631287</v>
      </c>
      <c r="D86">
        <v>15169972</v>
      </c>
      <c r="E86">
        <v>1</v>
      </c>
      <c r="F86">
        <v>1</v>
      </c>
      <c r="G86">
        <v>1</v>
      </c>
      <c r="H86">
        <v>3</v>
      </c>
      <c r="I86" t="s">
        <v>1239</v>
      </c>
      <c r="J86" t="s">
        <v>1240</v>
      </c>
      <c r="K86" t="s">
        <v>1241</v>
      </c>
      <c r="L86">
        <v>1355</v>
      </c>
      <c r="N86">
        <v>1010</v>
      </c>
      <c r="O86" t="s">
        <v>243</v>
      </c>
      <c r="P86" t="s">
        <v>243</v>
      </c>
      <c r="Q86">
        <v>100</v>
      </c>
      <c r="X86">
        <v>6.7</v>
      </c>
      <c r="Y86">
        <v>12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6</v>
      </c>
      <c r="AG86">
        <v>6.7</v>
      </c>
      <c r="AH86">
        <v>2</v>
      </c>
      <c r="AI86">
        <v>16631289</v>
      </c>
      <c r="AJ86">
        <v>77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ROW(Source!A52)</f>
        <v>52</v>
      </c>
      <c r="B87">
        <v>16631294</v>
      </c>
      <c r="C87">
        <v>16631287</v>
      </c>
      <c r="D87">
        <v>15162775</v>
      </c>
      <c r="E87">
        <v>17</v>
      </c>
      <c r="F87">
        <v>1</v>
      </c>
      <c r="G87">
        <v>1</v>
      </c>
      <c r="H87">
        <v>3</v>
      </c>
      <c r="I87" t="s">
        <v>148</v>
      </c>
      <c r="J87" t="s">
        <v>6</v>
      </c>
      <c r="K87" t="s">
        <v>149</v>
      </c>
      <c r="L87">
        <v>1301</v>
      </c>
      <c r="N87">
        <v>1003</v>
      </c>
      <c r="O87" t="s">
        <v>150</v>
      </c>
      <c r="P87" t="s">
        <v>150</v>
      </c>
      <c r="Q87">
        <v>1</v>
      </c>
      <c r="X87">
        <v>105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 t="s">
        <v>6</v>
      </c>
      <c r="AG87">
        <v>105</v>
      </c>
      <c r="AH87">
        <v>2</v>
      </c>
      <c r="AI87">
        <v>16631290</v>
      </c>
      <c r="AJ87">
        <v>78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ROW(Source!A55)</f>
        <v>55</v>
      </c>
      <c r="B88">
        <v>16631305</v>
      </c>
      <c r="C88">
        <v>16631297</v>
      </c>
      <c r="D88">
        <v>15432236</v>
      </c>
      <c r="E88">
        <v>1</v>
      </c>
      <c r="F88">
        <v>1</v>
      </c>
      <c r="G88">
        <v>1</v>
      </c>
      <c r="H88">
        <v>1</v>
      </c>
      <c r="I88" t="s">
        <v>1242</v>
      </c>
      <c r="J88" t="s">
        <v>6</v>
      </c>
      <c r="K88" t="s">
        <v>1243</v>
      </c>
      <c r="L88">
        <v>1191</v>
      </c>
      <c r="N88">
        <v>1013</v>
      </c>
      <c r="O88" t="s">
        <v>1148</v>
      </c>
      <c r="P88" t="s">
        <v>1148</v>
      </c>
      <c r="Q88">
        <v>1</v>
      </c>
      <c r="X88">
        <v>7.82</v>
      </c>
      <c r="Y88">
        <v>0</v>
      </c>
      <c r="Z88">
        <v>0</v>
      </c>
      <c r="AA88">
        <v>0</v>
      </c>
      <c r="AB88">
        <v>8.17</v>
      </c>
      <c r="AC88">
        <v>0</v>
      </c>
      <c r="AD88">
        <v>1</v>
      </c>
      <c r="AE88">
        <v>1</v>
      </c>
      <c r="AF88" t="s">
        <v>82</v>
      </c>
      <c r="AG88">
        <v>8.9930000000000003</v>
      </c>
      <c r="AH88">
        <v>2</v>
      </c>
      <c r="AI88">
        <v>16631298</v>
      </c>
      <c r="AJ88">
        <v>80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ROW(Source!A55)</f>
        <v>55</v>
      </c>
      <c r="B89">
        <v>16631306</v>
      </c>
      <c r="C89">
        <v>16631297</v>
      </c>
      <c r="D89">
        <v>15430395</v>
      </c>
      <c r="E89">
        <v>1</v>
      </c>
      <c r="F89">
        <v>1</v>
      </c>
      <c r="G89">
        <v>1</v>
      </c>
      <c r="H89">
        <v>1</v>
      </c>
      <c r="I89" t="s">
        <v>1149</v>
      </c>
      <c r="J89" t="s">
        <v>6</v>
      </c>
      <c r="K89" t="s">
        <v>1150</v>
      </c>
      <c r="L89">
        <v>1191</v>
      </c>
      <c r="N89">
        <v>1013</v>
      </c>
      <c r="O89" t="s">
        <v>1148</v>
      </c>
      <c r="P89" t="s">
        <v>1148</v>
      </c>
      <c r="Q89">
        <v>1</v>
      </c>
      <c r="X89">
        <v>0.04</v>
      </c>
      <c r="Y89">
        <v>0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2</v>
      </c>
      <c r="AF89" t="s">
        <v>81</v>
      </c>
      <c r="AG89">
        <v>0.05</v>
      </c>
      <c r="AH89">
        <v>2</v>
      </c>
      <c r="AI89">
        <v>16631299</v>
      </c>
      <c r="AJ89">
        <v>81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ROW(Source!A55)</f>
        <v>55</v>
      </c>
      <c r="B90">
        <v>16631307</v>
      </c>
      <c r="C90">
        <v>16631297</v>
      </c>
      <c r="D90">
        <v>15249073</v>
      </c>
      <c r="E90">
        <v>1</v>
      </c>
      <c r="F90">
        <v>1</v>
      </c>
      <c r="G90">
        <v>1</v>
      </c>
      <c r="H90">
        <v>2</v>
      </c>
      <c r="I90" t="s">
        <v>1157</v>
      </c>
      <c r="J90" t="s">
        <v>1158</v>
      </c>
      <c r="K90" t="s">
        <v>1159</v>
      </c>
      <c r="L90">
        <v>1368</v>
      </c>
      <c r="N90">
        <v>1011</v>
      </c>
      <c r="O90" t="s">
        <v>1154</v>
      </c>
      <c r="P90" t="s">
        <v>1154</v>
      </c>
      <c r="Q90">
        <v>1</v>
      </c>
      <c r="X90">
        <v>0.04</v>
      </c>
      <c r="Y90">
        <v>0</v>
      </c>
      <c r="Z90">
        <v>65.709999999999994</v>
      </c>
      <c r="AA90">
        <v>11.6</v>
      </c>
      <c r="AB90">
        <v>0</v>
      </c>
      <c r="AC90">
        <v>0</v>
      </c>
      <c r="AD90">
        <v>1</v>
      </c>
      <c r="AE90">
        <v>0</v>
      </c>
      <c r="AF90" t="s">
        <v>81</v>
      </c>
      <c r="AG90">
        <v>0.05</v>
      </c>
      <c r="AH90">
        <v>2</v>
      </c>
      <c r="AI90">
        <v>16631300</v>
      </c>
      <c r="AJ90">
        <v>82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ROW(Source!A55)</f>
        <v>55</v>
      </c>
      <c r="B91">
        <v>16631308</v>
      </c>
      <c r="C91">
        <v>16631297</v>
      </c>
      <c r="D91">
        <v>15170039</v>
      </c>
      <c r="E91">
        <v>1</v>
      </c>
      <c r="F91">
        <v>1</v>
      </c>
      <c r="G91">
        <v>1</v>
      </c>
      <c r="H91">
        <v>3</v>
      </c>
      <c r="I91" t="s">
        <v>1160</v>
      </c>
      <c r="J91" t="s">
        <v>1161</v>
      </c>
      <c r="K91" t="s">
        <v>1162</v>
      </c>
      <c r="L91">
        <v>1348</v>
      </c>
      <c r="N91">
        <v>1009</v>
      </c>
      <c r="O91" t="s">
        <v>98</v>
      </c>
      <c r="P91" t="s">
        <v>98</v>
      </c>
      <c r="Q91">
        <v>1000</v>
      </c>
      <c r="X91">
        <v>7.1000000000000002E-4</v>
      </c>
      <c r="Y91">
        <v>11978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6</v>
      </c>
      <c r="AG91">
        <v>7.1000000000000002E-4</v>
      </c>
      <c r="AH91">
        <v>2</v>
      </c>
      <c r="AI91">
        <v>16631301</v>
      </c>
      <c r="AJ91">
        <v>83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ROW(Source!A55)</f>
        <v>55</v>
      </c>
      <c r="B92">
        <v>16631309</v>
      </c>
      <c r="C92">
        <v>16631297</v>
      </c>
      <c r="D92">
        <v>15162185</v>
      </c>
      <c r="E92">
        <v>17</v>
      </c>
      <c r="F92">
        <v>1</v>
      </c>
      <c r="G92">
        <v>1</v>
      </c>
      <c r="H92">
        <v>3</v>
      </c>
      <c r="I92" t="s">
        <v>160</v>
      </c>
      <c r="J92" t="s">
        <v>6</v>
      </c>
      <c r="K92" t="s">
        <v>161</v>
      </c>
      <c r="L92">
        <v>1301</v>
      </c>
      <c r="N92">
        <v>1003</v>
      </c>
      <c r="O92" t="s">
        <v>150</v>
      </c>
      <c r="P92" t="s">
        <v>150</v>
      </c>
      <c r="Q92">
        <v>1</v>
      </c>
      <c r="X92">
        <v>112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 t="s">
        <v>6</v>
      </c>
      <c r="AG92">
        <v>112</v>
      </c>
      <c r="AH92">
        <v>2</v>
      </c>
      <c r="AI92">
        <v>16631302</v>
      </c>
      <c r="AJ92">
        <v>84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ROW(Source!A59)</f>
        <v>59</v>
      </c>
      <c r="B93">
        <v>16631325</v>
      </c>
      <c r="C93">
        <v>16631313</v>
      </c>
      <c r="D93">
        <v>15438286</v>
      </c>
      <c r="E93">
        <v>1</v>
      </c>
      <c r="F93">
        <v>1</v>
      </c>
      <c r="G93">
        <v>1</v>
      </c>
      <c r="H93">
        <v>1</v>
      </c>
      <c r="I93" t="s">
        <v>1244</v>
      </c>
      <c r="J93" t="s">
        <v>6</v>
      </c>
      <c r="K93" t="s">
        <v>1245</v>
      </c>
      <c r="L93">
        <v>1191</v>
      </c>
      <c r="N93">
        <v>1013</v>
      </c>
      <c r="O93" t="s">
        <v>1148</v>
      </c>
      <c r="P93" t="s">
        <v>1148</v>
      </c>
      <c r="Q93">
        <v>1</v>
      </c>
      <c r="X93">
        <v>89.53</v>
      </c>
      <c r="Y93">
        <v>0</v>
      </c>
      <c r="Z93">
        <v>0</v>
      </c>
      <c r="AA93">
        <v>0</v>
      </c>
      <c r="AB93">
        <v>9.18</v>
      </c>
      <c r="AC93">
        <v>0</v>
      </c>
      <c r="AD93">
        <v>1</v>
      </c>
      <c r="AE93">
        <v>1</v>
      </c>
      <c r="AF93" t="s">
        <v>82</v>
      </c>
      <c r="AG93">
        <v>102.95949999999999</v>
      </c>
      <c r="AH93">
        <v>2</v>
      </c>
      <c r="AI93">
        <v>16631314</v>
      </c>
      <c r="AJ93">
        <v>87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ROW(Source!A59)</f>
        <v>59</v>
      </c>
      <c r="B94">
        <v>16631326</v>
      </c>
      <c r="C94">
        <v>16631313</v>
      </c>
      <c r="D94">
        <v>15430395</v>
      </c>
      <c r="E94">
        <v>1</v>
      </c>
      <c r="F94">
        <v>1</v>
      </c>
      <c r="G94">
        <v>1</v>
      </c>
      <c r="H94">
        <v>1</v>
      </c>
      <c r="I94" t="s">
        <v>1149</v>
      </c>
      <c r="J94" t="s">
        <v>6</v>
      </c>
      <c r="K94" t="s">
        <v>1150</v>
      </c>
      <c r="L94">
        <v>1191</v>
      </c>
      <c r="N94">
        <v>1013</v>
      </c>
      <c r="O94" t="s">
        <v>1148</v>
      </c>
      <c r="P94" t="s">
        <v>1148</v>
      </c>
      <c r="Q94">
        <v>1</v>
      </c>
      <c r="X94">
        <v>11.68</v>
      </c>
      <c r="Y94">
        <v>0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2</v>
      </c>
      <c r="AF94" t="s">
        <v>81</v>
      </c>
      <c r="AG94">
        <v>14.6</v>
      </c>
      <c r="AH94">
        <v>2</v>
      </c>
      <c r="AI94">
        <v>16631315</v>
      </c>
      <c r="AJ94">
        <v>88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ROW(Source!A59)</f>
        <v>59</v>
      </c>
      <c r="B95">
        <v>16631327</v>
      </c>
      <c r="C95">
        <v>16631313</v>
      </c>
      <c r="D95">
        <v>15247578</v>
      </c>
      <c r="E95">
        <v>1</v>
      </c>
      <c r="F95">
        <v>1</v>
      </c>
      <c r="G95">
        <v>1</v>
      </c>
      <c r="H95">
        <v>2</v>
      </c>
      <c r="I95" t="s">
        <v>1246</v>
      </c>
      <c r="J95" t="s">
        <v>1247</v>
      </c>
      <c r="K95" t="s">
        <v>1248</v>
      </c>
      <c r="L95">
        <v>1368</v>
      </c>
      <c r="N95">
        <v>1011</v>
      </c>
      <c r="O95" t="s">
        <v>1154</v>
      </c>
      <c r="P95" t="s">
        <v>1154</v>
      </c>
      <c r="Q95">
        <v>1</v>
      </c>
      <c r="X95">
        <v>9.69</v>
      </c>
      <c r="Y95">
        <v>0</v>
      </c>
      <c r="Z95">
        <v>86.4</v>
      </c>
      <c r="AA95">
        <v>13.5</v>
      </c>
      <c r="AB95">
        <v>0</v>
      </c>
      <c r="AC95">
        <v>0</v>
      </c>
      <c r="AD95">
        <v>1</v>
      </c>
      <c r="AE95">
        <v>0</v>
      </c>
      <c r="AF95" t="s">
        <v>81</v>
      </c>
      <c r="AG95">
        <v>12.112499999999999</v>
      </c>
      <c r="AH95">
        <v>2</v>
      </c>
      <c r="AI95">
        <v>16631316</v>
      </c>
      <c r="AJ95">
        <v>89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ROW(Source!A59)</f>
        <v>59</v>
      </c>
      <c r="B96">
        <v>16631328</v>
      </c>
      <c r="C96">
        <v>16631313</v>
      </c>
      <c r="D96">
        <v>15249073</v>
      </c>
      <c r="E96">
        <v>1</v>
      </c>
      <c r="F96">
        <v>1</v>
      </c>
      <c r="G96">
        <v>1</v>
      </c>
      <c r="H96">
        <v>2</v>
      </c>
      <c r="I96" t="s">
        <v>1157</v>
      </c>
      <c r="J96" t="s">
        <v>1158</v>
      </c>
      <c r="K96" t="s">
        <v>1159</v>
      </c>
      <c r="L96">
        <v>1368</v>
      </c>
      <c r="N96">
        <v>1011</v>
      </c>
      <c r="O96" t="s">
        <v>1154</v>
      </c>
      <c r="P96" t="s">
        <v>1154</v>
      </c>
      <c r="Q96">
        <v>1</v>
      </c>
      <c r="X96">
        <v>1.99</v>
      </c>
      <c r="Y96">
        <v>0</v>
      </c>
      <c r="Z96">
        <v>65.709999999999994</v>
      </c>
      <c r="AA96">
        <v>11.6</v>
      </c>
      <c r="AB96">
        <v>0</v>
      </c>
      <c r="AC96">
        <v>0</v>
      </c>
      <c r="AD96">
        <v>1</v>
      </c>
      <c r="AE96">
        <v>0</v>
      </c>
      <c r="AF96" t="s">
        <v>81</v>
      </c>
      <c r="AG96">
        <v>2.4874999999999998</v>
      </c>
      <c r="AH96">
        <v>2</v>
      </c>
      <c r="AI96">
        <v>16631317</v>
      </c>
      <c r="AJ96">
        <v>90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ROW(Source!A59)</f>
        <v>59</v>
      </c>
      <c r="B97">
        <v>16631329</v>
      </c>
      <c r="C97">
        <v>16631313</v>
      </c>
      <c r="D97">
        <v>15162381</v>
      </c>
      <c r="E97">
        <v>17</v>
      </c>
      <c r="F97">
        <v>1</v>
      </c>
      <c r="G97">
        <v>1</v>
      </c>
      <c r="H97">
        <v>3</v>
      </c>
      <c r="I97" t="s">
        <v>1681</v>
      </c>
      <c r="J97" t="s">
        <v>6</v>
      </c>
      <c r="K97" t="s">
        <v>1682</v>
      </c>
      <c r="L97">
        <v>1035</v>
      </c>
      <c r="N97">
        <v>1013</v>
      </c>
      <c r="O97" t="s">
        <v>177</v>
      </c>
      <c r="P97" t="s">
        <v>177</v>
      </c>
      <c r="Q97">
        <v>1</v>
      </c>
      <c r="X97">
        <v>0</v>
      </c>
      <c r="Y97">
        <v>0</v>
      </c>
      <c r="Z97">
        <v>0</v>
      </c>
      <c r="AA97">
        <v>0</v>
      </c>
      <c r="AB97">
        <v>0</v>
      </c>
      <c r="AC97">
        <v>1</v>
      </c>
      <c r="AD97">
        <v>0</v>
      </c>
      <c r="AE97">
        <v>0</v>
      </c>
      <c r="AF97" t="s">
        <v>6</v>
      </c>
      <c r="AG97">
        <v>0</v>
      </c>
      <c r="AH97">
        <v>3</v>
      </c>
      <c r="AI97">
        <v>-1</v>
      </c>
      <c r="AJ97" t="s">
        <v>6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ROW(Source!A59)</f>
        <v>59</v>
      </c>
      <c r="B98">
        <v>16631330</v>
      </c>
      <c r="C98">
        <v>16631313</v>
      </c>
      <c r="D98">
        <v>15170039</v>
      </c>
      <c r="E98">
        <v>1</v>
      </c>
      <c r="F98">
        <v>1</v>
      </c>
      <c r="G98">
        <v>1</v>
      </c>
      <c r="H98">
        <v>3</v>
      </c>
      <c r="I98" t="s">
        <v>1160</v>
      </c>
      <c r="J98" t="s">
        <v>1161</v>
      </c>
      <c r="K98" t="s">
        <v>1162</v>
      </c>
      <c r="L98">
        <v>1348</v>
      </c>
      <c r="N98">
        <v>1009</v>
      </c>
      <c r="O98" t="s">
        <v>98</v>
      </c>
      <c r="P98" t="s">
        <v>98</v>
      </c>
      <c r="Q98">
        <v>1000</v>
      </c>
      <c r="X98">
        <v>4.13E-3</v>
      </c>
      <c r="Y98">
        <v>11978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6</v>
      </c>
      <c r="AG98">
        <v>4.13E-3</v>
      </c>
      <c r="AH98">
        <v>2</v>
      </c>
      <c r="AI98">
        <v>16631319</v>
      </c>
      <c r="AJ98">
        <v>92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ROW(Source!A59)</f>
        <v>59</v>
      </c>
      <c r="B99">
        <v>16631331</v>
      </c>
      <c r="C99">
        <v>16631313</v>
      </c>
      <c r="D99">
        <v>15172818</v>
      </c>
      <c r="E99">
        <v>1</v>
      </c>
      <c r="F99">
        <v>1</v>
      </c>
      <c r="G99">
        <v>1</v>
      </c>
      <c r="H99">
        <v>3</v>
      </c>
      <c r="I99" t="s">
        <v>1249</v>
      </c>
      <c r="J99" t="s">
        <v>1250</v>
      </c>
      <c r="K99" t="s">
        <v>1251</v>
      </c>
      <c r="L99">
        <v>1339</v>
      </c>
      <c r="N99">
        <v>1007</v>
      </c>
      <c r="O99" t="s">
        <v>203</v>
      </c>
      <c r="P99" t="s">
        <v>203</v>
      </c>
      <c r="Q99">
        <v>1</v>
      </c>
      <c r="X99">
        <v>0.105</v>
      </c>
      <c r="Y99">
        <v>458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6</v>
      </c>
      <c r="AG99">
        <v>0.105</v>
      </c>
      <c r="AH99">
        <v>2</v>
      </c>
      <c r="AI99">
        <v>16631320</v>
      </c>
      <c r="AJ99">
        <v>93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ROW(Source!A59)</f>
        <v>59</v>
      </c>
      <c r="B100">
        <v>16631332</v>
      </c>
      <c r="C100">
        <v>16631313</v>
      </c>
      <c r="D100">
        <v>15161686</v>
      </c>
      <c r="E100">
        <v>17</v>
      </c>
      <c r="F100">
        <v>1</v>
      </c>
      <c r="G100">
        <v>1</v>
      </c>
      <c r="H100">
        <v>3</v>
      </c>
      <c r="I100" t="s">
        <v>1683</v>
      </c>
      <c r="J100" t="s">
        <v>6</v>
      </c>
      <c r="K100" t="s">
        <v>1684</v>
      </c>
      <c r="L100">
        <v>1346</v>
      </c>
      <c r="N100">
        <v>1009</v>
      </c>
      <c r="O100" t="s">
        <v>102</v>
      </c>
      <c r="P100" t="s">
        <v>102</v>
      </c>
      <c r="Q100">
        <v>1</v>
      </c>
      <c r="X100">
        <v>37.5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 t="s">
        <v>6</v>
      </c>
      <c r="AG100">
        <v>37.5</v>
      </c>
      <c r="AH100">
        <v>3</v>
      </c>
      <c r="AI100">
        <v>-1</v>
      </c>
      <c r="AJ100" t="s">
        <v>6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ROW(Source!A59)</f>
        <v>59</v>
      </c>
      <c r="B101">
        <v>16631333</v>
      </c>
      <c r="C101">
        <v>16631313</v>
      </c>
      <c r="D101">
        <v>15196008</v>
      </c>
      <c r="E101">
        <v>1</v>
      </c>
      <c r="F101">
        <v>1</v>
      </c>
      <c r="G101">
        <v>1</v>
      </c>
      <c r="H101">
        <v>3</v>
      </c>
      <c r="I101" t="s">
        <v>1252</v>
      </c>
      <c r="J101" t="s">
        <v>1253</v>
      </c>
      <c r="K101" t="s">
        <v>1254</v>
      </c>
      <c r="L101">
        <v>1339</v>
      </c>
      <c r="N101">
        <v>1007</v>
      </c>
      <c r="O101" t="s">
        <v>203</v>
      </c>
      <c r="P101" t="s">
        <v>203</v>
      </c>
      <c r="Q101">
        <v>1</v>
      </c>
      <c r="X101">
        <v>0.08</v>
      </c>
      <c r="Y101">
        <v>1100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6</v>
      </c>
      <c r="AG101">
        <v>0.08</v>
      </c>
      <c r="AH101">
        <v>2</v>
      </c>
      <c r="AI101">
        <v>16631321</v>
      </c>
      <c r="AJ101">
        <v>94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ROW(Source!A59)</f>
        <v>59</v>
      </c>
      <c r="B102">
        <v>16631334</v>
      </c>
      <c r="C102">
        <v>16631313</v>
      </c>
      <c r="D102">
        <v>15162477</v>
      </c>
      <c r="E102">
        <v>17</v>
      </c>
      <c r="F102">
        <v>1</v>
      </c>
      <c r="G102">
        <v>1</v>
      </c>
      <c r="H102">
        <v>3</v>
      </c>
      <c r="I102" t="s">
        <v>1685</v>
      </c>
      <c r="J102" t="s">
        <v>6</v>
      </c>
      <c r="K102" t="s">
        <v>1686</v>
      </c>
      <c r="L102">
        <v>1327</v>
      </c>
      <c r="N102">
        <v>1005</v>
      </c>
      <c r="O102" t="s">
        <v>87</v>
      </c>
      <c r="P102" t="s">
        <v>87</v>
      </c>
      <c r="Q102">
        <v>1</v>
      </c>
      <c r="X102">
        <v>100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 t="s">
        <v>6</v>
      </c>
      <c r="AG102">
        <v>100</v>
      </c>
      <c r="AH102">
        <v>3</v>
      </c>
      <c r="AI102">
        <v>-1</v>
      </c>
      <c r="AJ102" t="s">
        <v>6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ROW(Source!A59)</f>
        <v>59</v>
      </c>
      <c r="B103">
        <v>16631335</v>
      </c>
      <c r="C103">
        <v>16631313</v>
      </c>
      <c r="D103">
        <v>15204315</v>
      </c>
      <c r="E103">
        <v>1</v>
      </c>
      <c r="F103">
        <v>1</v>
      </c>
      <c r="G103">
        <v>1</v>
      </c>
      <c r="H103">
        <v>3</v>
      </c>
      <c r="I103" t="s">
        <v>1255</v>
      </c>
      <c r="J103" t="s">
        <v>1256</v>
      </c>
      <c r="K103" t="s">
        <v>1257</v>
      </c>
      <c r="L103">
        <v>1296</v>
      </c>
      <c r="N103">
        <v>1002</v>
      </c>
      <c r="O103" t="s">
        <v>1258</v>
      </c>
      <c r="P103" t="s">
        <v>1258</v>
      </c>
      <c r="Q103">
        <v>1</v>
      </c>
      <c r="X103">
        <v>32.4</v>
      </c>
      <c r="Y103">
        <v>46.86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6</v>
      </c>
      <c r="AG103">
        <v>32.4</v>
      </c>
      <c r="AH103">
        <v>2</v>
      </c>
      <c r="AI103">
        <v>16631324</v>
      </c>
      <c r="AJ103">
        <v>97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ROW(Source!A63)</f>
        <v>63</v>
      </c>
      <c r="B104">
        <v>16631348</v>
      </c>
      <c r="C104">
        <v>16631339</v>
      </c>
      <c r="D104">
        <v>15446300</v>
      </c>
      <c r="E104">
        <v>1</v>
      </c>
      <c r="F104">
        <v>1</v>
      </c>
      <c r="G104">
        <v>1</v>
      </c>
      <c r="H104">
        <v>1</v>
      </c>
      <c r="I104" t="s">
        <v>1220</v>
      </c>
      <c r="J104" t="s">
        <v>6</v>
      </c>
      <c r="K104" t="s">
        <v>1221</v>
      </c>
      <c r="L104">
        <v>1191</v>
      </c>
      <c r="N104">
        <v>1013</v>
      </c>
      <c r="O104" t="s">
        <v>1148</v>
      </c>
      <c r="P104" t="s">
        <v>1148</v>
      </c>
      <c r="Q104">
        <v>1</v>
      </c>
      <c r="X104">
        <v>2.4</v>
      </c>
      <c r="Y104">
        <v>0</v>
      </c>
      <c r="Z104">
        <v>0</v>
      </c>
      <c r="AA104">
        <v>0</v>
      </c>
      <c r="AB104">
        <v>9.92</v>
      </c>
      <c r="AC104">
        <v>0</v>
      </c>
      <c r="AD104">
        <v>1</v>
      </c>
      <c r="AE104">
        <v>1</v>
      </c>
      <c r="AF104" t="s">
        <v>82</v>
      </c>
      <c r="AG104">
        <v>2.76</v>
      </c>
      <c r="AH104">
        <v>2</v>
      </c>
      <c r="AI104">
        <v>16631340</v>
      </c>
      <c r="AJ104">
        <v>98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ROW(Source!A63)</f>
        <v>63</v>
      </c>
      <c r="B105">
        <v>16631349</v>
      </c>
      <c r="C105">
        <v>16631339</v>
      </c>
      <c r="D105">
        <v>15430395</v>
      </c>
      <c r="E105">
        <v>1</v>
      </c>
      <c r="F105">
        <v>1</v>
      </c>
      <c r="G105">
        <v>1</v>
      </c>
      <c r="H105">
        <v>1</v>
      </c>
      <c r="I105" t="s">
        <v>1149</v>
      </c>
      <c r="J105" t="s">
        <v>6</v>
      </c>
      <c r="K105" t="s">
        <v>1150</v>
      </c>
      <c r="L105">
        <v>1191</v>
      </c>
      <c r="N105">
        <v>1013</v>
      </c>
      <c r="O105" t="s">
        <v>1148</v>
      </c>
      <c r="P105" t="s">
        <v>1148</v>
      </c>
      <c r="Q105">
        <v>1</v>
      </c>
      <c r="X105">
        <v>0.17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2</v>
      </c>
      <c r="AF105" t="s">
        <v>81</v>
      </c>
      <c r="AG105">
        <v>0.21250000000000002</v>
      </c>
      <c r="AH105">
        <v>2</v>
      </c>
      <c r="AI105">
        <v>16631341</v>
      </c>
      <c r="AJ105">
        <v>99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ROW(Source!A63)</f>
        <v>63</v>
      </c>
      <c r="B106">
        <v>16631350</v>
      </c>
      <c r="C106">
        <v>16631339</v>
      </c>
      <c r="D106">
        <v>15249073</v>
      </c>
      <c r="E106">
        <v>1</v>
      </c>
      <c r="F106">
        <v>1</v>
      </c>
      <c r="G106">
        <v>1</v>
      </c>
      <c r="H106">
        <v>2</v>
      </c>
      <c r="I106" t="s">
        <v>1157</v>
      </c>
      <c r="J106" t="s">
        <v>1158</v>
      </c>
      <c r="K106" t="s">
        <v>1159</v>
      </c>
      <c r="L106">
        <v>1368</v>
      </c>
      <c r="N106">
        <v>1011</v>
      </c>
      <c r="O106" t="s">
        <v>1154</v>
      </c>
      <c r="P106" t="s">
        <v>1154</v>
      </c>
      <c r="Q106">
        <v>1</v>
      </c>
      <c r="X106">
        <v>0.17</v>
      </c>
      <c r="Y106">
        <v>0</v>
      </c>
      <c r="Z106">
        <v>65.709999999999994</v>
      </c>
      <c r="AA106">
        <v>11.6</v>
      </c>
      <c r="AB106">
        <v>0</v>
      </c>
      <c r="AC106">
        <v>0</v>
      </c>
      <c r="AD106">
        <v>1</v>
      </c>
      <c r="AE106">
        <v>0</v>
      </c>
      <c r="AF106" t="s">
        <v>81</v>
      </c>
      <c r="AG106">
        <v>0.21250000000000002</v>
      </c>
      <c r="AH106">
        <v>2</v>
      </c>
      <c r="AI106">
        <v>16631342</v>
      </c>
      <c r="AJ106">
        <v>100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ROW(Source!A63)</f>
        <v>63</v>
      </c>
      <c r="B107">
        <v>16631351</v>
      </c>
      <c r="C107">
        <v>16631339</v>
      </c>
      <c r="D107">
        <v>15249377</v>
      </c>
      <c r="E107">
        <v>1</v>
      </c>
      <c r="F107">
        <v>1</v>
      </c>
      <c r="G107">
        <v>1</v>
      </c>
      <c r="H107">
        <v>2</v>
      </c>
      <c r="I107" t="s">
        <v>1222</v>
      </c>
      <c r="J107" t="s">
        <v>1223</v>
      </c>
      <c r="K107" t="s">
        <v>1224</v>
      </c>
      <c r="L107">
        <v>1368</v>
      </c>
      <c r="N107">
        <v>1011</v>
      </c>
      <c r="O107" t="s">
        <v>1154</v>
      </c>
      <c r="P107" t="s">
        <v>1154</v>
      </c>
      <c r="Q107">
        <v>1</v>
      </c>
      <c r="X107">
        <v>0.4</v>
      </c>
      <c r="Y107">
        <v>0</v>
      </c>
      <c r="Z107">
        <v>8.1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81</v>
      </c>
      <c r="AG107">
        <v>0.5</v>
      </c>
      <c r="AH107">
        <v>2</v>
      </c>
      <c r="AI107">
        <v>16631343</v>
      </c>
      <c r="AJ107">
        <v>101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ROW(Source!A63)</f>
        <v>63</v>
      </c>
      <c r="B108">
        <v>16631352</v>
      </c>
      <c r="C108">
        <v>16631339</v>
      </c>
      <c r="D108">
        <v>15162381</v>
      </c>
      <c r="E108">
        <v>17</v>
      </c>
      <c r="F108">
        <v>1</v>
      </c>
      <c r="G108">
        <v>1</v>
      </c>
      <c r="H108">
        <v>3</v>
      </c>
      <c r="I108" t="s">
        <v>1681</v>
      </c>
      <c r="J108" t="s">
        <v>6</v>
      </c>
      <c r="K108" t="s">
        <v>1682</v>
      </c>
      <c r="L108">
        <v>1035</v>
      </c>
      <c r="N108">
        <v>1013</v>
      </c>
      <c r="O108" t="s">
        <v>177</v>
      </c>
      <c r="P108" t="s">
        <v>177</v>
      </c>
      <c r="Q108">
        <v>1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1</v>
      </c>
      <c r="AD108">
        <v>0</v>
      </c>
      <c r="AE108">
        <v>0</v>
      </c>
      <c r="AF108" t="s">
        <v>6</v>
      </c>
      <c r="AG108">
        <v>0</v>
      </c>
      <c r="AH108">
        <v>3</v>
      </c>
      <c r="AI108">
        <v>-1</v>
      </c>
      <c r="AJ108" t="s">
        <v>6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ROW(Source!A63)</f>
        <v>63</v>
      </c>
      <c r="B109">
        <v>16631353</v>
      </c>
      <c r="C109">
        <v>16631339</v>
      </c>
      <c r="D109">
        <v>15168750</v>
      </c>
      <c r="E109">
        <v>1</v>
      </c>
      <c r="F109">
        <v>1</v>
      </c>
      <c r="G109">
        <v>1</v>
      </c>
      <c r="H109">
        <v>3</v>
      </c>
      <c r="I109" t="s">
        <v>1225</v>
      </c>
      <c r="J109" t="s">
        <v>1226</v>
      </c>
      <c r="K109" t="s">
        <v>1227</v>
      </c>
      <c r="L109">
        <v>1348</v>
      </c>
      <c r="N109">
        <v>1009</v>
      </c>
      <c r="O109" t="s">
        <v>98</v>
      </c>
      <c r="P109" t="s">
        <v>98</v>
      </c>
      <c r="Q109">
        <v>1000</v>
      </c>
      <c r="X109">
        <v>1E-4</v>
      </c>
      <c r="Y109">
        <v>10315.01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6</v>
      </c>
      <c r="AG109">
        <v>1E-4</v>
      </c>
      <c r="AH109">
        <v>2</v>
      </c>
      <c r="AI109">
        <v>16631344</v>
      </c>
      <c r="AJ109">
        <v>102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ROW(Source!A63)</f>
        <v>63</v>
      </c>
      <c r="B110">
        <v>16631354</v>
      </c>
      <c r="C110">
        <v>16631339</v>
      </c>
      <c r="D110">
        <v>15162386</v>
      </c>
      <c r="E110">
        <v>17</v>
      </c>
      <c r="F110">
        <v>1</v>
      </c>
      <c r="G110">
        <v>1</v>
      </c>
      <c r="H110">
        <v>3</v>
      </c>
      <c r="I110" t="s">
        <v>1687</v>
      </c>
      <c r="J110" t="s">
        <v>6</v>
      </c>
      <c r="K110" t="s">
        <v>1688</v>
      </c>
      <c r="L110">
        <v>1327</v>
      </c>
      <c r="N110">
        <v>1005</v>
      </c>
      <c r="O110" t="s">
        <v>87</v>
      </c>
      <c r="P110" t="s">
        <v>87</v>
      </c>
      <c r="Q110">
        <v>1</v>
      </c>
      <c r="X110">
        <v>1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 t="s">
        <v>6</v>
      </c>
      <c r="AG110">
        <v>1</v>
      </c>
      <c r="AH110">
        <v>3</v>
      </c>
      <c r="AI110">
        <v>-1</v>
      </c>
      <c r="AJ110" t="s">
        <v>6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ROW(Source!A63)</f>
        <v>63</v>
      </c>
      <c r="B111">
        <v>16631355</v>
      </c>
      <c r="C111">
        <v>16631339</v>
      </c>
      <c r="D111">
        <v>15192019</v>
      </c>
      <c r="E111">
        <v>1</v>
      </c>
      <c r="F111">
        <v>1</v>
      </c>
      <c r="G111">
        <v>1</v>
      </c>
      <c r="H111">
        <v>3</v>
      </c>
      <c r="I111" t="s">
        <v>1259</v>
      </c>
      <c r="J111" t="s">
        <v>1260</v>
      </c>
      <c r="K111" t="s">
        <v>1261</v>
      </c>
      <c r="L111">
        <v>1348</v>
      </c>
      <c r="N111">
        <v>1009</v>
      </c>
      <c r="O111" t="s">
        <v>98</v>
      </c>
      <c r="P111" t="s">
        <v>98</v>
      </c>
      <c r="Q111">
        <v>1000</v>
      </c>
      <c r="X111">
        <v>3.0000000000000001E-3</v>
      </c>
      <c r="Y111">
        <v>5804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6</v>
      </c>
      <c r="AG111">
        <v>3.0000000000000001E-3</v>
      </c>
      <c r="AH111">
        <v>2</v>
      </c>
      <c r="AI111">
        <v>16631346</v>
      </c>
      <c r="AJ111">
        <v>104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ROW(Source!A63)</f>
        <v>63</v>
      </c>
      <c r="B112">
        <v>16631356</v>
      </c>
      <c r="C112">
        <v>16631339</v>
      </c>
      <c r="D112">
        <v>15204330</v>
      </c>
      <c r="E112">
        <v>1</v>
      </c>
      <c r="F112">
        <v>1</v>
      </c>
      <c r="G112">
        <v>1</v>
      </c>
      <c r="H112">
        <v>3</v>
      </c>
      <c r="I112" t="s">
        <v>1262</v>
      </c>
      <c r="J112" t="s">
        <v>1263</v>
      </c>
      <c r="K112" t="s">
        <v>1264</v>
      </c>
      <c r="L112">
        <v>1354</v>
      </c>
      <c r="N112">
        <v>1010</v>
      </c>
      <c r="O112" t="s">
        <v>132</v>
      </c>
      <c r="P112" t="s">
        <v>132</v>
      </c>
      <c r="Q112">
        <v>1</v>
      </c>
      <c r="X112">
        <v>0.1</v>
      </c>
      <c r="Y112">
        <v>72.8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6</v>
      </c>
      <c r="AG112">
        <v>0.1</v>
      </c>
      <c r="AH112">
        <v>2</v>
      </c>
      <c r="AI112">
        <v>16631347</v>
      </c>
      <c r="AJ112">
        <v>105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ROW(Source!A65)</f>
        <v>65</v>
      </c>
      <c r="B113">
        <v>16631364</v>
      </c>
      <c r="C113">
        <v>16631358</v>
      </c>
      <c r="D113">
        <v>15430767</v>
      </c>
      <c r="E113">
        <v>1</v>
      </c>
      <c r="F113">
        <v>1</v>
      </c>
      <c r="G113">
        <v>1</v>
      </c>
      <c r="H113">
        <v>1</v>
      </c>
      <c r="I113" t="s">
        <v>1171</v>
      </c>
      <c r="J113" t="s">
        <v>6</v>
      </c>
      <c r="K113" t="s">
        <v>1172</v>
      </c>
      <c r="L113">
        <v>1191</v>
      </c>
      <c r="N113">
        <v>1013</v>
      </c>
      <c r="O113" t="s">
        <v>1148</v>
      </c>
      <c r="P113" t="s">
        <v>1148</v>
      </c>
      <c r="Q113">
        <v>1</v>
      </c>
      <c r="X113">
        <v>124.23</v>
      </c>
      <c r="Y113">
        <v>0</v>
      </c>
      <c r="Z113">
        <v>0</v>
      </c>
      <c r="AA113">
        <v>0</v>
      </c>
      <c r="AB113">
        <v>8.5299999999999994</v>
      </c>
      <c r="AC113">
        <v>0</v>
      </c>
      <c r="AD113">
        <v>1</v>
      </c>
      <c r="AE113">
        <v>1</v>
      </c>
      <c r="AF113" t="s">
        <v>6</v>
      </c>
      <c r="AG113">
        <v>124.23</v>
      </c>
      <c r="AH113">
        <v>2</v>
      </c>
      <c r="AI113">
        <v>16631359</v>
      </c>
      <c r="AJ113">
        <v>106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ROW(Source!A65)</f>
        <v>65</v>
      </c>
      <c r="B114">
        <v>16631365</v>
      </c>
      <c r="C114">
        <v>16631358</v>
      </c>
      <c r="D114">
        <v>15249402</v>
      </c>
      <c r="E114">
        <v>1</v>
      </c>
      <c r="F114">
        <v>1</v>
      </c>
      <c r="G114">
        <v>1</v>
      </c>
      <c r="H114">
        <v>2</v>
      </c>
      <c r="I114" t="s">
        <v>1173</v>
      </c>
      <c r="J114" t="s">
        <v>1174</v>
      </c>
      <c r="K114" t="s">
        <v>1175</v>
      </c>
      <c r="L114">
        <v>1368</v>
      </c>
      <c r="N114">
        <v>1011</v>
      </c>
      <c r="O114" t="s">
        <v>1154</v>
      </c>
      <c r="P114" t="s">
        <v>1154</v>
      </c>
      <c r="Q114">
        <v>1</v>
      </c>
      <c r="X114">
        <v>1.38</v>
      </c>
      <c r="Y114">
        <v>0</v>
      </c>
      <c r="Z114">
        <v>32.5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6</v>
      </c>
      <c r="AG114">
        <v>1.38</v>
      </c>
      <c r="AH114">
        <v>2</v>
      </c>
      <c r="AI114">
        <v>16631360</v>
      </c>
      <c r="AJ114">
        <v>107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ROW(Source!A65)</f>
        <v>65</v>
      </c>
      <c r="B115">
        <v>16631366</v>
      </c>
      <c r="C115">
        <v>16631358</v>
      </c>
      <c r="D115">
        <v>15249998</v>
      </c>
      <c r="E115">
        <v>1</v>
      </c>
      <c r="F115">
        <v>1</v>
      </c>
      <c r="G115">
        <v>1</v>
      </c>
      <c r="H115">
        <v>2</v>
      </c>
      <c r="I115" t="s">
        <v>1176</v>
      </c>
      <c r="J115" t="s">
        <v>1177</v>
      </c>
      <c r="K115" t="s">
        <v>1178</v>
      </c>
      <c r="L115">
        <v>1368</v>
      </c>
      <c r="N115">
        <v>1011</v>
      </c>
      <c r="O115" t="s">
        <v>1154</v>
      </c>
      <c r="P115" t="s">
        <v>1154</v>
      </c>
      <c r="Q115">
        <v>1</v>
      </c>
      <c r="X115">
        <v>1.38</v>
      </c>
      <c r="Y115">
        <v>0</v>
      </c>
      <c r="Z115">
        <v>1.53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6</v>
      </c>
      <c r="AG115">
        <v>1.38</v>
      </c>
      <c r="AH115">
        <v>2</v>
      </c>
      <c r="AI115">
        <v>16631361</v>
      </c>
      <c r="AJ115">
        <v>108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ROW(Source!A65)</f>
        <v>65</v>
      </c>
      <c r="B116">
        <v>16631367</v>
      </c>
      <c r="C116">
        <v>16631358</v>
      </c>
      <c r="D116">
        <v>15167286</v>
      </c>
      <c r="E116">
        <v>1</v>
      </c>
      <c r="F116">
        <v>1</v>
      </c>
      <c r="G116">
        <v>1</v>
      </c>
      <c r="H116">
        <v>3</v>
      </c>
      <c r="I116" t="s">
        <v>1265</v>
      </c>
      <c r="J116" t="s">
        <v>1266</v>
      </c>
      <c r="K116" t="s">
        <v>1267</v>
      </c>
      <c r="L116">
        <v>1339</v>
      </c>
      <c r="N116">
        <v>1007</v>
      </c>
      <c r="O116" t="s">
        <v>203</v>
      </c>
      <c r="P116" t="s">
        <v>203</v>
      </c>
      <c r="Q116">
        <v>1</v>
      </c>
      <c r="X116">
        <v>0.1</v>
      </c>
      <c r="Y116">
        <v>2.44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6</v>
      </c>
      <c r="AG116">
        <v>0.1</v>
      </c>
      <c r="AH116">
        <v>2</v>
      </c>
      <c r="AI116">
        <v>16631362</v>
      </c>
      <c r="AJ116">
        <v>109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ROW(Source!A65)</f>
        <v>65</v>
      </c>
      <c r="B117">
        <v>16631368</v>
      </c>
      <c r="C117">
        <v>16631358</v>
      </c>
      <c r="D117">
        <v>15164566</v>
      </c>
      <c r="E117">
        <v>17</v>
      </c>
      <c r="F117">
        <v>1</v>
      </c>
      <c r="G117">
        <v>1</v>
      </c>
      <c r="H117">
        <v>3</v>
      </c>
      <c r="I117" t="s">
        <v>1670</v>
      </c>
      <c r="J117" t="s">
        <v>6</v>
      </c>
      <c r="K117" t="s">
        <v>1671</v>
      </c>
      <c r="L117">
        <v>1348</v>
      </c>
      <c r="N117">
        <v>1009</v>
      </c>
      <c r="O117" t="s">
        <v>98</v>
      </c>
      <c r="P117" t="s">
        <v>98</v>
      </c>
      <c r="Q117">
        <v>1000</v>
      </c>
      <c r="X117">
        <v>1.48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 t="s">
        <v>6</v>
      </c>
      <c r="AG117">
        <v>1.48</v>
      </c>
      <c r="AH117">
        <v>3</v>
      </c>
      <c r="AI117">
        <v>-1</v>
      </c>
      <c r="AJ117" t="s">
        <v>6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ROW(Source!A65)</f>
        <v>65</v>
      </c>
      <c r="B118">
        <v>16631369</v>
      </c>
      <c r="C118">
        <v>16631358</v>
      </c>
      <c r="D118">
        <v>15161975</v>
      </c>
      <c r="E118">
        <v>17</v>
      </c>
      <c r="F118">
        <v>1</v>
      </c>
      <c r="G118">
        <v>1</v>
      </c>
      <c r="H118">
        <v>3</v>
      </c>
      <c r="I118" t="s">
        <v>1689</v>
      </c>
      <c r="J118" t="s">
        <v>6</v>
      </c>
      <c r="K118" t="s">
        <v>1690</v>
      </c>
      <c r="L118">
        <v>1348</v>
      </c>
      <c r="N118">
        <v>1009</v>
      </c>
      <c r="O118" t="s">
        <v>98</v>
      </c>
      <c r="P118" t="s">
        <v>98</v>
      </c>
      <c r="Q118">
        <v>1000</v>
      </c>
      <c r="X118">
        <v>4.4999999999999998E-2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 t="s">
        <v>6</v>
      </c>
      <c r="AG118">
        <v>4.4999999999999998E-2</v>
      </c>
      <c r="AH118">
        <v>3</v>
      </c>
      <c r="AI118">
        <v>-1</v>
      </c>
      <c r="AJ118" t="s">
        <v>6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ROW(Source!A65)</f>
        <v>65</v>
      </c>
      <c r="B119">
        <v>16631370</v>
      </c>
      <c r="C119">
        <v>16631358</v>
      </c>
      <c r="D119">
        <v>15161703</v>
      </c>
      <c r="E119">
        <v>17</v>
      </c>
      <c r="F119">
        <v>1</v>
      </c>
      <c r="G119">
        <v>1</v>
      </c>
      <c r="H119">
        <v>3</v>
      </c>
      <c r="I119" t="s">
        <v>397</v>
      </c>
      <c r="J119" t="s">
        <v>6</v>
      </c>
      <c r="K119" t="s">
        <v>202</v>
      </c>
      <c r="L119">
        <v>1339</v>
      </c>
      <c r="N119">
        <v>1007</v>
      </c>
      <c r="O119" t="s">
        <v>203</v>
      </c>
      <c r="P119" t="s">
        <v>203</v>
      </c>
      <c r="Q119">
        <v>1</v>
      </c>
      <c r="X119">
        <v>2.14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 t="s">
        <v>6</v>
      </c>
      <c r="AG119">
        <v>2.14</v>
      </c>
      <c r="AH119">
        <v>3</v>
      </c>
      <c r="AI119">
        <v>-1</v>
      </c>
      <c r="AJ119" t="s">
        <v>6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ROW(Source!A67)</f>
        <v>67</v>
      </c>
      <c r="B120">
        <v>16631381</v>
      </c>
      <c r="C120">
        <v>16631372</v>
      </c>
      <c r="D120">
        <v>15438286</v>
      </c>
      <c r="E120">
        <v>1</v>
      </c>
      <c r="F120">
        <v>1</v>
      </c>
      <c r="G120">
        <v>1</v>
      </c>
      <c r="H120">
        <v>1</v>
      </c>
      <c r="I120" t="s">
        <v>1244</v>
      </c>
      <c r="J120" t="s">
        <v>6</v>
      </c>
      <c r="K120" t="s">
        <v>1245</v>
      </c>
      <c r="L120">
        <v>1191</v>
      </c>
      <c r="N120">
        <v>1013</v>
      </c>
      <c r="O120" t="s">
        <v>1148</v>
      </c>
      <c r="P120" t="s">
        <v>1148</v>
      </c>
      <c r="Q120">
        <v>1</v>
      </c>
      <c r="X120">
        <v>3.69</v>
      </c>
      <c r="Y120">
        <v>0</v>
      </c>
      <c r="Z120">
        <v>0</v>
      </c>
      <c r="AA120">
        <v>0</v>
      </c>
      <c r="AB120">
        <v>9.18</v>
      </c>
      <c r="AC120">
        <v>0</v>
      </c>
      <c r="AD120">
        <v>1</v>
      </c>
      <c r="AE120">
        <v>1</v>
      </c>
      <c r="AF120" t="s">
        <v>82</v>
      </c>
      <c r="AG120">
        <v>4.2435</v>
      </c>
      <c r="AH120">
        <v>2</v>
      </c>
      <c r="AI120">
        <v>16631373</v>
      </c>
      <c r="AJ120">
        <v>111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ROW(Source!A67)</f>
        <v>67</v>
      </c>
      <c r="B121">
        <v>16631382</v>
      </c>
      <c r="C121">
        <v>16631372</v>
      </c>
      <c r="D121">
        <v>15430395</v>
      </c>
      <c r="E121">
        <v>1</v>
      </c>
      <c r="F121">
        <v>1</v>
      </c>
      <c r="G121">
        <v>1</v>
      </c>
      <c r="H121">
        <v>1</v>
      </c>
      <c r="I121" t="s">
        <v>1149</v>
      </c>
      <c r="J121" t="s">
        <v>6</v>
      </c>
      <c r="K121" t="s">
        <v>1150</v>
      </c>
      <c r="L121">
        <v>1191</v>
      </c>
      <c r="N121">
        <v>1013</v>
      </c>
      <c r="O121" t="s">
        <v>1148</v>
      </c>
      <c r="P121" t="s">
        <v>1148</v>
      </c>
      <c r="Q121">
        <v>1</v>
      </c>
      <c r="X121">
        <v>0.05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2</v>
      </c>
      <c r="AF121" t="s">
        <v>81</v>
      </c>
      <c r="AG121">
        <v>6.25E-2</v>
      </c>
      <c r="AH121">
        <v>2</v>
      </c>
      <c r="AI121">
        <v>16631374</v>
      </c>
      <c r="AJ121">
        <v>112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ROW(Source!A67)</f>
        <v>67</v>
      </c>
      <c r="B122">
        <v>16631383</v>
      </c>
      <c r="C122">
        <v>16631372</v>
      </c>
      <c r="D122">
        <v>15247970</v>
      </c>
      <c r="E122">
        <v>1</v>
      </c>
      <c r="F122">
        <v>1</v>
      </c>
      <c r="G122">
        <v>1</v>
      </c>
      <c r="H122">
        <v>2</v>
      </c>
      <c r="I122" t="s">
        <v>1268</v>
      </c>
      <c r="J122" t="s">
        <v>1269</v>
      </c>
      <c r="K122" t="s">
        <v>1270</v>
      </c>
      <c r="L122">
        <v>1368</v>
      </c>
      <c r="N122">
        <v>1011</v>
      </c>
      <c r="O122" t="s">
        <v>1154</v>
      </c>
      <c r="P122" t="s">
        <v>1154</v>
      </c>
      <c r="Q122">
        <v>1</v>
      </c>
      <c r="X122">
        <v>0.01</v>
      </c>
      <c r="Y122">
        <v>0</v>
      </c>
      <c r="Z122">
        <v>27.66</v>
      </c>
      <c r="AA122">
        <v>11.6</v>
      </c>
      <c r="AB122">
        <v>0</v>
      </c>
      <c r="AC122">
        <v>0</v>
      </c>
      <c r="AD122">
        <v>1</v>
      </c>
      <c r="AE122">
        <v>0</v>
      </c>
      <c r="AF122" t="s">
        <v>81</v>
      </c>
      <c r="AG122">
        <v>1.2500000000000001E-2</v>
      </c>
      <c r="AH122">
        <v>2</v>
      </c>
      <c r="AI122">
        <v>16631375</v>
      </c>
      <c r="AJ122">
        <v>113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ROW(Source!A67)</f>
        <v>67</v>
      </c>
      <c r="B123">
        <v>16631384</v>
      </c>
      <c r="C123">
        <v>16631372</v>
      </c>
      <c r="D123">
        <v>15249073</v>
      </c>
      <c r="E123">
        <v>1</v>
      </c>
      <c r="F123">
        <v>1</v>
      </c>
      <c r="G123">
        <v>1</v>
      </c>
      <c r="H123">
        <v>2</v>
      </c>
      <c r="I123" t="s">
        <v>1157</v>
      </c>
      <c r="J123" t="s">
        <v>1158</v>
      </c>
      <c r="K123" t="s">
        <v>1159</v>
      </c>
      <c r="L123">
        <v>1368</v>
      </c>
      <c r="N123">
        <v>1011</v>
      </c>
      <c r="O123" t="s">
        <v>1154</v>
      </c>
      <c r="P123" t="s">
        <v>1154</v>
      </c>
      <c r="Q123">
        <v>1</v>
      </c>
      <c r="X123">
        <v>0.04</v>
      </c>
      <c r="Y123">
        <v>0</v>
      </c>
      <c r="Z123">
        <v>65.709999999999994</v>
      </c>
      <c r="AA123">
        <v>11.6</v>
      </c>
      <c r="AB123">
        <v>0</v>
      </c>
      <c r="AC123">
        <v>0</v>
      </c>
      <c r="AD123">
        <v>1</v>
      </c>
      <c r="AE123">
        <v>0</v>
      </c>
      <c r="AF123" t="s">
        <v>81</v>
      </c>
      <c r="AG123">
        <v>0.05</v>
      </c>
      <c r="AH123">
        <v>2</v>
      </c>
      <c r="AI123">
        <v>16631376</v>
      </c>
      <c r="AJ123">
        <v>114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ROW(Source!A67)</f>
        <v>67</v>
      </c>
      <c r="B124">
        <v>16631385</v>
      </c>
      <c r="C124">
        <v>16631372</v>
      </c>
      <c r="D124">
        <v>15249933</v>
      </c>
      <c r="E124">
        <v>1</v>
      </c>
      <c r="F124">
        <v>1</v>
      </c>
      <c r="G124">
        <v>1</v>
      </c>
      <c r="H124">
        <v>2</v>
      </c>
      <c r="I124" t="s">
        <v>1271</v>
      </c>
      <c r="J124" t="s">
        <v>1272</v>
      </c>
      <c r="K124" t="s">
        <v>1273</v>
      </c>
      <c r="L124">
        <v>1368</v>
      </c>
      <c r="N124">
        <v>1011</v>
      </c>
      <c r="O124" t="s">
        <v>1154</v>
      </c>
      <c r="P124" t="s">
        <v>1154</v>
      </c>
      <c r="Q124">
        <v>1</v>
      </c>
      <c r="X124">
        <v>2.82</v>
      </c>
      <c r="Y124">
        <v>0</v>
      </c>
      <c r="Z124">
        <v>6.82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81</v>
      </c>
      <c r="AG124">
        <v>3.5249999999999999</v>
      </c>
      <c r="AH124">
        <v>2</v>
      </c>
      <c r="AI124">
        <v>16631377</v>
      </c>
      <c r="AJ124">
        <v>115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ROW(Source!A67)</f>
        <v>67</v>
      </c>
      <c r="B125">
        <v>16631386</v>
      </c>
      <c r="C125">
        <v>16631372</v>
      </c>
      <c r="D125">
        <v>15167286</v>
      </c>
      <c r="E125">
        <v>1</v>
      </c>
      <c r="F125">
        <v>1</v>
      </c>
      <c r="G125">
        <v>1</v>
      </c>
      <c r="H125">
        <v>3</v>
      </c>
      <c r="I125" t="s">
        <v>1265</v>
      </c>
      <c r="J125" t="s">
        <v>1266</v>
      </c>
      <c r="K125" t="s">
        <v>1267</v>
      </c>
      <c r="L125">
        <v>1339</v>
      </c>
      <c r="N125">
        <v>1007</v>
      </c>
      <c r="O125" t="s">
        <v>203</v>
      </c>
      <c r="P125" t="s">
        <v>203</v>
      </c>
      <c r="Q125">
        <v>1</v>
      </c>
      <c r="X125">
        <v>0.01</v>
      </c>
      <c r="Y125">
        <v>2.44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6</v>
      </c>
      <c r="AG125">
        <v>0.01</v>
      </c>
      <c r="AH125">
        <v>2</v>
      </c>
      <c r="AI125">
        <v>16631378</v>
      </c>
      <c r="AJ125">
        <v>116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ROW(Source!A67)</f>
        <v>67</v>
      </c>
      <c r="B126">
        <v>16631387</v>
      </c>
      <c r="C126">
        <v>16631372</v>
      </c>
      <c r="D126">
        <v>15171018</v>
      </c>
      <c r="E126">
        <v>1</v>
      </c>
      <c r="F126">
        <v>1</v>
      </c>
      <c r="G126">
        <v>1</v>
      </c>
      <c r="H126">
        <v>3</v>
      </c>
      <c r="I126" t="s">
        <v>1204</v>
      </c>
      <c r="J126" t="s">
        <v>1205</v>
      </c>
      <c r="K126" t="s">
        <v>1206</v>
      </c>
      <c r="L126">
        <v>1346</v>
      </c>
      <c r="N126">
        <v>1009</v>
      </c>
      <c r="O126" t="s">
        <v>102</v>
      </c>
      <c r="P126" t="s">
        <v>102</v>
      </c>
      <c r="Q126">
        <v>1</v>
      </c>
      <c r="X126">
        <v>1</v>
      </c>
      <c r="Y126">
        <v>1.82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6</v>
      </c>
      <c r="AG126">
        <v>1</v>
      </c>
      <c r="AH126">
        <v>2</v>
      </c>
      <c r="AI126">
        <v>16631379</v>
      </c>
      <c r="AJ126">
        <v>117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ROW(Source!A67)</f>
        <v>67</v>
      </c>
      <c r="B127">
        <v>16631388</v>
      </c>
      <c r="C127">
        <v>16631372</v>
      </c>
      <c r="D127">
        <v>15203485</v>
      </c>
      <c r="E127">
        <v>1</v>
      </c>
      <c r="F127">
        <v>1</v>
      </c>
      <c r="G127">
        <v>1</v>
      </c>
      <c r="H127">
        <v>3</v>
      </c>
      <c r="I127" t="s">
        <v>1274</v>
      </c>
      <c r="J127" t="s">
        <v>1275</v>
      </c>
      <c r="K127" t="s">
        <v>1276</v>
      </c>
      <c r="L127">
        <v>1346</v>
      </c>
      <c r="N127">
        <v>1009</v>
      </c>
      <c r="O127" t="s">
        <v>102</v>
      </c>
      <c r="P127" t="s">
        <v>102</v>
      </c>
      <c r="Q127">
        <v>1</v>
      </c>
      <c r="X127">
        <v>13.8</v>
      </c>
      <c r="Y127">
        <v>15.25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6</v>
      </c>
      <c r="AG127">
        <v>13.8</v>
      </c>
      <c r="AH127">
        <v>2</v>
      </c>
      <c r="AI127">
        <v>16631380</v>
      </c>
      <c r="AJ127">
        <v>118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ROW(Source!A68)</f>
        <v>68</v>
      </c>
      <c r="B128">
        <v>16631396</v>
      </c>
      <c r="C128">
        <v>16631389</v>
      </c>
      <c r="D128">
        <v>15433640</v>
      </c>
      <c r="E128">
        <v>1</v>
      </c>
      <c r="F128">
        <v>1</v>
      </c>
      <c r="G128">
        <v>1</v>
      </c>
      <c r="H128">
        <v>1</v>
      </c>
      <c r="I128" t="s">
        <v>1277</v>
      </c>
      <c r="J128" t="s">
        <v>6</v>
      </c>
      <c r="K128" t="s">
        <v>1278</v>
      </c>
      <c r="L128">
        <v>1191</v>
      </c>
      <c r="N128">
        <v>1013</v>
      </c>
      <c r="O128" t="s">
        <v>1148</v>
      </c>
      <c r="P128" t="s">
        <v>1148</v>
      </c>
      <c r="Q128">
        <v>1</v>
      </c>
      <c r="X128">
        <v>39.51</v>
      </c>
      <c r="Y128">
        <v>0</v>
      </c>
      <c r="Z128">
        <v>0</v>
      </c>
      <c r="AA128">
        <v>0</v>
      </c>
      <c r="AB128">
        <v>7.94</v>
      </c>
      <c r="AC128">
        <v>0</v>
      </c>
      <c r="AD128">
        <v>1</v>
      </c>
      <c r="AE128">
        <v>1</v>
      </c>
      <c r="AF128" t="s">
        <v>82</v>
      </c>
      <c r="AG128">
        <v>45.436499999999995</v>
      </c>
      <c r="AH128">
        <v>2</v>
      </c>
      <c r="AI128">
        <v>16631390</v>
      </c>
      <c r="AJ128">
        <v>119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ROW(Source!A68)</f>
        <v>68</v>
      </c>
      <c r="B129">
        <v>16631397</v>
      </c>
      <c r="C129">
        <v>16631389</v>
      </c>
      <c r="D129">
        <v>15430395</v>
      </c>
      <c r="E129">
        <v>1</v>
      </c>
      <c r="F129">
        <v>1</v>
      </c>
      <c r="G129">
        <v>1</v>
      </c>
      <c r="H129">
        <v>1</v>
      </c>
      <c r="I129" t="s">
        <v>1149</v>
      </c>
      <c r="J129" t="s">
        <v>6</v>
      </c>
      <c r="K129" t="s">
        <v>1150</v>
      </c>
      <c r="L129">
        <v>1191</v>
      </c>
      <c r="N129">
        <v>1013</v>
      </c>
      <c r="O129" t="s">
        <v>1148</v>
      </c>
      <c r="P129" t="s">
        <v>1148</v>
      </c>
      <c r="Q129">
        <v>1</v>
      </c>
      <c r="X129">
        <v>1.27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2</v>
      </c>
      <c r="AF129" t="s">
        <v>81</v>
      </c>
      <c r="AG129">
        <v>1.5874999999999999</v>
      </c>
      <c r="AH129">
        <v>2</v>
      </c>
      <c r="AI129">
        <v>16631391</v>
      </c>
      <c r="AJ129">
        <v>120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ROW(Source!A68)</f>
        <v>68</v>
      </c>
      <c r="B130">
        <v>16631398</v>
      </c>
      <c r="C130">
        <v>16631389</v>
      </c>
      <c r="D130">
        <v>15247974</v>
      </c>
      <c r="E130">
        <v>1</v>
      </c>
      <c r="F130">
        <v>1</v>
      </c>
      <c r="G130">
        <v>1</v>
      </c>
      <c r="H130">
        <v>2</v>
      </c>
      <c r="I130" t="s">
        <v>1151</v>
      </c>
      <c r="J130" t="s">
        <v>1152</v>
      </c>
      <c r="K130" t="s">
        <v>1153</v>
      </c>
      <c r="L130">
        <v>1368</v>
      </c>
      <c r="N130">
        <v>1011</v>
      </c>
      <c r="O130" t="s">
        <v>1154</v>
      </c>
      <c r="P130" t="s">
        <v>1154</v>
      </c>
      <c r="Q130">
        <v>1</v>
      </c>
      <c r="X130">
        <v>1.27</v>
      </c>
      <c r="Y130">
        <v>0</v>
      </c>
      <c r="Z130">
        <v>31.26</v>
      </c>
      <c r="AA130">
        <v>13.5</v>
      </c>
      <c r="AB130">
        <v>0</v>
      </c>
      <c r="AC130">
        <v>0</v>
      </c>
      <c r="AD130">
        <v>1</v>
      </c>
      <c r="AE130">
        <v>0</v>
      </c>
      <c r="AF130" t="s">
        <v>81</v>
      </c>
      <c r="AG130">
        <v>1.5874999999999999</v>
      </c>
      <c r="AH130">
        <v>2</v>
      </c>
      <c r="AI130">
        <v>16631392</v>
      </c>
      <c r="AJ130">
        <v>121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ROW(Source!A68)</f>
        <v>68</v>
      </c>
      <c r="B131">
        <v>16631399</v>
      </c>
      <c r="C131">
        <v>16631389</v>
      </c>
      <c r="D131">
        <v>15248091</v>
      </c>
      <c r="E131">
        <v>1</v>
      </c>
      <c r="F131">
        <v>1</v>
      </c>
      <c r="G131">
        <v>1</v>
      </c>
      <c r="H131">
        <v>2</v>
      </c>
      <c r="I131" t="s">
        <v>1279</v>
      </c>
      <c r="J131" t="s">
        <v>1280</v>
      </c>
      <c r="K131" t="s">
        <v>1281</v>
      </c>
      <c r="L131">
        <v>1368</v>
      </c>
      <c r="N131">
        <v>1011</v>
      </c>
      <c r="O131" t="s">
        <v>1154</v>
      </c>
      <c r="P131" t="s">
        <v>1154</v>
      </c>
      <c r="Q131">
        <v>1</v>
      </c>
      <c r="X131">
        <v>9.07</v>
      </c>
      <c r="Y131">
        <v>0</v>
      </c>
      <c r="Z131">
        <v>0.5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81</v>
      </c>
      <c r="AG131">
        <v>11.3375</v>
      </c>
      <c r="AH131">
        <v>2</v>
      </c>
      <c r="AI131">
        <v>16631393</v>
      </c>
      <c r="AJ131">
        <v>122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ROW(Source!A68)</f>
        <v>68</v>
      </c>
      <c r="B132">
        <v>16631400</v>
      </c>
      <c r="C132">
        <v>16631389</v>
      </c>
      <c r="D132">
        <v>15167286</v>
      </c>
      <c r="E132">
        <v>1</v>
      </c>
      <c r="F132">
        <v>1</v>
      </c>
      <c r="G132">
        <v>1</v>
      </c>
      <c r="H132">
        <v>3</v>
      </c>
      <c r="I132" t="s">
        <v>1265</v>
      </c>
      <c r="J132" t="s">
        <v>1266</v>
      </c>
      <c r="K132" t="s">
        <v>1267</v>
      </c>
      <c r="L132">
        <v>1339</v>
      </c>
      <c r="N132">
        <v>1007</v>
      </c>
      <c r="O132" t="s">
        <v>203</v>
      </c>
      <c r="P132" t="s">
        <v>203</v>
      </c>
      <c r="Q132">
        <v>1</v>
      </c>
      <c r="X132">
        <v>3.5</v>
      </c>
      <c r="Y132">
        <v>2.44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6</v>
      </c>
      <c r="AG132">
        <v>3.5</v>
      </c>
      <c r="AH132">
        <v>2</v>
      </c>
      <c r="AI132">
        <v>16631394</v>
      </c>
      <c r="AJ132">
        <v>123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ROW(Source!A68)</f>
        <v>68</v>
      </c>
      <c r="B133">
        <v>16631401</v>
      </c>
      <c r="C133">
        <v>16631389</v>
      </c>
      <c r="D133">
        <v>15161703</v>
      </c>
      <c r="E133">
        <v>17</v>
      </c>
      <c r="F133">
        <v>1</v>
      </c>
      <c r="G133">
        <v>1</v>
      </c>
      <c r="H133">
        <v>3</v>
      </c>
      <c r="I133" t="s">
        <v>397</v>
      </c>
      <c r="J133" t="s">
        <v>6</v>
      </c>
      <c r="K133" t="s">
        <v>202</v>
      </c>
      <c r="L133">
        <v>1339</v>
      </c>
      <c r="N133">
        <v>1007</v>
      </c>
      <c r="O133" t="s">
        <v>203</v>
      </c>
      <c r="P133" t="s">
        <v>203</v>
      </c>
      <c r="Q133">
        <v>1</v>
      </c>
      <c r="X133">
        <v>2.04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 t="s">
        <v>6</v>
      </c>
      <c r="AG133">
        <v>2.04</v>
      </c>
      <c r="AH133">
        <v>3</v>
      </c>
      <c r="AI133">
        <v>-1</v>
      </c>
      <c r="AJ133" t="s">
        <v>6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ROW(Source!A70)</f>
        <v>70</v>
      </c>
      <c r="B134">
        <v>16631409</v>
      </c>
      <c r="C134">
        <v>16631403</v>
      </c>
      <c r="D134">
        <v>15433640</v>
      </c>
      <c r="E134">
        <v>1</v>
      </c>
      <c r="F134">
        <v>1</v>
      </c>
      <c r="G134">
        <v>1</v>
      </c>
      <c r="H134">
        <v>1</v>
      </c>
      <c r="I134" t="s">
        <v>1277</v>
      </c>
      <c r="J134" t="s">
        <v>6</v>
      </c>
      <c r="K134" t="s">
        <v>1278</v>
      </c>
      <c r="L134">
        <v>1191</v>
      </c>
      <c r="N134">
        <v>1013</v>
      </c>
      <c r="O134" t="s">
        <v>1148</v>
      </c>
      <c r="P134" t="s">
        <v>1148</v>
      </c>
      <c r="Q134">
        <v>1</v>
      </c>
      <c r="X134">
        <v>0.5</v>
      </c>
      <c r="Y134">
        <v>0</v>
      </c>
      <c r="Z134">
        <v>0</v>
      </c>
      <c r="AA134">
        <v>0</v>
      </c>
      <c r="AB134">
        <v>7.94</v>
      </c>
      <c r="AC134">
        <v>0</v>
      </c>
      <c r="AD134">
        <v>1</v>
      </c>
      <c r="AE134">
        <v>1</v>
      </c>
      <c r="AF134" t="s">
        <v>223</v>
      </c>
      <c r="AG134">
        <v>1.7249999999999999</v>
      </c>
      <c r="AH134">
        <v>2</v>
      </c>
      <c r="AI134">
        <v>16631404</v>
      </c>
      <c r="AJ134">
        <v>125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ROW(Source!A70)</f>
        <v>70</v>
      </c>
      <c r="B135">
        <v>16631410</v>
      </c>
      <c r="C135">
        <v>16631403</v>
      </c>
      <c r="D135">
        <v>15430395</v>
      </c>
      <c r="E135">
        <v>1</v>
      </c>
      <c r="F135">
        <v>1</v>
      </c>
      <c r="G135">
        <v>1</v>
      </c>
      <c r="H135">
        <v>1</v>
      </c>
      <c r="I135" t="s">
        <v>1149</v>
      </c>
      <c r="J135" t="s">
        <v>6</v>
      </c>
      <c r="K135" t="s">
        <v>1150</v>
      </c>
      <c r="L135">
        <v>1191</v>
      </c>
      <c r="N135">
        <v>1013</v>
      </c>
      <c r="O135" t="s">
        <v>1148</v>
      </c>
      <c r="P135" t="s">
        <v>1148</v>
      </c>
      <c r="Q135">
        <v>1</v>
      </c>
      <c r="X135">
        <v>0.21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2</v>
      </c>
      <c r="AF135" t="s">
        <v>222</v>
      </c>
      <c r="AG135">
        <v>0.78749999999999998</v>
      </c>
      <c r="AH135">
        <v>2</v>
      </c>
      <c r="AI135">
        <v>16631405</v>
      </c>
      <c r="AJ135">
        <v>126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ROW(Source!A70)</f>
        <v>70</v>
      </c>
      <c r="B136">
        <v>16631411</v>
      </c>
      <c r="C136">
        <v>16631403</v>
      </c>
      <c r="D136">
        <v>15247974</v>
      </c>
      <c r="E136">
        <v>1</v>
      </c>
      <c r="F136">
        <v>1</v>
      </c>
      <c r="G136">
        <v>1</v>
      </c>
      <c r="H136">
        <v>2</v>
      </c>
      <c r="I136" t="s">
        <v>1151</v>
      </c>
      <c r="J136" t="s">
        <v>1152</v>
      </c>
      <c r="K136" t="s">
        <v>1153</v>
      </c>
      <c r="L136">
        <v>1368</v>
      </c>
      <c r="N136">
        <v>1011</v>
      </c>
      <c r="O136" t="s">
        <v>1154</v>
      </c>
      <c r="P136" t="s">
        <v>1154</v>
      </c>
      <c r="Q136">
        <v>1</v>
      </c>
      <c r="X136">
        <v>0.21</v>
      </c>
      <c r="Y136">
        <v>0</v>
      </c>
      <c r="Z136">
        <v>31.26</v>
      </c>
      <c r="AA136">
        <v>13.5</v>
      </c>
      <c r="AB136">
        <v>0</v>
      </c>
      <c r="AC136">
        <v>0</v>
      </c>
      <c r="AD136">
        <v>1</v>
      </c>
      <c r="AE136">
        <v>0</v>
      </c>
      <c r="AF136" t="s">
        <v>222</v>
      </c>
      <c r="AG136">
        <v>0.78749999999999998</v>
      </c>
      <c r="AH136">
        <v>2</v>
      </c>
      <c r="AI136">
        <v>16631406</v>
      </c>
      <c r="AJ136">
        <v>127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ROW(Source!A70)</f>
        <v>70</v>
      </c>
      <c r="B137">
        <v>16631412</v>
      </c>
      <c r="C137">
        <v>16631403</v>
      </c>
      <c r="D137">
        <v>15248091</v>
      </c>
      <c r="E137">
        <v>1</v>
      </c>
      <c r="F137">
        <v>1</v>
      </c>
      <c r="G137">
        <v>1</v>
      </c>
      <c r="H137">
        <v>2</v>
      </c>
      <c r="I137" t="s">
        <v>1279</v>
      </c>
      <c r="J137" t="s">
        <v>1280</v>
      </c>
      <c r="K137" t="s">
        <v>1281</v>
      </c>
      <c r="L137">
        <v>1368</v>
      </c>
      <c r="N137">
        <v>1011</v>
      </c>
      <c r="O137" t="s">
        <v>1154</v>
      </c>
      <c r="P137" t="s">
        <v>1154</v>
      </c>
      <c r="Q137">
        <v>1</v>
      </c>
      <c r="X137">
        <v>2.3199999999999998</v>
      </c>
      <c r="Y137">
        <v>0</v>
      </c>
      <c r="Z137">
        <v>0.5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222</v>
      </c>
      <c r="AG137">
        <v>8.6999999999999993</v>
      </c>
      <c r="AH137">
        <v>2</v>
      </c>
      <c r="AI137">
        <v>16631407</v>
      </c>
      <c r="AJ137">
        <v>128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ROW(Source!A70)</f>
        <v>70</v>
      </c>
      <c r="B138">
        <v>16631413</v>
      </c>
      <c r="C138">
        <v>16631403</v>
      </c>
      <c r="D138">
        <v>15161703</v>
      </c>
      <c r="E138">
        <v>17</v>
      </c>
      <c r="F138">
        <v>1</v>
      </c>
      <c r="G138">
        <v>1</v>
      </c>
      <c r="H138">
        <v>3</v>
      </c>
      <c r="I138" t="s">
        <v>397</v>
      </c>
      <c r="J138" t="s">
        <v>6</v>
      </c>
      <c r="K138" t="s">
        <v>202</v>
      </c>
      <c r="L138">
        <v>1339</v>
      </c>
      <c r="N138">
        <v>1007</v>
      </c>
      <c r="O138" t="s">
        <v>203</v>
      </c>
      <c r="P138" t="s">
        <v>203</v>
      </c>
      <c r="Q138">
        <v>1</v>
      </c>
      <c r="X138">
        <v>0.51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 t="s">
        <v>221</v>
      </c>
      <c r="AG138">
        <v>1.53</v>
      </c>
      <c r="AH138">
        <v>3</v>
      </c>
      <c r="AI138">
        <v>-1</v>
      </c>
      <c r="AJ138" t="s">
        <v>6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ROW(Source!A72)</f>
        <v>72</v>
      </c>
      <c r="B139">
        <v>16631423</v>
      </c>
      <c r="C139">
        <v>16631415</v>
      </c>
      <c r="D139">
        <v>15430767</v>
      </c>
      <c r="E139">
        <v>1</v>
      </c>
      <c r="F139">
        <v>1</v>
      </c>
      <c r="G139">
        <v>1</v>
      </c>
      <c r="H139">
        <v>1</v>
      </c>
      <c r="I139" t="s">
        <v>1171</v>
      </c>
      <c r="J139" t="s">
        <v>6</v>
      </c>
      <c r="K139" t="s">
        <v>1172</v>
      </c>
      <c r="L139">
        <v>1191</v>
      </c>
      <c r="N139">
        <v>1013</v>
      </c>
      <c r="O139" t="s">
        <v>1148</v>
      </c>
      <c r="P139" t="s">
        <v>1148</v>
      </c>
      <c r="Q139">
        <v>1</v>
      </c>
      <c r="X139">
        <v>37.67</v>
      </c>
      <c r="Y139">
        <v>0</v>
      </c>
      <c r="Z139">
        <v>0</v>
      </c>
      <c r="AA139">
        <v>0</v>
      </c>
      <c r="AB139">
        <v>8.5299999999999994</v>
      </c>
      <c r="AC139">
        <v>0</v>
      </c>
      <c r="AD139">
        <v>1</v>
      </c>
      <c r="AE139">
        <v>1</v>
      </c>
      <c r="AF139" t="s">
        <v>82</v>
      </c>
      <c r="AG139">
        <v>43.320499999999996</v>
      </c>
      <c r="AH139">
        <v>2</v>
      </c>
      <c r="AI139">
        <v>16631416</v>
      </c>
      <c r="AJ139">
        <v>130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ROW(Source!A72)</f>
        <v>72</v>
      </c>
      <c r="B140">
        <v>16631424</v>
      </c>
      <c r="C140">
        <v>16631415</v>
      </c>
      <c r="D140">
        <v>15430395</v>
      </c>
      <c r="E140">
        <v>1</v>
      </c>
      <c r="F140">
        <v>1</v>
      </c>
      <c r="G140">
        <v>1</v>
      </c>
      <c r="H140">
        <v>1</v>
      </c>
      <c r="I140" t="s">
        <v>1149</v>
      </c>
      <c r="J140" t="s">
        <v>6</v>
      </c>
      <c r="K140" t="s">
        <v>1150</v>
      </c>
      <c r="L140">
        <v>1191</v>
      </c>
      <c r="N140">
        <v>1013</v>
      </c>
      <c r="O140" t="s">
        <v>1148</v>
      </c>
      <c r="P140" t="s">
        <v>1148</v>
      </c>
      <c r="Q140">
        <v>1</v>
      </c>
      <c r="X140">
        <v>0.17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2</v>
      </c>
      <c r="AF140" t="s">
        <v>81</v>
      </c>
      <c r="AG140">
        <v>0.21250000000000002</v>
      </c>
      <c r="AH140">
        <v>2</v>
      </c>
      <c r="AI140">
        <v>16631417</v>
      </c>
      <c r="AJ140">
        <v>131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ROW(Source!A72)</f>
        <v>72</v>
      </c>
      <c r="B141">
        <v>16631425</v>
      </c>
      <c r="C141">
        <v>16631415</v>
      </c>
      <c r="D141">
        <v>15247970</v>
      </c>
      <c r="E141">
        <v>1</v>
      </c>
      <c r="F141">
        <v>1</v>
      </c>
      <c r="G141">
        <v>1</v>
      </c>
      <c r="H141">
        <v>2</v>
      </c>
      <c r="I141" t="s">
        <v>1268</v>
      </c>
      <c r="J141" t="s">
        <v>1269</v>
      </c>
      <c r="K141" t="s">
        <v>1270</v>
      </c>
      <c r="L141">
        <v>1368</v>
      </c>
      <c r="N141">
        <v>1011</v>
      </c>
      <c r="O141" t="s">
        <v>1154</v>
      </c>
      <c r="P141" t="s">
        <v>1154</v>
      </c>
      <c r="Q141">
        <v>1</v>
      </c>
      <c r="X141">
        <v>0.13</v>
      </c>
      <c r="Y141">
        <v>0</v>
      </c>
      <c r="Z141">
        <v>27.66</v>
      </c>
      <c r="AA141">
        <v>11.6</v>
      </c>
      <c r="AB141">
        <v>0</v>
      </c>
      <c r="AC141">
        <v>0</v>
      </c>
      <c r="AD141">
        <v>1</v>
      </c>
      <c r="AE141">
        <v>0</v>
      </c>
      <c r="AF141" t="s">
        <v>81</v>
      </c>
      <c r="AG141">
        <v>0.16250000000000001</v>
      </c>
      <c r="AH141">
        <v>2</v>
      </c>
      <c r="AI141">
        <v>16631418</v>
      </c>
      <c r="AJ141">
        <v>132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ROW(Source!A72)</f>
        <v>72</v>
      </c>
      <c r="B142">
        <v>16631426</v>
      </c>
      <c r="C142">
        <v>16631415</v>
      </c>
      <c r="D142">
        <v>15249073</v>
      </c>
      <c r="E142">
        <v>1</v>
      </c>
      <c r="F142">
        <v>1</v>
      </c>
      <c r="G142">
        <v>1</v>
      </c>
      <c r="H142">
        <v>2</v>
      </c>
      <c r="I142" t="s">
        <v>1157</v>
      </c>
      <c r="J142" t="s">
        <v>1158</v>
      </c>
      <c r="K142" t="s">
        <v>1159</v>
      </c>
      <c r="L142">
        <v>1368</v>
      </c>
      <c r="N142">
        <v>1011</v>
      </c>
      <c r="O142" t="s">
        <v>1154</v>
      </c>
      <c r="P142" t="s">
        <v>1154</v>
      </c>
      <c r="Q142">
        <v>1</v>
      </c>
      <c r="X142">
        <v>0.04</v>
      </c>
      <c r="Y142">
        <v>0</v>
      </c>
      <c r="Z142">
        <v>65.709999999999994</v>
      </c>
      <c r="AA142">
        <v>11.6</v>
      </c>
      <c r="AB142">
        <v>0</v>
      </c>
      <c r="AC142">
        <v>0</v>
      </c>
      <c r="AD142">
        <v>1</v>
      </c>
      <c r="AE142">
        <v>0</v>
      </c>
      <c r="AF142" t="s">
        <v>81</v>
      </c>
      <c r="AG142">
        <v>0.05</v>
      </c>
      <c r="AH142">
        <v>2</v>
      </c>
      <c r="AI142">
        <v>16631419</v>
      </c>
      <c r="AJ142">
        <v>133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ROW(Source!A72)</f>
        <v>72</v>
      </c>
      <c r="B143">
        <v>16631427</v>
      </c>
      <c r="C143">
        <v>16631415</v>
      </c>
      <c r="D143">
        <v>15167286</v>
      </c>
      <c r="E143">
        <v>1</v>
      </c>
      <c r="F143">
        <v>1</v>
      </c>
      <c r="G143">
        <v>1</v>
      </c>
      <c r="H143">
        <v>3</v>
      </c>
      <c r="I143" t="s">
        <v>1265</v>
      </c>
      <c r="J143" t="s">
        <v>1266</v>
      </c>
      <c r="K143" t="s">
        <v>1267</v>
      </c>
      <c r="L143">
        <v>1339</v>
      </c>
      <c r="N143">
        <v>1007</v>
      </c>
      <c r="O143" t="s">
        <v>203</v>
      </c>
      <c r="P143" t="s">
        <v>203</v>
      </c>
      <c r="Q143">
        <v>1</v>
      </c>
      <c r="X143">
        <v>0.17399999999999999</v>
      </c>
      <c r="Y143">
        <v>2.44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6</v>
      </c>
      <c r="AG143">
        <v>0.17399999999999999</v>
      </c>
      <c r="AH143">
        <v>2</v>
      </c>
      <c r="AI143">
        <v>16631420</v>
      </c>
      <c r="AJ143">
        <v>134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ROW(Source!A72)</f>
        <v>72</v>
      </c>
      <c r="B144">
        <v>16631428</v>
      </c>
      <c r="C144">
        <v>16631415</v>
      </c>
      <c r="D144">
        <v>15172906</v>
      </c>
      <c r="E144">
        <v>1</v>
      </c>
      <c r="F144">
        <v>1</v>
      </c>
      <c r="G144">
        <v>1</v>
      </c>
      <c r="H144">
        <v>3</v>
      </c>
      <c r="I144" t="s">
        <v>1282</v>
      </c>
      <c r="J144" t="s">
        <v>1283</v>
      </c>
      <c r="K144" t="s">
        <v>1284</v>
      </c>
      <c r="L144">
        <v>1348</v>
      </c>
      <c r="N144">
        <v>1009</v>
      </c>
      <c r="O144" t="s">
        <v>98</v>
      </c>
      <c r="P144" t="s">
        <v>98</v>
      </c>
      <c r="Q144">
        <v>1000</v>
      </c>
      <c r="X144">
        <v>0.9</v>
      </c>
      <c r="Y144">
        <v>11381.57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6</v>
      </c>
      <c r="AG144">
        <v>0.9</v>
      </c>
      <c r="AH144">
        <v>2</v>
      </c>
      <c r="AI144">
        <v>16631421</v>
      </c>
      <c r="AJ144">
        <v>135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ROW(Source!A72)</f>
        <v>72</v>
      </c>
      <c r="B145">
        <v>16631429</v>
      </c>
      <c r="C145">
        <v>16631415</v>
      </c>
      <c r="D145">
        <v>15203485</v>
      </c>
      <c r="E145">
        <v>1</v>
      </c>
      <c r="F145">
        <v>1</v>
      </c>
      <c r="G145">
        <v>1</v>
      </c>
      <c r="H145">
        <v>3</v>
      </c>
      <c r="I145" t="s">
        <v>1274</v>
      </c>
      <c r="J145" t="s">
        <v>1275</v>
      </c>
      <c r="K145" t="s">
        <v>1276</v>
      </c>
      <c r="L145">
        <v>1346</v>
      </c>
      <c r="N145">
        <v>1009</v>
      </c>
      <c r="O145" t="s">
        <v>102</v>
      </c>
      <c r="P145" t="s">
        <v>102</v>
      </c>
      <c r="Q145">
        <v>1</v>
      </c>
      <c r="X145">
        <v>30</v>
      </c>
      <c r="Y145">
        <v>15.25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6</v>
      </c>
      <c r="AG145">
        <v>30</v>
      </c>
      <c r="AH145">
        <v>2</v>
      </c>
      <c r="AI145">
        <v>16631422</v>
      </c>
      <c r="AJ145">
        <v>136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ROW(Source!A73)</f>
        <v>73</v>
      </c>
      <c r="B146">
        <v>16631444</v>
      </c>
      <c r="C146">
        <v>16631430</v>
      </c>
      <c r="D146">
        <v>15438286</v>
      </c>
      <c r="E146">
        <v>1</v>
      </c>
      <c r="F146">
        <v>1</v>
      </c>
      <c r="G146">
        <v>1</v>
      </c>
      <c r="H146">
        <v>1</v>
      </c>
      <c r="I146" t="s">
        <v>1244</v>
      </c>
      <c r="J146" t="s">
        <v>6</v>
      </c>
      <c r="K146" t="s">
        <v>1245</v>
      </c>
      <c r="L146">
        <v>1191</v>
      </c>
      <c r="N146">
        <v>1013</v>
      </c>
      <c r="O146" t="s">
        <v>1148</v>
      </c>
      <c r="P146" t="s">
        <v>1148</v>
      </c>
      <c r="Q146">
        <v>1</v>
      </c>
      <c r="X146">
        <v>6.68</v>
      </c>
      <c r="Y146">
        <v>0</v>
      </c>
      <c r="Z146">
        <v>0</v>
      </c>
      <c r="AA146">
        <v>0</v>
      </c>
      <c r="AB146">
        <v>9.18</v>
      </c>
      <c r="AC146">
        <v>0</v>
      </c>
      <c r="AD146">
        <v>1</v>
      </c>
      <c r="AE146">
        <v>1</v>
      </c>
      <c r="AF146" t="s">
        <v>82</v>
      </c>
      <c r="AG146">
        <v>7.6819999999999995</v>
      </c>
      <c r="AH146">
        <v>2</v>
      </c>
      <c r="AI146">
        <v>16631431</v>
      </c>
      <c r="AJ146">
        <v>137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ROW(Source!A73)</f>
        <v>73</v>
      </c>
      <c r="B147">
        <v>16631445</v>
      </c>
      <c r="C147">
        <v>16631430</v>
      </c>
      <c r="D147">
        <v>15430395</v>
      </c>
      <c r="E147">
        <v>1</v>
      </c>
      <c r="F147">
        <v>1</v>
      </c>
      <c r="G147">
        <v>1</v>
      </c>
      <c r="H147">
        <v>1</v>
      </c>
      <c r="I147" t="s">
        <v>1149</v>
      </c>
      <c r="J147" t="s">
        <v>6</v>
      </c>
      <c r="K147" t="s">
        <v>1150</v>
      </c>
      <c r="L147">
        <v>1191</v>
      </c>
      <c r="N147">
        <v>1013</v>
      </c>
      <c r="O147" t="s">
        <v>1148</v>
      </c>
      <c r="P147" t="s">
        <v>1148</v>
      </c>
      <c r="Q147">
        <v>1</v>
      </c>
      <c r="X147">
        <v>0.04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2</v>
      </c>
      <c r="AF147" t="s">
        <v>81</v>
      </c>
      <c r="AG147">
        <v>0.05</v>
      </c>
      <c r="AH147">
        <v>2</v>
      </c>
      <c r="AI147">
        <v>16631432</v>
      </c>
      <c r="AJ147">
        <v>138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ROW(Source!A73)</f>
        <v>73</v>
      </c>
      <c r="B148">
        <v>16631446</v>
      </c>
      <c r="C148">
        <v>16631430</v>
      </c>
      <c r="D148">
        <v>15247974</v>
      </c>
      <c r="E148">
        <v>1</v>
      </c>
      <c r="F148">
        <v>1</v>
      </c>
      <c r="G148">
        <v>1</v>
      </c>
      <c r="H148">
        <v>2</v>
      </c>
      <c r="I148" t="s">
        <v>1151</v>
      </c>
      <c r="J148" t="s">
        <v>1152</v>
      </c>
      <c r="K148" t="s">
        <v>1153</v>
      </c>
      <c r="L148">
        <v>1368</v>
      </c>
      <c r="N148">
        <v>1011</v>
      </c>
      <c r="O148" t="s">
        <v>1154</v>
      </c>
      <c r="P148" t="s">
        <v>1154</v>
      </c>
      <c r="Q148">
        <v>1</v>
      </c>
      <c r="X148">
        <v>5.0000000000000001E-3</v>
      </c>
      <c r="Y148">
        <v>0</v>
      </c>
      <c r="Z148">
        <v>31.26</v>
      </c>
      <c r="AA148">
        <v>13.5</v>
      </c>
      <c r="AB148">
        <v>0</v>
      </c>
      <c r="AC148">
        <v>0</v>
      </c>
      <c r="AD148">
        <v>1</v>
      </c>
      <c r="AE148">
        <v>0</v>
      </c>
      <c r="AF148" t="s">
        <v>81</v>
      </c>
      <c r="AG148">
        <v>6.2500000000000003E-3</v>
      </c>
      <c r="AH148">
        <v>2</v>
      </c>
      <c r="AI148">
        <v>16631433</v>
      </c>
      <c r="AJ148">
        <v>139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ROW(Source!A73)</f>
        <v>73</v>
      </c>
      <c r="B149">
        <v>16631447</v>
      </c>
      <c r="C149">
        <v>16631430</v>
      </c>
      <c r="D149">
        <v>15249073</v>
      </c>
      <c r="E149">
        <v>1</v>
      </c>
      <c r="F149">
        <v>1</v>
      </c>
      <c r="G149">
        <v>1</v>
      </c>
      <c r="H149">
        <v>2</v>
      </c>
      <c r="I149" t="s">
        <v>1157</v>
      </c>
      <c r="J149" t="s">
        <v>1158</v>
      </c>
      <c r="K149" t="s">
        <v>1159</v>
      </c>
      <c r="L149">
        <v>1368</v>
      </c>
      <c r="N149">
        <v>1011</v>
      </c>
      <c r="O149" t="s">
        <v>1154</v>
      </c>
      <c r="P149" t="s">
        <v>1154</v>
      </c>
      <c r="Q149">
        <v>1</v>
      </c>
      <c r="X149">
        <v>0.03</v>
      </c>
      <c r="Y149">
        <v>0</v>
      </c>
      <c r="Z149">
        <v>65.709999999999994</v>
      </c>
      <c r="AA149">
        <v>11.6</v>
      </c>
      <c r="AB149">
        <v>0</v>
      </c>
      <c r="AC149">
        <v>0</v>
      </c>
      <c r="AD149">
        <v>1</v>
      </c>
      <c r="AE149">
        <v>0</v>
      </c>
      <c r="AF149" t="s">
        <v>81</v>
      </c>
      <c r="AG149">
        <v>3.7499999999999999E-2</v>
      </c>
      <c r="AH149">
        <v>2</v>
      </c>
      <c r="AI149">
        <v>16631434</v>
      </c>
      <c r="AJ149">
        <v>140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ROW(Source!A73)</f>
        <v>73</v>
      </c>
      <c r="B150">
        <v>16631448</v>
      </c>
      <c r="C150">
        <v>16631430</v>
      </c>
      <c r="D150">
        <v>15169972</v>
      </c>
      <c r="E150">
        <v>1</v>
      </c>
      <c r="F150">
        <v>1</v>
      </c>
      <c r="G150">
        <v>1</v>
      </c>
      <c r="H150">
        <v>3</v>
      </c>
      <c r="I150" t="s">
        <v>1239</v>
      </c>
      <c r="J150" t="s">
        <v>1240</v>
      </c>
      <c r="K150" t="s">
        <v>1241</v>
      </c>
      <c r="L150">
        <v>1355</v>
      </c>
      <c r="N150">
        <v>1010</v>
      </c>
      <c r="O150" t="s">
        <v>243</v>
      </c>
      <c r="P150" t="s">
        <v>243</v>
      </c>
      <c r="Q150">
        <v>100</v>
      </c>
      <c r="X150">
        <v>2.63</v>
      </c>
      <c r="Y150">
        <v>12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6</v>
      </c>
      <c r="AG150">
        <v>2.63</v>
      </c>
      <c r="AH150">
        <v>2</v>
      </c>
      <c r="AI150">
        <v>16631435</v>
      </c>
      <c r="AJ150">
        <v>141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ROW(Source!A73)</f>
        <v>73</v>
      </c>
      <c r="B151">
        <v>16631449</v>
      </c>
      <c r="C151">
        <v>16631430</v>
      </c>
      <c r="D151">
        <v>15170075</v>
      </c>
      <c r="E151">
        <v>1</v>
      </c>
      <c r="F151">
        <v>1</v>
      </c>
      <c r="G151">
        <v>1</v>
      </c>
      <c r="H151">
        <v>3</v>
      </c>
      <c r="I151" t="s">
        <v>1285</v>
      </c>
      <c r="J151" t="s">
        <v>1286</v>
      </c>
      <c r="K151" t="s">
        <v>1287</v>
      </c>
      <c r="L151">
        <v>1356</v>
      </c>
      <c r="N151">
        <v>1010</v>
      </c>
      <c r="O151" t="s">
        <v>278</v>
      </c>
      <c r="P151" t="s">
        <v>278</v>
      </c>
      <c r="Q151">
        <v>1000</v>
      </c>
      <c r="X151">
        <v>0.26300000000000001</v>
      </c>
      <c r="Y151">
        <v>160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6</v>
      </c>
      <c r="AG151">
        <v>0.26300000000000001</v>
      </c>
      <c r="AH151">
        <v>2</v>
      </c>
      <c r="AI151">
        <v>16631436</v>
      </c>
      <c r="AJ151">
        <v>142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ROW(Source!A73)</f>
        <v>73</v>
      </c>
      <c r="B152">
        <v>16631450</v>
      </c>
      <c r="C152">
        <v>16631430</v>
      </c>
      <c r="D152">
        <v>15162756</v>
      </c>
      <c r="E152">
        <v>17</v>
      </c>
      <c r="F152">
        <v>1</v>
      </c>
      <c r="G152">
        <v>1</v>
      </c>
      <c r="H152">
        <v>3</v>
      </c>
      <c r="I152" t="s">
        <v>234</v>
      </c>
      <c r="J152" t="s">
        <v>6</v>
      </c>
      <c r="K152" t="s">
        <v>235</v>
      </c>
      <c r="L152">
        <v>1301</v>
      </c>
      <c r="N152">
        <v>1003</v>
      </c>
      <c r="O152" t="s">
        <v>150</v>
      </c>
      <c r="P152" t="s">
        <v>150</v>
      </c>
      <c r="Q152">
        <v>1</v>
      </c>
      <c r="X152">
        <v>101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 t="s">
        <v>6</v>
      </c>
      <c r="AG152">
        <v>101</v>
      </c>
      <c r="AH152">
        <v>2</v>
      </c>
      <c r="AI152">
        <v>16631437</v>
      </c>
      <c r="AJ152">
        <v>143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ROW(Source!A73)</f>
        <v>73</v>
      </c>
      <c r="B153">
        <v>16631451</v>
      </c>
      <c r="C153">
        <v>16631430</v>
      </c>
      <c r="D153">
        <v>15162759</v>
      </c>
      <c r="E153">
        <v>17</v>
      </c>
      <c r="F153">
        <v>1</v>
      </c>
      <c r="G153">
        <v>1</v>
      </c>
      <c r="H153">
        <v>3</v>
      </c>
      <c r="I153" t="s">
        <v>1691</v>
      </c>
      <c r="J153" t="s">
        <v>6</v>
      </c>
      <c r="K153" t="s">
        <v>1692</v>
      </c>
      <c r="L153">
        <v>1354</v>
      </c>
      <c r="N153">
        <v>1010</v>
      </c>
      <c r="O153" t="s">
        <v>132</v>
      </c>
      <c r="P153" t="s">
        <v>132</v>
      </c>
      <c r="Q153">
        <v>1</v>
      </c>
      <c r="X153">
        <v>7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 t="s">
        <v>6</v>
      </c>
      <c r="AG153">
        <v>7</v>
      </c>
      <c r="AH153">
        <v>3</v>
      </c>
      <c r="AI153">
        <v>-1</v>
      </c>
      <c r="AJ153" t="s">
        <v>6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ROW(Source!A73)</f>
        <v>73</v>
      </c>
      <c r="B154">
        <v>16631452</v>
      </c>
      <c r="C154">
        <v>16631430</v>
      </c>
      <c r="D154">
        <v>15162759</v>
      </c>
      <c r="E154">
        <v>17</v>
      </c>
      <c r="F154">
        <v>1</v>
      </c>
      <c r="G154">
        <v>1</v>
      </c>
      <c r="H154">
        <v>3</v>
      </c>
      <c r="I154" t="s">
        <v>1691</v>
      </c>
      <c r="J154" t="s">
        <v>6</v>
      </c>
      <c r="K154" t="s">
        <v>1693</v>
      </c>
      <c r="L154">
        <v>1354</v>
      </c>
      <c r="N154">
        <v>1010</v>
      </c>
      <c r="O154" t="s">
        <v>132</v>
      </c>
      <c r="P154" t="s">
        <v>132</v>
      </c>
      <c r="Q154">
        <v>1</v>
      </c>
      <c r="X154">
        <v>7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 t="s">
        <v>6</v>
      </c>
      <c r="AG154">
        <v>7</v>
      </c>
      <c r="AH154">
        <v>3</v>
      </c>
      <c r="AI154">
        <v>-1</v>
      </c>
      <c r="AJ154" t="s">
        <v>6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ROW(Source!A73)</f>
        <v>73</v>
      </c>
      <c r="B155">
        <v>16631453</v>
      </c>
      <c r="C155">
        <v>16631430</v>
      </c>
      <c r="D155">
        <v>15162759</v>
      </c>
      <c r="E155">
        <v>17</v>
      </c>
      <c r="F155">
        <v>1</v>
      </c>
      <c r="G155">
        <v>1</v>
      </c>
      <c r="H155">
        <v>3</v>
      </c>
      <c r="I155" t="s">
        <v>1691</v>
      </c>
      <c r="J155" t="s">
        <v>6</v>
      </c>
      <c r="K155" t="s">
        <v>1694</v>
      </c>
      <c r="L155">
        <v>1354</v>
      </c>
      <c r="N155">
        <v>1010</v>
      </c>
      <c r="O155" t="s">
        <v>132</v>
      </c>
      <c r="P155" t="s">
        <v>132</v>
      </c>
      <c r="Q155">
        <v>1</v>
      </c>
      <c r="X155">
        <v>40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 t="s">
        <v>6</v>
      </c>
      <c r="AG155">
        <v>40</v>
      </c>
      <c r="AH155">
        <v>3</v>
      </c>
      <c r="AI155">
        <v>-1</v>
      </c>
      <c r="AJ155" t="s">
        <v>6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ROW(Source!A73)</f>
        <v>73</v>
      </c>
      <c r="B156">
        <v>16631454</v>
      </c>
      <c r="C156">
        <v>16631430</v>
      </c>
      <c r="D156">
        <v>15162759</v>
      </c>
      <c r="E156">
        <v>17</v>
      </c>
      <c r="F156">
        <v>1</v>
      </c>
      <c r="G156">
        <v>1</v>
      </c>
      <c r="H156">
        <v>3</v>
      </c>
      <c r="I156" t="s">
        <v>1691</v>
      </c>
      <c r="J156" t="s">
        <v>6</v>
      </c>
      <c r="K156" t="s">
        <v>1695</v>
      </c>
      <c r="L156">
        <v>1354</v>
      </c>
      <c r="N156">
        <v>1010</v>
      </c>
      <c r="O156" t="s">
        <v>132</v>
      </c>
      <c r="P156" t="s">
        <v>132</v>
      </c>
      <c r="Q156">
        <v>1</v>
      </c>
      <c r="X156">
        <v>8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 t="s">
        <v>6</v>
      </c>
      <c r="AG156">
        <v>8</v>
      </c>
      <c r="AH156">
        <v>3</v>
      </c>
      <c r="AI156">
        <v>-1</v>
      </c>
      <c r="AJ156" t="s">
        <v>6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ROW(Source!A73)</f>
        <v>73</v>
      </c>
      <c r="B157">
        <v>16631455</v>
      </c>
      <c r="C157">
        <v>16631430</v>
      </c>
      <c r="D157">
        <v>15162759</v>
      </c>
      <c r="E157">
        <v>17</v>
      </c>
      <c r="F157">
        <v>1</v>
      </c>
      <c r="G157">
        <v>1</v>
      </c>
      <c r="H157">
        <v>3</v>
      </c>
      <c r="I157" t="s">
        <v>1691</v>
      </c>
      <c r="J157" t="s">
        <v>6</v>
      </c>
      <c r="K157" t="s">
        <v>1696</v>
      </c>
      <c r="L157">
        <v>1354</v>
      </c>
      <c r="N157">
        <v>1010</v>
      </c>
      <c r="O157" t="s">
        <v>132</v>
      </c>
      <c r="P157" t="s">
        <v>132</v>
      </c>
      <c r="Q157">
        <v>1</v>
      </c>
      <c r="X157">
        <v>8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 t="s">
        <v>6</v>
      </c>
      <c r="AG157">
        <v>8</v>
      </c>
      <c r="AH157">
        <v>3</v>
      </c>
      <c r="AI157">
        <v>-1</v>
      </c>
      <c r="AJ157" t="s">
        <v>6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ROW(Source!A81)</f>
        <v>81</v>
      </c>
      <c r="B158">
        <v>16631476</v>
      </c>
      <c r="C158">
        <v>16631463</v>
      </c>
      <c r="D158">
        <v>15435695</v>
      </c>
      <c r="E158">
        <v>1</v>
      </c>
      <c r="F158">
        <v>1</v>
      </c>
      <c r="G158">
        <v>1</v>
      </c>
      <c r="H158">
        <v>1</v>
      </c>
      <c r="I158" t="s">
        <v>1288</v>
      </c>
      <c r="J158" t="s">
        <v>6</v>
      </c>
      <c r="K158" t="s">
        <v>1289</v>
      </c>
      <c r="L158">
        <v>1191</v>
      </c>
      <c r="N158">
        <v>1013</v>
      </c>
      <c r="O158" t="s">
        <v>1148</v>
      </c>
      <c r="P158" t="s">
        <v>1148</v>
      </c>
      <c r="Q158">
        <v>1</v>
      </c>
      <c r="X158">
        <v>26.97</v>
      </c>
      <c r="Y158">
        <v>0</v>
      </c>
      <c r="Z158">
        <v>0</v>
      </c>
      <c r="AA158">
        <v>0</v>
      </c>
      <c r="AB158">
        <v>10.94</v>
      </c>
      <c r="AC158">
        <v>0</v>
      </c>
      <c r="AD158">
        <v>1</v>
      </c>
      <c r="AE158">
        <v>1</v>
      </c>
      <c r="AF158" t="s">
        <v>82</v>
      </c>
      <c r="AG158">
        <v>31.015499999999996</v>
      </c>
      <c r="AH158">
        <v>2</v>
      </c>
      <c r="AI158">
        <v>16631464</v>
      </c>
      <c r="AJ158">
        <v>150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ROW(Source!A81)</f>
        <v>81</v>
      </c>
      <c r="B159">
        <v>16631477</v>
      </c>
      <c r="C159">
        <v>16631463</v>
      </c>
      <c r="D159">
        <v>15430395</v>
      </c>
      <c r="E159">
        <v>1</v>
      </c>
      <c r="F159">
        <v>1</v>
      </c>
      <c r="G159">
        <v>1</v>
      </c>
      <c r="H159">
        <v>1</v>
      </c>
      <c r="I159" t="s">
        <v>1149</v>
      </c>
      <c r="J159" t="s">
        <v>6</v>
      </c>
      <c r="K159" t="s">
        <v>1150</v>
      </c>
      <c r="L159">
        <v>1191</v>
      </c>
      <c r="N159">
        <v>1013</v>
      </c>
      <c r="O159" t="s">
        <v>1148</v>
      </c>
      <c r="P159" t="s">
        <v>1148</v>
      </c>
      <c r="Q159">
        <v>1</v>
      </c>
      <c r="X159">
        <v>0.43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2</v>
      </c>
      <c r="AF159" t="s">
        <v>81</v>
      </c>
      <c r="AG159">
        <v>0.53749999999999998</v>
      </c>
      <c r="AH159">
        <v>2</v>
      </c>
      <c r="AI159">
        <v>16631465</v>
      </c>
      <c r="AJ159">
        <v>151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ROW(Source!A81)</f>
        <v>81</v>
      </c>
      <c r="B160">
        <v>16631478</v>
      </c>
      <c r="C160">
        <v>16631463</v>
      </c>
      <c r="D160">
        <v>15247974</v>
      </c>
      <c r="E160">
        <v>1</v>
      </c>
      <c r="F160">
        <v>1</v>
      </c>
      <c r="G160">
        <v>1</v>
      </c>
      <c r="H160">
        <v>2</v>
      </c>
      <c r="I160" t="s">
        <v>1151</v>
      </c>
      <c r="J160" t="s">
        <v>1152</v>
      </c>
      <c r="K160" t="s">
        <v>1153</v>
      </c>
      <c r="L160">
        <v>1368</v>
      </c>
      <c r="N160">
        <v>1011</v>
      </c>
      <c r="O160" t="s">
        <v>1154</v>
      </c>
      <c r="P160" t="s">
        <v>1154</v>
      </c>
      <c r="Q160">
        <v>1</v>
      </c>
      <c r="X160">
        <v>0.18</v>
      </c>
      <c r="Y160">
        <v>0</v>
      </c>
      <c r="Z160">
        <v>31.26</v>
      </c>
      <c r="AA160">
        <v>13.5</v>
      </c>
      <c r="AB160">
        <v>0</v>
      </c>
      <c r="AC160">
        <v>0</v>
      </c>
      <c r="AD160">
        <v>1</v>
      </c>
      <c r="AE160">
        <v>0</v>
      </c>
      <c r="AF160" t="s">
        <v>81</v>
      </c>
      <c r="AG160">
        <v>0.22499999999999998</v>
      </c>
      <c r="AH160">
        <v>2</v>
      </c>
      <c r="AI160">
        <v>16631466</v>
      </c>
      <c r="AJ160">
        <v>152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ROW(Source!A81)</f>
        <v>81</v>
      </c>
      <c r="B161">
        <v>16631479</v>
      </c>
      <c r="C161">
        <v>16631463</v>
      </c>
      <c r="D161">
        <v>15248306</v>
      </c>
      <c r="E161">
        <v>1</v>
      </c>
      <c r="F161">
        <v>1</v>
      </c>
      <c r="G161">
        <v>1</v>
      </c>
      <c r="H161">
        <v>2</v>
      </c>
      <c r="I161" t="s">
        <v>1290</v>
      </c>
      <c r="J161" t="s">
        <v>1291</v>
      </c>
      <c r="K161" t="s">
        <v>1292</v>
      </c>
      <c r="L161">
        <v>1368</v>
      </c>
      <c r="N161">
        <v>1011</v>
      </c>
      <c r="O161" t="s">
        <v>1154</v>
      </c>
      <c r="P161" t="s">
        <v>1154</v>
      </c>
      <c r="Q161">
        <v>1</v>
      </c>
      <c r="X161">
        <v>4.37</v>
      </c>
      <c r="Y161">
        <v>0</v>
      </c>
      <c r="Z161">
        <v>30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81</v>
      </c>
      <c r="AG161">
        <v>5.4625000000000004</v>
      </c>
      <c r="AH161">
        <v>2</v>
      </c>
      <c r="AI161">
        <v>16631467</v>
      </c>
      <c r="AJ161">
        <v>153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ROW(Source!A81)</f>
        <v>81</v>
      </c>
      <c r="B162">
        <v>16631480</v>
      </c>
      <c r="C162">
        <v>16631463</v>
      </c>
      <c r="D162">
        <v>15249073</v>
      </c>
      <c r="E162">
        <v>1</v>
      </c>
      <c r="F162">
        <v>1</v>
      </c>
      <c r="G162">
        <v>1</v>
      </c>
      <c r="H162">
        <v>2</v>
      </c>
      <c r="I162" t="s">
        <v>1157</v>
      </c>
      <c r="J162" t="s">
        <v>1158</v>
      </c>
      <c r="K162" t="s">
        <v>1159</v>
      </c>
      <c r="L162">
        <v>1368</v>
      </c>
      <c r="N162">
        <v>1011</v>
      </c>
      <c r="O162" t="s">
        <v>1154</v>
      </c>
      <c r="P162" t="s">
        <v>1154</v>
      </c>
      <c r="Q162">
        <v>1</v>
      </c>
      <c r="X162">
        <v>0.25</v>
      </c>
      <c r="Y162">
        <v>0</v>
      </c>
      <c r="Z162">
        <v>65.709999999999994</v>
      </c>
      <c r="AA162">
        <v>11.6</v>
      </c>
      <c r="AB162">
        <v>0</v>
      </c>
      <c r="AC162">
        <v>0</v>
      </c>
      <c r="AD162">
        <v>1</v>
      </c>
      <c r="AE162">
        <v>0</v>
      </c>
      <c r="AF162" t="s">
        <v>81</v>
      </c>
      <c r="AG162">
        <v>0.3125</v>
      </c>
      <c r="AH162">
        <v>2</v>
      </c>
      <c r="AI162">
        <v>16631468</v>
      </c>
      <c r="AJ162">
        <v>154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ROW(Source!A81)</f>
        <v>81</v>
      </c>
      <c r="B163">
        <v>16631481</v>
      </c>
      <c r="C163">
        <v>16631463</v>
      </c>
      <c r="D163">
        <v>15250226</v>
      </c>
      <c r="E163">
        <v>1</v>
      </c>
      <c r="F163">
        <v>1</v>
      </c>
      <c r="G163">
        <v>1</v>
      </c>
      <c r="H163">
        <v>2</v>
      </c>
      <c r="I163" t="s">
        <v>1293</v>
      </c>
      <c r="J163" t="s">
        <v>1294</v>
      </c>
      <c r="K163" t="s">
        <v>1295</v>
      </c>
      <c r="L163">
        <v>1368</v>
      </c>
      <c r="N163">
        <v>1011</v>
      </c>
      <c r="O163" t="s">
        <v>1154</v>
      </c>
      <c r="P163" t="s">
        <v>1154</v>
      </c>
      <c r="Q163">
        <v>1</v>
      </c>
      <c r="X163">
        <v>1.5</v>
      </c>
      <c r="Y163">
        <v>0</v>
      </c>
      <c r="Z163">
        <v>2.7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81</v>
      </c>
      <c r="AG163">
        <v>1.875</v>
      </c>
      <c r="AH163">
        <v>2</v>
      </c>
      <c r="AI163">
        <v>16631469</v>
      </c>
      <c r="AJ163">
        <v>155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ROW(Source!A81)</f>
        <v>81</v>
      </c>
      <c r="B164">
        <v>16631482</v>
      </c>
      <c r="C164">
        <v>16631463</v>
      </c>
      <c r="D164">
        <v>15165310</v>
      </c>
      <c r="E164">
        <v>1</v>
      </c>
      <c r="F164">
        <v>1</v>
      </c>
      <c r="G164">
        <v>1</v>
      </c>
      <c r="H164">
        <v>3</v>
      </c>
      <c r="I164" t="s">
        <v>1296</v>
      </c>
      <c r="J164" t="s">
        <v>1297</v>
      </c>
      <c r="K164" t="s">
        <v>1298</v>
      </c>
      <c r="L164">
        <v>1348</v>
      </c>
      <c r="N164">
        <v>1009</v>
      </c>
      <c r="O164" t="s">
        <v>98</v>
      </c>
      <c r="P164" t="s">
        <v>98</v>
      </c>
      <c r="Q164">
        <v>1000</v>
      </c>
      <c r="X164">
        <v>8.0000000000000002E-3</v>
      </c>
      <c r="Y164">
        <v>1160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6</v>
      </c>
      <c r="AG164">
        <v>8.0000000000000002E-3</v>
      </c>
      <c r="AH164">
        <v>2</v>
      </c>
      <c r="AI164">
        <v>16631470</v>
      </c>
      <c r="AJ164">
        <v>156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ROW(Source!A81)</f>
        <v>81</v>
      </c>
      <c r="B165">
        <v>16631483</v>
      </c>
      <c r="C165">
        <v>16631463</v>
      </c>
      <c r="D165">
        <v>15165346</v>
      </c>
      <c r="E165">
        <v>1</v>
      </c>
      <c r="F165">
        <v>1</v>
      </c>
      <c r="G165">
        <v>1</v>
      </c>
      <c r="H165">
        <v>3</v>
      </c>
      <c r="I165" t="s">
        <v>1299</v>
      </c>
      <c r="J165" t="s">
        <v>1300</v>
      </c>
      <c r="K165" t="s">
        <v>1301</v>
      </c>
      <c r="L165">
        <v>1348</v>
      </c>
      <c r="N165">
        <v>1009</v>
      </c>
      <c r="O165" t="s">
        <v>98</v>
      </c>
      <c r="P165" t="s">
        <v>98</v>
      </c>
      <c r="Q165">
        <v>1000</v>
      </c>
      <c r="X165">
        <v>1.9E-2</v>
      </c>
      <c r="Y165">
        <v>1525.5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6</v>
      </c>
      <c r="AG165">
        <v>1.9E-2</v>
      </c>
      <c r="AH165">
        <v>2</v>
      </c>
      <c r="AI165">
        <v>16631471</v>
      </c>
      <c r="AJ165">
        <v>157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ROW(Source!A81)</f>
        <v>81</v>
      </c>
      <c r="B166">
        <v>16631484</v>
      </c>
      <c r="C166">
        <v>16631463</v>
      </c>
      <c r="D166">
        <v>15165348</v>
      </c>
      <c r="E166">
        <v>1</v>
      </c>
      <c r="F166">
        <v>1</v>
      </c>
      <c r="G166">
        <v>1</v>
      </c>
      <c r="H166">
        <v>3</v>
      </c>
      <c r="I166" t="s">
        <v>1302</v>
      </c>
      <c r="J166" t="s">
        <v>1303</v>
      </c>
      <c r="K166" t="s">
        <v>1304</v>
      </c>
      <c r="L166">
        <v>1348</v>
      </c>
      <c r="N166">
        <v>1009</v>
      </c>
      <c r="O166" t="s">
        <v>98</v>
      </c>
      <c r="P166" t="s">
        <v>98</v>
      </c>
      <c r="Q166">
        <v>1000</v>
      </c>
      <c r="X166">
        <v>0.157</v>
      </c>
      <c r="Y166">
        <v>1383.1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6</v>
      </c>
      <c r="AG166">
        <v>0.157</v>
      </c>
      <c r="AH166">
        <v>2</v>
      </c>
      <c r="AI166">
        <v>16631472</v>
      </c>
      <c r="AJ166">
        <v>158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ROW(Source!A81)</f>
        <v>81</v>
      </c>
      <c r="B167">
        <v>16631485</v>
      </c>
      <c r="C167">
        <v>16631463</v>
      </c>
      <c r="D167">
        <v>15165532</v>
      </c>
      <c r="E167">
        <v>1</v>
      </c>
      <c r="F167">
        <v>1</v>
      </c>
      <c r="G167">
        <v>1</v>
      </c>
      <c r="H167">
        <v>3</v>
      </c>
      <c r="I167" t="s">
        <v>1305</v>
      </c>
      <c r="J167" t="s">
        <v>1306</v>
      </c>
      <c r="K167" t="s">
        <v>1307</v>
      </c>
      <c r="L167">
        <v>1348</v>
      </c>
      <c r="N167">
        <v>1009</v>
      </c>
      <c r="O167" t="s">
        <v>98</v>
      </c>
      <c r="P167" t="s">
        <v>98</v>
      </c>
      <c r="Q167">
        <v>1000</v>
      </c>
      <c r="X167">
        <v>5.7000000000000002E-2</v>
      </c>
      <c r="Y167">
        <v>6143.8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6</v>
      </c>
      <c r="AG167">
        <v>5.7000000000000002E-2</v>
      </c>
      <c r="AH167">
        <v>2</v>
      </c>
      <c r="AI167">
        <v>16631473</v>
      </c>
      <c r="AJ167">
        <v>159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ROW(Source!A81)</f>
        <v>81</v>
      </c>
      <c r="B168">
        <v>16631486</v>
      </c>
      <c r="C168">
        <v>16631463</v>
      </c>
      <c r="D168">
        <v>15167803</v>
      </c>
      <c r="E168">
        <v>1</v>
      </c>
      <c r="F168">
        <v>1</v>
      </c>
      <c r="G168">
        <v>1</v>
      </c>
      <c r="H168">
        <v>3</v>
      </c>
      <c r="I168" t="s">
        <v>1308</v>
      </c>
      <c r="J168" t="s">
        <v>1309</v>
      </c>
      <c r="K168" t="s">
        <v>1310</v>
      </c>
      <c r="L168">
        <v>1348</v>
      </c>
      <c r="N168">
        <v>1009</v>
      </c>
      <c r="O168" t="s">
        <v>98</v>
      </c>
      <c r="P168" t="s">
        <v>98</v>
      </c>
      <c r="Q168">
        <v>1000</v>
      </c>
      <c r="X168">
        <v>0.125</v>
      </c>
      <c r="Y168">
        <v>688.8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6</v>
      </c>
      <c r="AG168">
        <v>0.125</v>
      </c>
      <c r="AH168">
        <v>2</v>
      </c>
      <c r="AI168">
        <v>16631474</v>
      </c>
      <c r="AJ168">
        <v>160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ROW(Source!A81)</f>
        <v>81</v>
      </c>
      <c r="B169">
        <v>16631487</v>
      </c>
      <c r="C169">
        <v>16631463</v>
      </c>
      <c r="D169">
        <v>15171018</v>
      </c>
      <c r="E169">
        <v>1</v>
      </c>
      <c r="F169">
        <v>1</v>
      </c>
      <c r="G169">
        <v>1</v>
      </c>
      <c r="H169">
        <v>3</v>
      </c>
      <c r="I169" t="s">
        <v>1204</v>
      </c>
      <c r="J169" t="s">
        <v>1205</v>
      </c>
      <c r="K169" t="s">
        <v>1206</v>
      </c>
      <c r="L169">
        <v>1346</v>
      </c>
      <c r="N169">
        <v>1009</v>
      </c>
      <c r="O169" t="s">
        <v>102</v>
      </c>
      <c r="P169" t="s">
        <v>102</v>
      </c>
      <c r="Q169">
        <v>1</v>
      </c>
      <c r="X169">
        <v>0.5</v>
      </c>
      <c r="Y169">
        <v>1.82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6</v>
      </c>
      <c r="AG169">
        <v>0.5</v>
      </c>
      <c r="AH169">
        <v>2</v>
      </c>
      <c r="AI169">
        <v>16631475</v>
      </c>
      <c r="AJ169">
        <v>161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ROW(Source!A82)</f>
        <v>82</v>
      </c>
      <c r="B170">
        <v>16631497</v>
      </c>
      <c r="C170">
        <v>16631488</v>
      </c>
      <c r="D170">
        <v>15435721</v>
      </c>
      <c r="E170">
        <v>1</v>
      </c>
      <c r="F170">
        <v>1</v>
      </c>
      <c r="G170">
        <v>1</v>
      </c>
      <c r="H170">
        <v>1</v>
      </c>
      <c r="I170" t="s">
        <v>1311</v>
      </c>
      <c r="J170" t="s">
        <v>6</v>
      </c>
      <c r="K170" t="s">
        <v>1312</v>
      </c>
      <c r="L170">
        <v>1191</v>
      </c>
      <c r="N170">
        <v>1013</v>
      </c>
      <c r="O170" t="s">
        <v>1148</v>
      </c>
      <c r="P170" t="s">
        <v>1148</v>
      </c>
      <c r="Q170">
        <v>1</v>
      </c>
      <c r="X170">
        <v>21.2</v>
      </c>
      <c r="Y170">
        <v>0</v>
      </c>
      <c r="Z170">
        <v>0</v>
      </c>
      <c r="AA170">
        <v>0</v>
      </c>
      <c r="AB170">
        <v>9.51</v>
      </c>
      <c r="AC170">
        <v>0</v>
      </c>
      <c r="AD170">
        <v>1</v>
      </c>
      <c r="AE170">
        <v>1</v>
      </c>
      <c r="AF170" t="s">
        <v>82</v>
      </c>
      <c r="AG170">
        <v>24.38</v>
      </c>
      <c r="AH170">
        <v>2</v>
      </c>
      <c r="AI170">
        <v>16631489</v>
      </c>
      <c r="AJ170">
        <v>162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ROW(Source!A82)</f>
        <v>82</v>
      </c>
      <c r="B171">
        <v>16631498</v>
      </c>
      <c r="C171">
        <v>16631488</v>
      </c>
      <c r="D171">
        <v>15430395</v>
      </c>
      <c r="E171">
        <v>1</v>
      </c>
      <c r="F171">
        <v>1</v>
      </c>
      <c r="G171">
        <v>1</v>
      </c>
      <c r="H171">
        <v>1</v>
      </c>
      <c r="I171" t="s">
        <v>1149</v>
      </c>
      <c r="J171" t="s">
        <v>6</v>
      </c>
      <c r="K171" t="s">
        <v>1150</v>
      </c>
      <c r="L171">
        <v>1191</v>
      </c>
      <c r="N171">
        <v>1013</v>
      </c>
      <c r="O171" t="s">
        <v>1148</v>
      </c>
      <c r="P171" t="s">
        <v>1148</v>
      </c>
      <c r="Q171">
        <v>1</v>
      </c>
      <c r="X171">
        <v>0.2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2</v>
      </c>
      <c r="AF171" t="s">
        <v>81</v>
      </c>
      <c r="AG171">
        <v>0.25</v>
      </c>
      <c r="AH171">
        <v>2</v>
      </c>
      <c r="AI171">
        <v>16631490</v>
      </c>
      <c r="AJ171">
        <v>163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ROW(Source!A82)</f>
        <v>82</v>
      </c>
      <c r="B172">
        <v>16631499</v>
      </c>
      <c r="C172">
        <v>16631488</v>
      </c>
      <c r="D172">
        <v>15248306</v>
      </c>
      <c r="E172">
        <v>1</v>
      </c>
      <c r="F172">
        <v>1</v>
      </c>
      <c r="G172">
        <v>1</v>
      </c>
      <c r="H172">
        <v>2</v>
      </c>
      <c r="I172" t="s">
        <v>1290</v>
      </c>
      <c r="J172" t="s">
        <v>1291</v>
      </c>
      <c r="K172" t="s">
        <v>1292</v>
      </c>
      <c r="L172">
        <v>1368</v>
      </c>
      <c r="N172">
        <v>1011</v>
      </c>
      <c r="O172" t="s">
        <v>1154</v>
      </c>
      <c r="P172" t="s">
        <v>1154</v>
      </c>
      <c r="Q172">
        <v>1</v>
      </c>
      <c r="X172">
        <v>1.95</v>
      </c>
      <c r="Y172">
        <v>0</v>
      </c>
      <c r="Z172">
        <v>30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81</v>
      </c>
      <c r="AG172">
        <v>2.4375</v>
      </c>
      <c r="AH172">
        <v>2</v>
      </c>
      <c r="AI172">
        <v>16631491</v>
      </c>
      <c r="AJ172">
        <v>164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ROW(Source!A82)</f>
        <v>82</v>
      </c>
      <c r="B173">
        <v>16631500</v>
      </c>
      <c r="C173">
        <v>16631488</v>
      </c>
      <c r="D173">
        <v>15249073</v>
      </c>
      <c r="E173">
        <v>1</v>
      </c>
      <c r="F173">
        <v>1</v>
      </c>
      <c r="G173">
        <v>1</v>
      </c>
      <c r="H173">
        <v>2</v>
      </c>
      <c r="I173" t="s">
        <v>1157</v>
      </c>
      <c r="J173" t="s">
        <v>1158</v>
      </c>
      <c r="K173" t="s">
        <v>1159</v>
      </c>
      <c r="L173">
        <v>1368</v>
      </c>
      <c r="N173">
        <v>1011</v>
      </c>
      <c r="O173" t="s">
        <v>1154</v>
      </c>
      <c r="P173" t="s">
        <v>1154</v>
      </c>
      <c r="Q173">
        <v>1</v>
      </c>
      <c r="X173">
        <v>0.2</v>
      </c>
      <c r="Y173">
        <v>0</v>
      </c>
      <c r="Z173">
        <v>65.709999999999994</v>
      </c>
      <c r="AA173">
        <v>11.6</v>
      </c>
      <c r="AB173">
        <v>0</v>
      </c>
      <c r="AC173">
        <v>0</v>
      </c>
      <c r="AD173">
        <v>1</v>
      </c>
      <c r="AE173">
        <v>0</v>
      </c>
      <c r="AF173" t="s">
        <v>81</v>
      </c>
      <c r="AG173">
        <v>0.25</v>
      </c>
      <c r="AH173">
        <v>2</v>
      </c>
      <c r="AI173">
        <v>16631492</v>
      </c>
      <c r="AJ173">
        <v>165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ROW(Source!A82)</f>
        <v>82</v>
      </c>
      <c r="B174">
        <v>16631501</v>
      </c>
      <c r="C174">
        <v>16631488</v>
      </c>
      <c r="D174">
        <v>15165348</v>
      </c>
      <c r="E174">
        <v>1</v>
      </c>
      <c r="F174">
        <v>1</v>
      </c>
      <c r="G174">
        <v>1</v>
      </c>
      <c r="H174">
        <v>3</v>
      </c>
      <c r="I174" t="s">
        <v>1302</v>
      </c>
      <c r="J174" t="s">
        <v>1303</v>
      </c>
      <c r="K174" t="s">
        <v>1304</v>
      </c>
      <c r="L174">
        <v>1348</v>
      </c>
      <c r="N174">
        <v>1009</v>
      </c>
      <c r="O174" t="s">
        <v>98</v>
      </c>
      <c r="P174" t="s">
        <v>98</v>
      </c>
      <c r="Q174">
        <v>1000</v>
      </c>
      <c r="X174">
        <v>1.6E-2</v>
      </c>
      <c r="Y174">
        <v>1383.1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6</v>
      </c>
      <c r="AG174">
        <v>1.6E-2</v>
      </c>
      <c r="AH174">
        <v>2</v>
      </c>
      <c r="AI174">
        <v>16631493</v>
      </c>
      <c r="AJ174">
        <v>166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ROW(Source!A82)</f>
        <v>82</v>
      </c>
      <c r="B175">
        <v>16631502</v>
      </c>
      <c r="C175">
        <v>16631488</v>
      </c>
      <c r="D175">
        <v>15165390</v>
      </c>
      <c r="E175">
        <v>1</v>
      </c>
      <c r="F175">
        <v>1</v>
      </c>
      <c r="G175">
        <v>1</v>
      </c>
      <c r="H175">
        <v>3</v>
      </c>
      <c r="I175" t="s">
        <v>1313</v>
      </c>
      <c r="J175" t="s">
        <v>1314</v>
      </c>
      <c r="K175" t="s">
        <v>1315</v>
      </c>
      <c r="L175">
        <v>1348</v>
      </c>
      <c r="N175">
        <v>1009</v>
      </c>
      <c r="O175" t="s">
        <v>98</v>
      </c>
      <c r="P175" t="s">
        <v>98</v>
      </c>
      <c r="Q175">
        <v>1000</v>
      </c>
      <c r="X175">
        <v>0.24</v>
      </c>
      <c r="Y175">
        <v>3390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6</v>
      </c>
      <c r="AG175">
        <v>0.24</v>
      </c>
      <c r="AH175">
        <v>2</v>
      </c>
      <c r="AI175">
        <v>16631494</v>
      </c>
      <c r="AJ175">
        <v>167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ROW(Source!A82)</f>
        <v>82</v>
      </c>
      <c r="B176">
        <v>16631503</v>
      </c>
      <c r="C176">
        <v>16631488</v>
      </c>
      <c r="D176">
        <v>15165541</v>
      </c>
      <c r="E176">
        <v>1</v>
      </c>
      <c r="F176">
        <v>1</v>
      </c>
      <c r="G176">
        <v>1</v>
      </c>
      <c r="H176">
        <v>3</v>
      </c>
      <c r="I176" t="s">
        <v>1316</v>
      </c>
      <c r="J176" t="s">
        <v>1317</v>
      </c>
      <c r="K176" t="s">
        <v>1318</v>
      </c>
      <c r="L176">
        <v>1348</v>
      </c>
      <c r="N176">
        <v>1009</v>
      </c>
      <c r="O176" t="s">
        <v>98</v>
      </c>
      <c r="P176" t="s">
        <v>98</v>
      </c>
      <c r="Q176">
        <v>1000</v>
      </c>
      <c r="X176">
        <v>2.4E-2</v>
      </c>
      <c r="Y176">
        <v>2606.9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6</v>
      </c>
      <c r="AG176">
        <v>2.4E-2</v>
      </c>
      <c r="AH176">
        <v>2</v>
      </c>
      <c r="AI176">
        <v>16631495</v>
      </c>
      <c r="AJ176">
        <v>168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ROW(Source!A82)</f>
        <v>82</v>
      </c>
      <c r="B177">
        <v>16631504</v>
      </c>
      <c r="C177">
        <v>16631488</v>
      </c>
      <c r="D177">
        <v>15171018</v>
      </c>
      <c r="E177">
        <v>1</v>
      </c>
      <c r="F177">
        <v>1</v>
      </c>
      <c r="G177">
        <v>1</v>
      </c>
      <c r="H177">
        <v>3</v>
      </c>
      <c r="I177" t="s">
        <v>1204</v>
      </c>
      <c r="J177" t="s">
        <v>1205</v>
      </c>
      <c r="K177" t="s">
        <v>1206</v>
      </c>
      <c r="L177">
        <v>1346</v>
      </c>
      <c r="N177">
        <v>1009</v>
      </c>
      <c r="O177" t="s">
        <v>102</v>
      </c>
      <c r="P177" t="s">
        <v>102</v>
      </c>
      <c r="Q177">
        <v>1</v>
      </c>
      <c r="X177">
        <v>0.1</v>
      </c>
      <c r="Y177">
        <v>1.82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6</v>
      </c>
      <c r="AG177">
        <v>0.1</v>
      </c>
      <c r="AH177">
        <v>2</v>
      </c>
      <c r="AI177">
        <v>16631496</v>
      </c>
      <c r="AJ177">
        <v>169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ROW(Source!A83)</f>
        <v>83</v>
      </c>
      <c r="B178">
        <v>16631513</v>
      </c>
      <c r="C178">
        <v>16631505</v>
      </c>
      <c r="D178">
        <v>15432356</v>
      </c>
      <c r="E178">
        <v>1</v>
      </c>
      <c r="F178">
        <v>1</v>
      </c>
      <c r="G178">
        <v>1</v>
      </c>
      <c r="H178">
        <v>1</v>
      </c>
      <c r="I178" t="s">
        <v>1319</v>
      </c>
      <c r="J178" t="s">
        <v>6</v>
      </c>
      <c r="K178" t="s">
        <v>1320</v>
      </c>
      <c r="L178">
        <v>1191</v>
      </c>
      <c r="N178">
        <v>1013</v>
      </c>
      <c r="O178" t="s">
        <v>1148</v>
      </c>
      <c r="P178" t="s">
        <v>1148</v>
      </c>
      <c r="Q178">
        <v>1</v>
      </c>
      <c r="X178">
        <v>5.05</v>
      </c>
      <c r="Y178">
        <v>0</v>
      </c>
      <c r="Z178">
        <v>0</v>
      </c>
      <c r="AA178">
        <v>0</v>
      </c>
      <c r="AB178">
        <v>8.31</v>
      </c>
      <c r="AC178">
        <v>0</v>
      </c>
      <c r="AD178">
        <v>1</v>
      </c>
      <c r="AE178">
        <v>1</v>
      </c>
      <c r="AF178" t="s">
        <v>82</v>
      </c>
      <c r="AG178">
        <v>5.8074999999999992</v>
      </c>
      <c r="AH178">
        <v>2</v>
      </c>
      <c r="AI178">
        <v>16631506</v>
      </c>
      <c r="AJ178">
        <v>170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ROW(Source!A83)</f>
        <v>83</v>
      </c>
      <c r="B179">
        <v>16631514</v>
      </c>
      <c r="C179">
        <v>16631505</v>
      </c>
      <c r="D179">
        <v>15430395</v>
      </c>
      <c r="E179">
        <v>1</v>
      </c>
      <c r="F179">
        <v>1</v>
      </c>
      <c r="G179">
        <v>1</v>
      </c>
      <c r="H179">
        <v>1</v>
      </c>
      <c r="I179" t="s">
        <v>1149</v>
      </c>
      <c r="J179" t="s">
        <v>6</v>
      </c>
      <c r="K179" t="s">
        <v>1150</v>
      </c>
      <c r="L179">
        <v>1191</v>
      </c>
      <c r="N179">
        <v>1013</v>
      </c>
      <c r="O179" t="s">
        <v>1148</v>
      </c>
      <c r="P179" t="s">
        <v>1148</v>
      </c>
      <c r="Q179">
        <v>1</v>
      </c>
      <c r="X179">
        <v>0.35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2</v>
      </c>
      <c r="AF179" t="s">
        <v>81</v>
      </c>
      <c r="AG179">
        <v>0.4375</v>
      </c>
      <c r="AH179">
        <v>2</v>
      </c>
      <c r="AI179">
        <v>16631507</v>
      </c>
      <c r="AJ179">
        <v>171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ROW(Source!A83)</f>
        <v>83</v>
      </c>
      <c r="B180">
        <v>16631515</v>
      </c>
      <c r="C180">
        <v>16631505</v>
      </c>
      <c r="D180">
        <v>15247578</v>
      </c>
      <c r="E180">
        <v>1</v>
      </c>
      <c r="F180">
        <v>1</v>
      </c>
      <c r="G180">
        <v>1</v>
      </c>
      <c r="H180">
        <v>2</v>
      </c>
      <c r="I180" t="s">
        <v>1246</v>
      </c>
      <c r="J180" t="s">
        <v>1247</v>
      </c>
      <c r="K180" t="s">
        <v>1248</v>
      </c>
      <c r="L180">
        <v>1368</v>
      </c>
      <c r="N180">
        <v>1011</v>
      </c>
      <c r="O180" t="s">
        <v>1154</v>
      </c>
      <c r="P180" t="s">
        <v>1154</v>
      </c>
      <c r="Q180">
        <v>1</v>
      </c>
      <c r="X180">
        <v>0.35</v>
      </c>
      <c r="Y180">
        <v>0</v>
      </c>
      <c r="Z180">
        <v>86.4</v>
      </c>
      <c r="AA180">
        <v>13.5</v>
      </c>
      <c r="AB180">
        <v>0</v>
      </c>
      <c r="AC180">
        <v>0</v>
      </c>
      <c r="AD180">
        <v>1</v>
      </c>
      <c r="AE180">
        <v>0</v>
      </c>
      <c r="AF180" t="s">
        <v>81</v>
      </c>
      <c r="AG180">
        <v>0.4375</v>
      </c>
      <c r="AH180">
        <v>2</v>
      </c>
      <c r="AI180">
        <v>16631508</v>
      </c>
      <c r="AJ180">
        <v>172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ROW(Source!A83)</f>
        <v>83</v>
      </c>
      <c r="B181">
        <v>16631516</v>
      </c>
      <c r="C181">
        <v>16631505</v>
      </c>
      <c r="D181">
        <v>15167286</v>
      </c>
      <c r="E181">
        <v>1</v>
      </c>
      <c r="F181">
        <v>1</v>
      </c>
      <c r="G181">
        <v>1</v>
      </c>
      <c r="H181">
        <v>3</v>
      </c>
      <c r="I181" t="s">
        <v>1265</v>
      </c>
      <c r="J181" t="s">
        <v>1266</v>
      </c>
      <c r="K181" t="s">
        <v>1267</v>
      </c>
      <c r="L181">
        <v>1339</v>
      </c>
      <c r="N181">
        <v>1007</v>
      </c>
      <c r="O181" t="s">
        <v>203</v>
      </c>
      <c r="P181" t="s">
        <v>203</v>
      </c>
      <c r="Q181">
        <v>1</v>
      </c>
      <c r="X181">
        <v>0.44</v>
      </c>
      <c r="Y181">
        <v>2.44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6</v>
      </c>
      <c r="AG181">
        <v>0.44</v>
      </c>
      <c r="AH181">
        <v>2</v>
      </c>
      <c r="AI181">
        <v>16631509</v>
      </c>
      <c r="AJ181">
        <v>173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ROW(Source!A83)</f>
        <v>83</v>
      </c>
      <c r="B182">
        <v>16631517</v>
      </c>
      <c r="C182">
        <v>16631505</v>
      </c>
      <c r="D182">
        <v>15172868</v>
      </c>
      <c r="E182">
        <v>1</v>
      </c>
      <c r="F182">
        <v>1</v>
      </c>
      <c r="G182">
        <v>1</v>
      </c>
      <c r="H182">
        <v>3</v>
      </c>
      <c r="I182" t="s">
        <v>1321</v>
      </c>
      <c r="J182" t="s">
        <v>1322</v>
      </c>
      <c r="K182" t="s">
        <v>1323</v>
      </c>
      <c r="L182">
        <v>1339</v>
      </c>
      <c r="N182">
        <v>1007</v>
      </c>
      <c r="O182" t="s">
        <v>203</v>
      </c>
      <c r="P182" t="s">
        <v>203</v>
      </c>
      <c r="Q182">
        <v>1</v>
      </c>
      <c r="X182">
        <v>0.23400000000000001</v>
      </c>
      <c r="Y182">
        <v>519.79999999999995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6</v>
      </c>
      <c r="AG182">
        <v>0.23400000000000001</v>
      </c>
      <c r="AH182">
        <v>2</v>
      </c>
      <c r="AI182">
        <v>16631510</v>
      </c>
      <c r="AJ182">
        <v>174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ROW(Source!A83)</f>
        <v>83</v>
      </c>
      <c r="B183">
        <v>16631518</v>
      </c>
      <c r="C183">
        <v>16631505</v>
      </c>
      <c r="D183">
        <v>15162112</v>
      </c>
      <c r="E183">
        <v>17</v>
      </c>
      <c r="F183">
        <v>1</v>
      </c>
      <c r="G183">
        <v>1</v>
      </c>
      <c r="H183">
        <v>3</v>
      </c>
      <c r="I183" t="s">
        <v>1697</v>
      </c>
      <c r="J183" t="s">
        <v>6</v>
      </c>
      <c r="K183" t="s">
        <v>1698</v>
      </c>
      <c r="L183">
        <v>1356</v>
      </c>
      <c r="N183">
        <v>1010</v>
      </c>
      <c r="O183" t="s">
        <v>278</v>
      </c>
      <c r="P183" t="s">
        <v>278</v>
      </c>
      <c r="Q183">
        <v>1000</v>
      </c>
      <c r="X183">
        <v>0.39500000000000002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 t="s">
        <v>6</v>
      </c>
      <c r="AG183">
        <v>0.39500000000000002</v>
      </c>
      <c r="AH183">
        <v>3</v>
      </c>
      <c r="AI183">
        <v>-1</v>
      </c>
      <c r="AJ183" t="s">
        <v>6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ROW(Source!A83)</f>
        <v>83</v>
      </c>
      <c r="B184">
        <v>16631519</v>
      </c>
      <c r="C184">
        <v>16631505</v>
      </c>
      <c r="D184">
        <v>15195823</v>
      </c>
      <c r="E184">
        <v>1</v>
      </c>
      <c r="F184">
        <v>1</v>
      </c>
      <c r="G184">
        <v>1</v>
      </c>
      <c r="H184">
        <v>3</v>
      </c>
      <c r="I184" t="s">
        <v>1324</v>
      </c>
      <c r="J184" t="s">
        <v>1325</v>
      </c>
      <c r="K184" t="s">
        <v>1326</v>
      </c>
      <c r="L184">
        <v>1339</v>
      </c>
      <c r="N184">
        <v>1007</v>
      </c>
      <c r="O184" t="s">
        <v>203</v>
      </c>
      <c r="P184" t="s">
        <v>203</v>
      </c>
      <c r="Q184">
        <v>1</v>
      </c>
      <c r="X184">
        <v>5.0000000000000001E-4</v>
      </c>
      <c r="Y184">
        <v>1056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6</v>
      </c>
      <c r="AG184">
        <v>5.0000000000000001E-4</v>
      </c>
      <c r="AH184">
        <v>2</v>
      </c>
      <c r="AI184">
        <v>16631512</v>
      </c>
      <c r="AJ184">
        <v>176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ROW(Source!A85)</f>
        <v>85</v>
      </c>
      <c r="B185">
        <v>16631529</v>
      </c>
      <c r="C185">
        <v>16631521</v>
      </c>
      <c r="D185">
        <v>15432356</v>
      </c>
      <c r="E185">
        <v>1</v>
      </c>
      <c r="F185">
        <v>1</v>
      </c>
      <c r="G185">
        <v>1</v>
      </c>
      <c r="H185">
        <v>1</v>
      </c>
      <c r="I185" t="s">
        <v>1319</v>
      </c>
      <c r="J185" t="s">
        <v>6</v>
      </c>
      <c r="K185" t="s">
        <v>1320</v>
      </c>
      <c r="L185">
        <v>1191</v>
      </c>
      <c r="N185">
        <v>1013</v>
      </c>
      <c r="O185" t="s">
        <v>1148</v>
      </c>
      <c r="P185" t="s">
        <v>1148</v>
      </c>
      <c r="Q185">
        <v>1</v>
      </c>
      <c r="X185">
        <v>31.41</v>
      </c>
      <c r="Y185">
        <v>0</v>
      </c>
      <c r="Z185">
        <v>0</v>
      </c>
      <c r="AA185">
        <v>0</v>
      </c>
      <c r="AB185">
        <v>8.31</v>
      </c>
      <c r="AC185">
        <v>0</v>
      </c>
      <c r="AD185">
        <v>1</v>
      </c>
      <c r="AE185">
        <v>1</v>
      </c>
      <c r="AF185" t="s">
        <v>82</v>
      </c>
      <c r="AG185">
        <v>36.121499999999997</v>
      </c>
      <c r="AH185">
        <v>2</v>
      </c>
      <c r="AI185">
        <v>16631522</v>
      </c>
      <c r="AJ185">
        <v>177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ROW(Source!A85)</f>
        <v>85</v>
      </c>
      <c r="B186">
        <v>16631530</v>
      </c>
      <c r="C186">
        <v>16631521</v>
      </c>
      <c r="D186">
        <v>15430395</v>
      </c>
      <c r="E186">
        <v>1</v>
      </c>
      <c r="F186">
        <v>1</v>
      </c>
      <c r="G186">
        <v>1</v>
      </c>
      <c r="H186">
        <v>1</v>
      </c>
      <c r="I186" t="s">
        <v>1149</v>
      </c>
      <c r="J186" t="s">
        <v>6</v>
      </c>
      <c r="K186" t="s">
        <v>1150</v>
      </c>
      <c r="L186">
        <v>1191</v>
      </c>
      <c r="N186">
        <v>1013</v>
      </c>
      <c r="O186" t="s">
        <v>1148</v>
      </c>
      <c r="P186" t="s">
        <v>1148</v>
      </c>
      <c r="Q186">
        <v>1</v>
      </c>
      <c r="X186">
        <v>0.82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2</v>
      </c>
      <c r="AF186" t="s">
        <v>81</v>
      </c>
      <c r="AG186">
        <v>1.0249999999999999</v>
      </c>
      <c r="AH186">
        <v>2</v>
      </c>
      <c r="AI186">
        <v>16631523</v>
      </c>
      <c r="AJ186">
        <v>178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ROW(Source!A85)</f>
        <v>85</v>
      </c>
      <c r="B187">
        <v>16631531</v>
      </c>
      <c r="C187">
        <v>16631521</v>
      </c>
      <c r="D187">
        <v>15247974</v>
      </c>
      <c r="E187">
        <v>1</v>
      </c>
      <c r="F187">
        <v>1</v>
      </c>
      <c r="G187">
        <v>1</v>
      </c>
      <c r="H187">
        <v>2</v>
      </c>
      <c r="I187" t="s">
        <v>1151</v>
      </c>
      <c r="J187" t="s">
        <v>1152</v>
      </c>
      <c r="K187" t="s">
        <v>1153</v>
      </c>
      <c r="L187">
        <v>1368</v>
      </c>
      <c r="N187">
        <v>1011</v>
      </c>
      <c r="O187" t="s">
        <v>1154</v>
      </c>
      <c r="P187" t="s">
        <v>1154</v>
      </c>
      <c r="Q187">
        <v>1</v>
      </c>
      <c r="X187">
        <v>0.34</v>
      </c>
      <c r="Y187">
        <v>0</v>
      </c>
      <c r="Z187">
        <v>31.26</v>
      </c>
      <c r="AA187">
        <v>13.5</v>
      </c>
      <c r="AB187">
        <v>0</v>
      </c>
      <c r="AC187">
        <v>0</v>
      </c>
      <c r="AD187">
        <v>1</v>
      </c>
      <c r="AE187">
        <v>0</v>
      </c>
      <c r="AF187" t="s">
        <v>81</v>
      </c>
      <c r="AG187">
        <v>0.42500000000000004</v>
      </c>
      <c r="AH187">
        <v>2</v>
      </c>
      <c r="AI187">
        <v>16631524</v>
      </c>
      <c r="AJ187">
        <v>179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ROW(Source!A85)</f>
        <v>85</v>
      </c>
      <c r="B188">
        <v>16631532</v>
      </c>
      <c r="C188">
        <v>16631521</v>
      </c>
      <c r="D188">
        <v>15249073</v>
      </c>
      <c r="E188">
        <v>1</v>
      </c>
      <c r="F188">
        <v>1</v>
      </c>
      <c r="G188">
        <v>1</v>
      </c>
      <c r="H188">
        <v>2</v>
      </c>
      <c r="I188" t="s">
        <v>1157</v>
      </c>
      <c r="J188" t="s">
        <v>1158</v>
      </c>
      <c r="K188" t="s">
        <v>1159</v>
      </c>
      <c r="L188">
        <v>1368</v>
      </c>
      <c r="N188">
        <v>1011</v>
      </c>
      <c r="O188" t="s">
        <v>1154</v>
      </c>
      <c r="P188" t="s">
        <v>1154</v>
      </c>
      <c r="Q188">
        <v>1</v>
      </c>
      <c r="X188">
        <v>0.48</v>
      </c>
      <c r="Y188">
        <v>0</v>
      </c>
      <c r="Z188">
        <v>65.709999999999994</v>
      </c>
      <c r="AA188">
        <v>11.6</v>
      </c>
      <c r="AB188">
        <v>0</v>
      </c>
      <c r="AC188">
        <v>0</v>
      </c>
      <c r="AD188">
        <v>1</v>
      </c>
      <c r="AE188">
        <v>0</v>
      </c>
      <c r="AF188" t="s">
        <v>81</v>
      </c>
      <c r="AG188">
        <v>0.6</v>
      </c>
      <c r="AH188">
        <v>2</v>
      </c>
      <c r="AI188">
        <v>16631525</v>
      </c>
      <c r="AJ188">
        <v>180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ROW(Source!A85)</f>
        <v>85</v>
      </c>
      <c r="B189">
        <v>16631533</v>
      </c>
      <c r="C189">
        <v>16631521</v>
      </c>
      <c r="D189">
        <v>15250178</v>
      </c>
      <c r="E189">
        <v>1</v>
      </c>
      <c r="F189">
        <v>1</v>
      </c>
      <c r="G189">
        <v>1</v>
      </c>
      <c r="H189">
        <v>2</v>
      </c>
      <c r="I189" t="s">
        <v>1327</v>
      </c>
      <c r="J189" t="s">
        <v>1328</v>
      </c>
      <c r="K189" t="s">
        <v>1329</v>
      </c>
      <c r="L189">
        <v>1368</v>
      </c>
      <c r="N189">
        <v>1011</v>
      </c>
      <c r="O189" t="s">
        <v>1154</v>
      </c>
      <c r="P189" t="s">
        <v>1154</v>
      </c>
      <c r="Q189">
        <v>1</v>
      </c>
      <c r="X189">
        <v>5.3</v>
      </c>
      <c r="Y189">
        <v>0</v>
      </c>
      <c r="Z189">
        <v>3.4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81</v>
      </c>
      <c r="AG189">
        <v>6.625</v>
      </c>
      <c r="AH189">
        <v>2</v>
      </c>
      <c r="AI189">
        <v>16631526</v>
      </c>
      <c r="AJ189">
        <v>181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ROW(Source!A85)</f>
        <v>85</v>
      </c>
      <c r="B190">
        <v>16631534</v>
      </c>
      <c r="C190">
        <v>16631521</v>
      </c>
      <c r="D190">
        <v>15162736</v>
      </c>
      <c r="E190">
        <v>17</v>
      </c>
      <c r="F190">
        <v>1</v>
      </c>
      <c r="G190">
        <v>1</v>
      </c>
      <c r="H190">
        <v>3</v>
      </c>
      <c r="I190" t="s">
        <v>1699</v>
      </c>
      <c r="J190" t="s">
        <v>6</v>
      </c>
      <c r="K190" t="s">
        <v>1700</v>
      </c>
      <c r="L190">
        <v>1327</v>
      </c>
      <c r="N190">
        <v>1005</v>
      </c>
      <c r="O190" t="s">
        <v>87</v>
      </c>
      <c r="P190" t="s">
        <v>87</v>
      </c>
      <c r="Q190">
        <v>1</v>
      </c>
      <c r="X190">
        <v>102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 t="s">
        <v>6</v>
      </c>
      <c r="AG190">
        <v>102</v>
      </c>
      <c r="AH190">
        <v>3</v>
      </c>
      <c r="AI190">
        <v>-1</v>
      </c>
      <c r="AJ190" t="s">
        <v>6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ROW(Source!A85)</f>
        <v>85</v>
      </c>
      <c r="B191">
        <v>16631535</v>
      </c>
      <c r="C191">
        <v>16631521</v>
      </c>
      <c r="D191">
        <v>15162739</v>
      </c>
      <c r="E191">
        <v>17</v>
      </c>
      <c r="F191">
        <v>1</v>
      </c>
      <c r="G191">
        <v>1</v>
      </c>
      <c r="H191">
        <v>3</v>
      </c>
      <c r="I191" t="s">
        <v>1701</v>
      </c>
      <c r="J191" t="s">
        <v>6</v>
      </c>
      <c r="K191" t="s">
        <v>1702</v>
      </c>
      <c r="L191">
        <v>1308</v>
      </c>
      <c r="N191">
        <v>1003</v>
      </c>
      <c r="O191" t="s">
        <v>57</v>
      </c>
      <c r="P191" t="s">
        <v>57</v>
      </c>
      <c r="Q191">
        <v>100</v>
      </c>
      <c r="X191">
        <v>0.68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 t="s">
        <v>6</v>
      </c>
      <c r="AG191">
        <v>0.68</v>
      </c>
      <c r="AH191">
        <v>3</v>
      </c>
      <c r="AI191">
        <v>-1</v>
      </c>
      <c r="AJ191" t="s">
        <v>6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ROW(Source!A88)</f>
        <v>88</v>
      </c>
      <c r="B192">
        <v>16631548</v>
      </c>
      <c r="C192">
        <v>16631538</v>
      </c>
      <c r="D192">
        <v>15436014</v>
      </c>
      <c r="E192">
        <v>1</v>
      </c>
      <c r="F192">
        <v>1</v>
      </c>
      <c r="G192">
        <v>1</v>
      </c>
      <c r="H192">
        <v>1</v>
      </c>
      <c r="I192" t="s">
        <v>1181</v>
      </c>
      <c r="J192" t="s">
        <v>6</v>
      </c>
      <c r="K192" t="s">
        <v>1182</v>
      </c>
      <c r="L192">
        <v>1191</v>
      </c>
      <c r="N192">
        <v>1013</v>
      </c>
      <c r="O192" t="s">
        <v>1148</v>
      </c>
      <c r="P192" t="s">
        <v>1148</v>
      </c>
      <c r="Q192">
        <v>1</v>
      </c>
      <c r="X192">
        <v>119.78</v>
      </c>
      <c r="Y192">
        <v>0</v>
      </c>
      <c r="Z192">
        <v>0</v>
      </c>
      <c r="AA192">
        <v>0</v>
      </c>
      <c r="AB192">
        <v>8.74</v>
      </c>
      <c r="AC192">
        <v>0</v>
      </c>
      <c r="AD192">
        <v>1</v>
      </c>
      <c r="AE192">
        <v>1</v>
      </c>
      <c r="AF192" t="s">
        <v>82</v>
      </c>
      <c r="AG192">
        <v>137.74699999999999</v>
      </c>
      <c r="AH192">
        <v>2</v>
      </c>
      <c r="AI192">
        <v>16631539</v>
      </c>
      <c r="AJ192">
        <v>184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ROW(Source!A88)</f>
        <v>88</v>
      </c>
      <c r="B193">
        <v>16631549</v>
      </c>
      <c r="C193">
        <v>16631538</v>
      </c>
      <c r="D193">
        <v>15430395</v>
      </c>
      <c r="E193">
        <v>1</v>
      </c>
      <c r="F193">
        <v>1</v>
      </c>
      <c r="G193">
        <v>1</v>
      </c>
      <c r="H193">
        <v>1</v>
      </c>
      <c r="I193" t="s">
        <v>1149</v>
      </c>
      <c r="J193" t="s">
        <v>6</v>
      </c>
      <c r="K193" t="s">
        <v>1150</v>
      </c>
      <c r="L193">
        <v>1191</v>
      </c>
      <c r="N193">
        <v>1013</v>
      </c>
      <c r="O193" t="s">
        <v>1148</v>
      </c>
      <c r="P193" t="s">
        <v>1148</v>
      </c>
      <c r="Q193">
        <v>1</v>
      </c>
      <c r="X193">
        <v>2.94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2</v>
      </c>
      <c r="AF193" t="s">
        <v>81</v>
      </c>
      <c r="AG193">
        <v>3.6749999999999998</v>
      </c>
      <c r="AH193">
        <v>2</v>
      </c>
      <c r="AI193">
        <v>16631540</v>
      </c>
      <c r="AJ193">
        <v>185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ROW(Source!A88)</f>
        <v>88</v>
      </c>
      <c r="B194">
        <v>16631550</v>
      </c>
      <c r="C194">
        <v>16631538</v>
      </c>
      <c r="D194">
        <v>15247905</v>
      </c>
      <c r="E194">
        <v>1</v>
      </c>
      <c r="F194">
        <v>1</v>
      </c>
      <c r="G194">
        <v>1</v>
      </c>
      <c r="H194">
        <v>2</v>
      </c>
      <c r="I194" t="s">
        <v>1330</v>
      </c>
      <c r="J194" t="s">
        <v>1331</v>
      </c>
      <c r="K194" t="s">
        <v>1332</v>
      </c>
      <c r="L194">
        <v>1368</v>
      </c>
      <c r="N194">
        <v>1011</v>
      </c>
      <c r="O194" t="s">
        <v>1154</v>
      </c>
      <c r="P194" t="s">
        <v>1154</v>
      </c>
      <c r="Q194">
        <v>1</v>
      </c>
      <c r="X194">
        <v>0.36</v>
      </c>
      <c r="Y194">
        <v>0</v>
      </c>
      <c r="Z194">
        <v>89.99</v>
      </c>
      <c r="AA194">
        <v>10.06</v>
      </c>
      <c r="AB194">
        <v>0</v>
      </c>
      <c r="AC194">
        <v>0</v>
      </c>
      <c r="AD194">
        <v>1</v>
      </c>
      <c r="AE194">
        <v>0</v>
      </c>
      <c r="AF194" t="s">
        <v>81</v>
      </c>
      <c r="AG194">
        <v>0.44999999999999996</v>
      </c>
      <c r="AH194">
        <v>2</v>
      </c>
      <c r="AI194">
        <v>16631541</v>
      </c>
      <c r="AJ194">
        <v>186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ROW(Source!A88)</f>
        <v>88</v>
      </c>
      <c r="B195">
        <v>16631551</v>
      </c>
      <c r="C195">
        <v>16631538</v>
      </c>
      <c r="D195">
        <v>15247974</v>
      </c>
      <c r="E195">
        <v>1</v>
      </c>
      <c r="F195">
        <v>1</v>
      </c>
      <c r="G195">
        <v>1</v>
      </c>
      <c r="H195">
        <v>2</v>
      </c>
      <c r="I195" t="s">
        <v>1151</v>
      </c>
      <c r="J195" t="s">
        <v>1152</v>
      </c>
      <c r="K195" t="s">
        <v>1153</v>
      </c>
      <c r="L195">
        <v>1368</v>
      </c>
      <c r="N195">
        <v>1011</v>
      </c>
      <c r="O195" t="s">
        <v>1154</v>
      </c>
      <c r="P195" t="s">
        <v>1154</v>
      </c>
      <c r="Q195">
        <v>1</v>
      </c>
      <c r="X195">
        <v>2.2999999999999998</v>
      </c>
      <c r="Y195">
        <v>0</v>
      </c>
      <c r="Z195">
        <v>31.26</v>
      </c>
      <c r="AA195">
        <v>13.5</v>
      </c>
      <c r="AB195">
        <v>0</v>
      </c>
      <c r="AC195">
        <v>0</v>
      </c>
      <c r="AD195">
        <v>1</v>
      </c>
      <c r="AE195">
        <v>0</v>
      </c>
      <c r="AF195" t="s">
        <v>81</v>
      </c>
      <c r="AG195">
        <v>2.875</v>
      </c>
      <c r="AH195">
        <v>2</v>
      </c>
      <c r="AI195">
        <v>16631542</v>
      </c>
      <c r="AJ195">
        <v>187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ROW(Source!A88)</f>
        <v>88</v>
      </c>
      <c r="B196">
        <v>16631552</v>
      </c>
      <c r="C196">
        <v>16631538</v>
      </c>
      <c r="D196">
        <v>15249073</v>
      </c>
      <c r="E196">
        <v>1</v>
      </c>
      <c r="F196">
        <v>1</v>
      </c>
      <c r="G196">
        <v>1</v>
      </c>
      <c r="H196">
        <v>2</v>
      </c>
      <c r="I196" t="s">
        <v>1157</v>
      </c>
      <c r="J196" t="s">
        <v>1158</v>
      </c>
      <c r="K196" t="s">
        <v>1159</v>
      </c>
      <c r="L196">
        <v>1368</v>
      </c>
      <c r="N196">
        <v>1011</v>
      </c>
      <c r="O196" t="s">
        <v>1154</v>
      </c>
      <c r="P196" t="s">
        <v>1154</v>
      </c>
      <c r="Q196">
        <v>1</v>
      </c>
      <c r="X196">
        <v>0.28000000000000003</v>
      </c>
      <c r="Y196">
        <v>0</v>
      </c>
      <c r="Z196">
        <v>65.709999999999994</v>
      </c>
      <c r="AA196">
        <v>11.6</v>
      </c>
      <c r="AB196">
        <v>0</v>
      </c>
      <c r="AC196">
        <v>0</v>
      </c>
      <c r="AD196">
        <v>1</v>
      </c>
      <c r="AE196">
        <v>0</v>
      </c>
      <c r="AF196" t="s">
        <v>81</v>
      </c>
      <c r="AG196">
        <v>0.35000000000000003</v>
      </c>
      <c r="AH196">
        <v>2</v>
      </c>
      <c r="AI196">
        <v>16631543</v>
      </c>
      <c r="AJ196">
        <v>188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ROW(Source!A88)</f>
        <v>88</v>
      </c>
      <c r="B197">
        <v>16631553</v>
      </c>
      <c r="C197">
        <v>16631538</v>
      </c>
      <c r="D197">
        <v>15167286</v>
      </c>
      <c r="E197">
        <v>1</v>
      </c>
      <c r="F197">
        <v>1</v>
      </c>
      <c r="G197">
        <v>1</v>
      </c>
      <c r="H197">
        <v>3</v>
      </c>
      <c r="I197" t="s">
        <v>1265</v>
      </c>
      <c r="J197" t="s">
        <v>1266</v>
      </c>
      <c r="K197" t="s">
        <v>1267</v>
      </c>
      <c r="L197">
        <v>1339</v>
      </c>
      <c r="N197">
        <v>1007</v>
      </c>
      <c r="O197" t="s">
        <v>203</v>
      </c>
      <c r="P197" t="s">
        <v>203</v>
      </c>
      <c r="Q197">
        <v>1</v>
      </c>
      <c r="X197">
        <v>3.85</v>
      </c>
      <c r="Y197">
        <v>2.44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6</v>
      </c>
      <c r="AG197">
        <v>3.85</v>
      </c>
      <c r="AH197">
        <v>2</v>
      </c>
      <c r="AI197">
        <v>16631544</v>
      </c>
      <c r="AJ197">
        <v>189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ROW(Source!A88)</f>
        <v>88</v>
      </c>
      <c r="B198">
        <v>16631554</v>
      </c>
      <c r="C198">
        <v>16631538</v>
      </c>
      <c r="D198">
        <v>15167962</v>
      </c>
      <c r="E198">
        <v>1</v>
      </c>
      <c r="F198">
        <v>1</v>
      </c>
      <c r="G198">
        <v>1</v>
      </c>
      <c r="H198">
        <v>3</v>
      </c>
      <c r="I198" t="s">
        <v>1333</v>
      </c>
      <c r="J198" t="s">
        <v>1334</v>
      </c>
      <c r="K198" t="s">
        <v>1335</v>
      </c>
      <c r="L198">
        <v>1339</v>
      </c>
      <c r="N198">
        <v>1007</v>
      </c>
      <c r="O198" t="s">
        <v>203</v>
      </c>
      <c r="P198" t="s">
        <v>203</v>
      </c>
      <c r="Q198">
        <v>1</v>
      </c>
      <c r="X198">
        <v>3.06</v>
      </c>
      <c r="Y198">
        <v>34.92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6</v>
      </c>
      <c r="AG198">
        <v>3.06</v>
      </c>
      <c r="AH198">
        <v>2</v>
      </c>
      <c r="AI198">
        <v>16631545</v>
      </c>
      <c r="AJ198">
        <v>190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ROW(Source!A88)</f>
        <v>88</v>
      </c>
      <c r="B199">
        <v>16631555</v>
      </c>
      <c r="C199">
        <v>16631538</v>
      </c>
      <c r="D199">
        <v>15161703</v>
      </c>
      <c r="E199">
        <v>17</v>
      </c>
      <c r="F199">
        <v>1</v>
      </c>
      <c r="G199">
        <v>1</v>
      </c>
      <c r="H199">
        <v>3</v>
      </c>
      <c r="I199" t="s">
        <v>397</v>
      </c>
      <c r="J199" t="s">
        <v>6</v>
      </c>
      <c r="K199" t="s">
        <v>202</v>
      </c>
      <c r="L199">
        <v>1339</v>
      </c>
      <c r="N199">
        <v>1007</v>
      </c>
      <c r="O199" t="s">
        <v>203</v>
      </c>
      <c r="P199" t="s">
        <v>203</v>
      </c>
      <c r="Q199">
        <v>1</v>
      </c>
      <c r="X199">
        <v>1.3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 t="s">
        <v>6</v>
      </c>
      <c r="AG199">
        <v>1.3</v>
      </c>
      <c r="AH199">
        <v>3</v>
      </c>
      <c r="AI199">
        <v>-1</v>
      </c>
      <c r="AJ199" t="s">
        <v>6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ROW(Source!A88)</f>
        <v>88</v>
      </c>
      <c r="B200">
        <v>16631556</v>
      </c>
      <c r="C200">
        <v>16631538</v>
      </c>
      <c r="D200">
        <v>15187044</v>
      </c>
      <c r="E200">
        <v>1</v>
      </c>
      <c r="F200">
        <v>1</v>
      </c>
      <c r="G200">
        <v>1</v>
      </c>
      <c r="H200">
        <v>3</v>
      </c>
      <c r="I200" t="s">
        <v>1336</v>
      </c>
      <c r="J200" t="s">
        <v>1337</v>
      </c>
      <c r="K200" t="s">
        <v>1338</v>
      </c>
      <c r="L200">
        <v>1327</v>
      </c>
      <c r="N200">
        <v>1005</v>
      </c>
      <c r="O200" t="s">
        <v>87</v>
      </c>
      <c r="P200" t="s">
        <v>87</v>
      </c>
      <c r="Q200">
        <v>1</v>
      </c>
      <c r="X200">
        <v>102</v>
      </c>
      <c r="Y200">
        <v>67.8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6</v>
      </c>
      <c r="AG200">
        <v>102</v>
      </c>
      <c r="AH200">
        <v>2</v>
      </c>
      <c r="AI200">
        <v>16631546</v>
      </c>
      <c r="AJ200">
        <v>191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ROW(Source!A90)</f>
        <v>90</v>
      </c>
      <c r="B201">
        <v>16631569</v>
      </c>
      <c r="C201">
        <v>16631558</v>
      </c>
      <c r="D201">
        <v>15436014</v>
      </c>
      <c r="E201">
        <v>1</v>
      </c>
      <c r="F201">
        <v>1</v>
      </c>
      <c r="G201">
        <v>1</v>
      </c>
      <c r="H201">
        <v>1</v>
      </c>
      <c r="I201" t="s">
        <v>1181</v>
      </c>
      <c r="J201" t="s">
        <v>6</v>
      </c>
      <c r="K201" t="s">
        <v>1182</v>
      </c>
      <c r="L201">
        <v>1191</v>
      </c>
      <c r="N201">
        <v>1013</v>
      </c>
      <c r="O201" t="s">
        <v>1148</v>
      </c>
      <c r="P201" t="s">
        <v>1148</v>
      </c>
      <c r="Q201">
        <v>1</v>
      </c>
      <c r="X201">
        <v>310.42</v>
      </c>
      <c r="Y201">
        <v>0</v>
      </c>
      <c r="Z201">
        <v>0</v>
      </c>
      <c r="AA201">
        <v>0</v>
      </c>
      <c r="AB201">
        <v>8.74</v>
      </c>
      <c r="AC201">
        <v>0</v>
      </c>
      <c r="AD201">
        <v>1</v>
      </c>
      <c r="AE201">
        <v>1</v>
      </c>
      <c r="AF201" t="s">
        <v>82</v>
      </c>
      <c r="AG201">
        <v>356.983</v>
      </c>
      <c r="AH201">
        <v>2</v>
      </c>
      <c r="AI201">
        <v>16631559</v>
      </c>
      <c r="AJ201">
        <v>193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ROW(Source!A90)</f>
        <v>90</v>
      </c>
      <c r="B202">
        <v>16631570</v>
      </c>
      <c r="C202">
        <v>16631558</v>
      </c>
      <c r="D202">
        <v>15430395</v>
      </c>
      <c r="E202">
        <v>1</v>
      </c>
      <c r="F202">
        <v>1</v>
      </c>
      <c r="G202">
        <v>1</v>
      </c>
      <c r="H202">
        <v>1</v>
      </c>
      <c r="I202" t="s">
        <v>1149</v>
      </c>
      <c r="J202" t="s">
        <v>6</v>
      </c>
      <c r="K202" t="s">
        <v>1150</v>
      </c>
      <c r="L202">
        <v>1191</v>
      </c>
      <c r="N202">
        <v>1013</v>
      </c>
      <c r="O202" t="s">
        <v>1148</v>
      </c>
      <c r="P202" t="s">
        <v>1148</v>
      </c>
      <c r="Q202">
        <v>1</v>
      </c>
      <c r="X202">
        <v>1.73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2</v>
      </c>
      <c r="AF202" t="s">
        <v>81</v>
      </c>
      <c r="AG202">
        <v>2.1625000000000001</v>
      </c>
      <c r="AH202">
        <v>2</v>
      </c>
      <c r="AI202">
        <v>16631560</v>
      </c>
      <c r="AJ202">
        <v>194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ROW(Source!A90)</f>
        <v>90</v>
      </c>
      <c r="B203">
        <v>16631571</v>
      </c>
      <c r="C203">
        <v>16631558</v>
      </c>
      <c r="D203">
        <v>15247576</v>
      </c>
      <c r="E203">
        <v>1</v>
      </c>
      <c r="F203">
        <v>1</v>
      </c>
      <c r="G203">
        <v>1</v>
      </c>
      <c r="H203">
        <v>2</v>
      </c>
      <c r="I203" t="s">
        <v>1339</v>
      </c>
      <c r="J203" t="s">
        <v>1340</v>
      </c>
      <c r="K203" t="s">
        <v>1341</v>
      </c>
      <c r="L203">
        <v>1368</v>
      </c>
      <c r="N203">
        <v>1011</v>
      </c>
      <c r="O203" t="s">
        <v>1154</v>
      </c>
      <c r="P203" t="s">
        <v>1154</v>
      </c>
      <c r="Q203">
        <v>1</v>
      </c>
      <c r="X203">
        <v>0.02</v>
      </c>
      <c r="Y203">
        <v>0</v>
      </c>
      <c r="Z203">
        <v>83.43</v>
      </c>
      <c r="AA203">
        <v>13.5</v>
      </c>
      <c r="AB203">
        <v>0</v>
      </c>
      <c r="AC203">
        <v>0</v>
      </c>
      <c r="AD203">
        <v>1</v>
      </c>
      <c r="AE203">
        <v>0</v>
      </c>
      <c r="AF203" t="s">
        <v>81</v>
      </c>
      <c r="AG203">
        <v>2.5000000000000001E-2</v>
      </c>
      <c r="AH203">
        <v>2</v>
      </c>
      <c r="AI203">
        <v>16631561</v>
      </c>
      <c r="AJ203">
        <v>195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ROW(Source!A90)</f>
        <v>90</v>
      </c>
      <c r="B204">
        <v>16631572</v>
      </c>
      <c r="C204">
        <v>16631558</v>
      </c>
      <c r="D204">
        <v>15247678</v>
      </c>
      <c r="E204">
        <v>1</v>
      </c>
      <c r="F204">
        <v>1</v>
      </c>
      <c r="G204">
        <v>1</v>
      </c>
      <c r="H204">
        <v>2</v>
      </c>
      <c r="I204" t="s">
        <v>1342</v>
      </c>
      <c r="J204" t="s">
        <v>1343</v>
      </c>
      <c r="K204" t="s">
        <v>1344</v>
      </c>
      <c r="L204">
        <v>1368</v>
      </c>
      <c r="N204">
        <v>1011</v>
      </c>
      <c r="O204" t="s">
        <v>1154</v>
      </c>
      <c r="P204" t="s">
        <v>1154</v>
      </c>
      <c r="Q204">
        <v>1</v>
      </c>
      <c r="X204">
        <v>0.01</v>
      </c>
      <c r="Y204">
        <v>0</v>
      </c>
      <c r="Z204">
        <v>88.01</v>
      </c>
      <c r="AA204">
        <v>11.6</v>
      </c>
      <c r="AB204">
        <v>0</v>
      </c>
      <c r="AC204">
        <v>0</v>
      </c>
      <c r="AD204">
        <v>1</v>
      </c>
      <c r="AE204">
        <v>0</v>
      </c>
      <c r="AF204" t="s">
        <v>81</v>
      </c>
      <c r="AG204">
        <v>1.2500000000000001E-2</v>
      </c>
      <c r="AH204">
        <v>2</v>
      </c>
      <c r="AI204">
        <v>16631562</v>
      </c>
      <c r="AJ204">
        <v>196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ROW(Source!A90)</f>
        <v>90</v>
      </c>
      <c r="B205">
        <v>16631573</v>
      </c>
      <c r="C205">
        <v>16631558</v>
      </c>
      <c r="D205">
        <v>15248143</v>
      </c>
      <c r="E205">
        <v>1</v>
      </c>
      <c r="F205">
        <v>1</v>
      </c>
      <c r="G205">
        <v>1</v>
      </c>
      <c r="H205">
        <v>2</v>
      </c>
      <c r="I205" t="s">
        <v>1345</v>
      </c>
      <c r="J205" t="s">
        <v>1346</v>
      </c>
      <c r="K205" t="s">
        <v>1347</v>
      </c>
      <c r="L205">
        <v>1368</v>
      </c>
      <c r="N205">
        <v>1011</v>
      </c>
      <c r="O205" t="s">
        <v>1154</v>
      </c>
      <c r="P205" t="s">
        <v>1154</v>
      </c>
      <c r="Q205">
        <v>1</v>
      </c>
      <c r="X205">
        <v>1.69</v>
      </c>
      <c r="Y205">
        <v>0</v>
      </c>
      <c r="Z205">
        <v>12.39</v>
      </c>
      <c r="AA205">
        <v>10.06</v>
      </c>
      <c r="AB205">
        <v>0</v>
      </c>
      <c r="AC205">
        <v>0</v>
      </c>
      <c r="AD205">
        <v>1</v>
      </c>
      <c r="AE205">
        <v>0</v>
      </c>
      <c r="AF205" t="s">
        <v>81</v>
      </c>
      <c r="AG205">
        <v>2.1124999999999998</v>
      </c>
      <c r="AH205">
        <v>2</v>
      </c>
      <c r="AI205">
        <v>16631563</v>
      </c>
      <c r="AJ205">
        <v>197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ROW(Source!A90)</f>
        <v>90</v>
      </c>
      <c r="B206">
        <v>16631574</v>
      </c>
      <c r="C206">
        <v>16631558</v>
      </c>
      <c r="D206">
        <v>15249073</v>
      </c>
      <c r="E206">
        <v>1</v>
      </c>
      <c r="F206">
        <v>1</v>
      </c>
      <c r="G206">
        <v>1</v>
      </c>
      <c r="H206">
        <v>2</v>
      </c>
      <c r="I206" t="s">
        <v>1157</v>
      </c>
      <c r="J206" t="s">
        <v>1158</v>
      </c>
      <c r="K206" t="s">
        <v>1159</v>
      </c>
      <c r="L206">
        <v>1368</v>
      </c>
      <c r="N206">
        <v>1011</v>
      </c>
      <c r="O206" t="s">
        <v>1154</v>
      </c>
      <c r="P206" t="s">
        <v>1154</v>
      </c>
      <c r="Q206">
        <v>1</v>
      </c>
      <c r="X206">
        <v>0.01</v>
      </c>
      <c r="Y206">
        <v>0</v>
      </c>
      <c r="Z206">
        <v>65.709999999999994</v>
      </c>
      <c r="AA206">
        <v>11.6</v>
      </c>
      <c r="AB206">
        <v>0</v>
      </c>
      <c r="AC206">
        <v>0</v>
      </c>
      <c r="AD206">
        <v>1</v>
      </c>
      <c r="AE206">
        <v>0</v>
      </c>
      <c r="AF206" t="s">
        <v>81</v>
      </c>
      <c r="AG206">
        <v>1.2500000000000001E-2</v>
      </c>
      <c r="AH206">
        <v>2</v>
      </c>
      <c r="AI206">
        <v>16631564</v>
      </c>
      <c r="AJ206">
        <v>198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ROW(Source!A90)</f>
        <v>90</v>
      </c>
      <c r="B207">
        <v>16631575</v>
      </c>
      <c r="C207">
        <v>16631558</v>
      </c>
      <c r="D207">
        <v>15167286</v>
      </c>
      <c r="E207">
        <v>1</v>
      </c>
      <c r="F207">
        <v>1</v>
      </c>
      <c r="G207">
        <v>1</v>
      </c>
      <c r="H207">
        <v>3</v>
      </c>
      <c r="I207" t="s">
        <v>1265</v>
      </c>
      <c r="J207" t="s">
        <v>1266</v>
      </c>
      <c r="K207" t="s">
        <v>1267</v>
      </c>
      <c r="L207">
        <v>1339</v>
      </c>
      <c r="N207">
        <v>1007</v>
      </c>
      <c r="O207" t="s">
        <v>203</v>
      </c>
      <c r="P207" t="s">
        <v>203</v>
      </c>
      <c r="Q207">
        <v>1</v>
      </c>
      <c r="X207">
        <v>0.44</v>
      </c>
      <c r="Y207">
        <v>2.44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6</v>
      </c>
      <c r="AG207">
        <v>0.44</v>
      </c>
      <c r="AH207">
        <v>2</v>
      </c>
      <c r="AI207">
        <v>16631565</v>
      </c>
      <c r="AJ207">
        <v>199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ROW(Source!A90)</f>
        <v>90</v>
      </c>
      <c r="B208">
        <v>16631576</v>
      </c>
      <c r="C208">
        <v>16631558</v>
      </c>
      <c r="D208">
        <v>15173044</v>
      </c>
      <c r="E208">
        <v>1</v>
      </c>
      <c r="F208">
        <v>1</v>
      </c>
      <c r="G208">
        <v>1</v>
      </c>
      <c r="H208">
        <v>3</v>
      </c>
      <c r="I208" t="s">
        <v>1348</v>
      </c>
      <c r="J208" t="s">
        <v>1349</v>
      </c>
      <c r="K208" t="s">
        <v>1350</v>
      </c>
      <c r="L208">
        <v>1348</v>
      </c>
      <c r="N208">
        <v>1009</v>
      </c>
      <c r="O208" t="s">
        <v>98</v>
      </c>
      <c r="P208" t="s">
        <v>98</v>
      </c>
      <c r="Q208">
        <v>1000</v>
      </c>
      <c r="X208">
        <v>1.2999999999999999E-2</v>
      </c>
      <c r="Y208">
        <v>6513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6</v>
      </c>
      <c r="AG208">
        <v>1.2999999999999999E-2</v>
      </c>
      <c r="AH208">
        <v>2</v>
      </c>
      <c r="AI208">
        <v>16631566</v>
      </c>
      <c r="AJ208">
        <v>200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ROW(Source!A90)</f>
        <v>90</v>
      </c>
      <c r="B209">
        <v>16631577</v>
      </c>
      <c r="C209">
        <v>16631558</v>
      </c>
      <c r="D209">
        <v>15187102</v>
      </c>
      <c r="E209">
        <v>1</v>
      </c>
      <c r="F209">
        <v>1</v>
      </c>
      <c r="G209">
        <v>1</v>
      </c>
      <c r="H209">
        <v>3</v>
      </c>
      <c r="I209" t="s">
        <v>1351</v>
      </c>
      <c r="J209" t="s">
        <v>1352</v>
      </c>
      <c r="K209" t="s">
        <v>1353</v>
      </c>
      <c r="L209">
        <v>1327</v>
      </c>
      <c r="N209">
        <v>1005</v>
      </c>
      <c r="O209" t="s">
        <v>87</v>
      </c>
      <c r="P209" t="s">
        <v>87</v>
      </c>
      <c r="Q209">
        <v>1</v>
      </c>
      <c r="X209">
        <v>102</v>
      </c>
      <c r="Y209">
        <v>140.44999999999999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6</v>
      </c>
      <c r="AG209">
        <v>102</v>
      </c>
      <c r="AH209">
        <v>2</v>
      </c>
      <c r="AI209">
        <v>16631567</v>
      </c>
      <c r="AJ209">
        <v>201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ROW(Source!A90)</f>
        <v>90</v>
      </c>
      <c r="B210">
        <v>16631578</v>
      </c>
      <c r="C210">
        <v>16631558</v>
      </c>
      <c r="D210">
        <v>15162768</v>
      </c>
      <c r="E210">
        <v>17</v>
      </c>
      <c r="F210">
        <v>1</v>
      </c>
      <c r="G210">
        <v>1</v>
      </c>
      <c r="H210">
        <v>3</v>
      </c>
      <c r="I210" t="s">
        <v>1703</v>
      </c>
      <c r="J210" t="s">
        <v>6</v>
      </c>
      <c r="K210" t="s">
        <v>1704</v>
      </c>
      <c r="L210">
        <v>1339</v>
      </c>
      <c r="N210">
        <v>1007</v>
      </c>
      <c r="O210" t="s">
        <v>203</v>
      </c>
      <c r="P210" t="s">
        <v>203</v>
      </c>
      <c r="Q210">
        <v>1</v>
      </c>
      <c r="X210">
        <v>0.01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 t="s">
        <v>6</v>
      </c>
      <c r="AG210">
        <v>0.01</v>
      </c>
      <c r="AH210">
        <v>3</v>
      </c>
      <c r="AI210">
        <v>-1</v>
      </c>
      <c r="AJ210" t="s">
        <v>6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ROW(Source!A90)</f>
        <v>90</v>
      </c>
      <c r="B211">
        <v>16631579</v>
      </c>
      <c r="C211">
        <v>16631558</v>
      </c>
      <c r="D211">
        <v>15202597</v>
      </c>
      <c r="E211">
        <v>1</v>
      </c>
      <c r="F211">
        <v>1</v>
      </c>
      <c r="G211">
        <v>1</v>
      </c>
      <c r="H211">
        <v>3</v>
      </c>
      <c r="I211" t="s">
        <v>297</v>
      </c>
      <c r="J211" t="s">
        <v>299</v>
      </c>
      <c r="K211" t="s">
        <v>298</v>
      </c>
      <c r="L211">
        <v>1346</v>
      </c>
      <c r="N211">
        <v>1009</v>
      </c>
      <c r="O211" t="s">
        <v>102</v>
      </c>
      <c r="P211" t="s">
        <v>102</v>
      </c>
      <c r="Q211">
        <v>1</v>
      </c>
      <c r="X211">
        <v>1200</v>
      </c>
      <c r="Y211">
        <v>3.69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6</v>
      </c>
      <c r="AG211">
        <v>1200</v>
      </c>
      <c r="AH211">
        <v>2</v>
      </c>
      <c r="AI211">
        <v>16631568</v>
      </c>
      <c r="AJ211">
        <v>202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ROW(Source!A90)</f>
        <v>90</v>
      </c>
      <c r="B212">
        <v>16631580</v>
      </c>
      <c r="C212">
        <v>16631558</v>
      </c>
      <c r="D212">
        <v>15162572</v>
      </c>
      <c r="E212">
        <v>17</v>
      </c>
      <c r="F212">
        <v>1</v>
      </c>
      <c r="G212">
        <v>1</v>
      </c>
      <c r="H212">
        <v>3</v>
      </c>
      <c r="I212" t="s">
        <v>317</v>
      </c>
      <c r="J212" t="s">
        <v>6</v>
      </c>
      <c r="K212" t="s">
        <v>318</v>
      </c>
      <c r="L212">
        <v>1348</v>
      </c>
      <c r="N212">
        <v>1009</v>
      </c>
      <c r="O212" t="s">
        <v>98</v>
      </c>
      <c r="P212" t="s">
        <v>98</v>
      </c>
      <c r="Q212">
        <v>1000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1</v>
      </c>
      <c r="AD212">
        <v>0</v>
      </c>
      <c r="AE212">
        <v>0</v>
      </c>
      <c r="AF212" t="s">
        <v>6</v>
      </c>
      <c r="AG212">
        <v>0</v>
      </c>
      <c r="AH212">
        <v>3</v>
      </c>
      <c r="AI212">
        <v>-1</v>
      </c>
      <c r="AJ212" t="s">
        <v>6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ROW(Source!A91)</f>
        <v>91</v>
      </c>
      <c r="B213">
        <v>16631589</v>
      </c>
      <c r="C213">
        <v>16631581</v>
      </c>
      <c r="D213">
        <v>15430767</v>
      </c>
      <c r="E213">
        <v>1</v>
      </c>
      <c r="F213">
        <v>1</v>
      </c>
      <c r="G213">
        <v>1</v>
      </c>
      <c r="H213">
        <v>1</v>
      </c>
      <c r="I213" t="s">
        <v>1171</v>
      </c>
      <c r="J213" t="s">
        <v>6</v>
      </c>
      <c r="K213" t="s">
        <v>1172</v>
      </c>
      <c r="L213">
        <v>1191</v>
      </c>
      <c r="N213">
        <v>1013</v>
      </c>
      <c r="O213" t="s">
        <v>1148</v>
      </c>
      <c r="P213" t="s">
        <v>1148</v>
      </c>
      <c r="Q213">
        <v>1</v>
      </c>
      <c r="X213">
        <v>32.49</v>
      </c>
      <c r="Y213">
        <v>0</v>
      </c>
      <c r="Z213">
        <v>0</v>
      </c>
      <c r="AA213">
        <v>0</v>
      </c>
      <c r="AB213">
        <v>8.5299999999999994</v>
      </c>
      <c r="AC213">
        <v>0</v>
      </c>
      <c r="AD213">
        <v>1</v>
      </c>
      <c r="AE213">
        <v>1</v>
      </c>
      <c r="AF213" t="s">
        <v>82</v>
      </c>
      <c r="AG213">
        <v>37.363500000000002</v>
      </c>
      <c r="AH213">
        <v>2</v>
      </c>
      <c r="AI213">
        <v>16631582</v>
      </c>
      <c r="AJ213">
        <v>203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ROW(Source!A91)</f>
        <v>91</v>
      </c>
      <c r="B214">
        <v>16631590</v>
      </c>
      <c r="C214">
        <v>16631581</v>
      </c>
      <c r="D214">
        <v>15430395</v>
      </c>
      <c r="E214">
        <v>1</v>
      </c>
      <c r="F214">
        <v>1</v>
      </c>
      <c r="G214">
        <v>1</v>
      </c>
      <c r="H214">
        <v>1</v>
      </c>
      <c r="I214" t="s">
        <v>1149</v>
      </c>
      <c r="J214" t="s">
        <v>6</v>
      </c>
      <c r="K214" t="s">
        <v>1150</v>
      </c>
      <c r="L214">
        <v>1191</v>
      </c>
      <c r="N214">
        <v>1013</v>
      </c>
      <c r="O214" t="s">
        <v>1148</v>
      </c>
      <c r="P214" t="s">
        <v>1148</v>
      </c>
      <c r="Q214">
        <v>1</v>
      </c>
      <c r="X214">
        <v>0.93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2</v>
      </c>
      <c r="AF214" t="s">
        <v>81</v>
      </c>
      <c r="AG214">
        <v>1.1625000000000001</v>
      </c>
      <c r="AH214">
        <v>2</v>
      </c>
      <c r="AI214">
        <v>16631583</v>
      </c>
      <c r="AJ214">
        <v>204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ROW(Source!A91)</f>
        <v>91</v>
      </c>
      <c r="B215">
        <v>16631591</v>
      </c>
      <c r="C215">
        <v>16631581</v>
      </c>
      <c r="D215">
        <v>15247905</v>
      </c>
      <c r="E215">
        <v>1</v>
      </c>
      <c r="F215">
        <v>1</v>
      </c>
      <c r="G215">
        <v>1</v>
      </c>
      <c r="H215">
        <v>2</v>
      </c>
      <c r="I215" t="s">
        <v>1330</v>
      </c>
      <c r="J215" t="s">
        <v>1331</v>
      </c>
      <c r="K215" t="s">
        <v>1332</v>
      </c>
      <c r="L215">
        <v>1368</v>
      </c>
      <c r="N215">
        <v>1011</v>
      </c>
      <c r="O215" t="s">
        <v>1154</v>
      </c>
      <c r="P215" t="s">
        <v>1154</v>
      </c>
      <c r="Q215">
        <v>1</v>
      </c>
      <c r="X215">
        <v>0.02</v>
      </c>
      <c r="Y215">
        <v>0</v>
      </c>
      <c r="Z215">
        <v>89.99</v>
      </c>
      <c r="AA215">
        <v>10.06</v>
      </c>
      <c r="AB215">
        <v>0</v>
      </c>
      <c r="AC215">
        <v>0</v>
      </c>
      <c r="AD215">
        <v>1</v>
      </c>
      <c r="AE215">
        <v>0</v>
      </c>
      <c r="AF215" t="s">
        <v>81</v>
      </c>
      <c r="AG215">
        <v>2.5000000000000001E-2</v>
      </c>
      <c r="AH215">
        <v>2</v>
      </c>
      <c r="AI215">
        <v>16631584</v>
      </c>
      <c r="AJ215">
        <v>205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ROW(Source!A91)</f>
        <v>91</v>
      </c>
      <c r="B216">
        <v>16631592</v>
      </c>
      <c r="C216">
        <v>16631581</v>
      </c>
      <c r="D216">
        <v>15247974</v>
      </c>
      <c r="E216">
        <v>1</v>
      </c>
      <c r="F216">
        <v>1</v>
      </c>
      <c r="G216">
        <v>1</v>
      </c>
      <c r="H216">
        <v>2</v>
      </c>
      <c r="I216" t="s">
        <v>1151</v>
      </c>
      <c r="J216" t="s">
        <v>1152</v>
      </c>
      <c r="K216" t="s">
        <v>1153</v>
      </c>
      <c r="L216">
        <v>1368</v>
      </c>
      <c r="N216">
        <v>1011</v>
      </c>
      <c r="O216" t="s">
        <v>1154</v>
      </c>
      <c r="P216" t="s">
        <v>1154</v>
      </c>
      <c r="Q216">
        <v>1</v>
      </c>
      <c r="X216">
        <v>0.21</v>
      </c>
      <c r="Y216">
        <v>0</v>
      </c>
      <c r="Z216">
        <v>31.26</v>
      </c>
      <c r="AA216">
        <v>13.5</v>
      </c>
      <c r="AB216">
        <v>0</v>
      </c>
      <c r="AC216">
        <v>0</v>
      </c>
      <c r="AD216">
        <v>1</v>
      </c>
      <c r="AE216">
        <v>0</v>
      </c>
      <c r="AF216" t="s">
        <v>81</v>
      </c>
      <c r="AG216">
        <v>0.26250000000000001</v>
      </c>
      <c r="AH216">
        <v>2</v>
      </c>
      <c r="AI216">
        <v>16631585</v>
      </c>
      <c r="AJ216">
        <v>206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ROW(Source!A91)</f>
        <v>91</v>
      </c>
      <c r="B217">
        <v>16631593</v>
      </c>
      <c r="C217">
        <v>16631581</v>
      </c>
      <c r="D217">
        <v>15248143</v>
      </c>
      <c r="E217">
        <v>1</v>
      </c>
      <c r="F217">
        <v>1</v>
      </c>
      <c r="G217">
        <v>1</v>
      </c>
      <c r="H217">
        <v>2</v>
      </c>
      <c r="I217" t="s">
        <v>1345</v>
      </c>
      <c r="J217" t="s">
        <v>1346</v>
      </c>
      <c r="K217" t="s">
        <v>1347</v>
      </c>
      <c r="L217">
        <v>1368</v>
      </c>
      <c r="N217">
        <v>1011</v>
      </c>
      <c r="O217" t="s">
        <v>1154</v>
      </c>
      <c r="P217" t="s">
        <v>1154</v>
      </c>
      <c r="Q217">
        <v>1</v>
      </c>
      <c r="X217">
        <v>0.7</v>
      </c>
      <c r="Y217">
        <v>0</v>
      </c>
      <c r="Z217">
        <v>12.39</v>
      </c>
      <c r="AA217">
        <v>10.06</v>
      </c>
      <c r="AB217">
        <v>0</v>
      </c>
      <c r="AC217">
        <v>0</v>
      </c>
      <c r="AD217">
        <v>1</v>
      </c>
      <c r="AE217">
        <v>0</v>
      </c>
      <c r="AF217" t="s">
        <v>81</v>
      </c>
      <c r="AG217">
        <v>0.875</v>
      </c>
      <c r="AH217">
        <v>2</v>
      </c>
      <c r="AI217">
        <v>16631586</v>
      </c>
      <c r="AJ217">
        <v>207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ROW(Source!A91)</f>
        <v>91</v>
      </c>
      <c r="B218">
        <v>16631594</v>
      </c>
      <c r="C218">
        <v>16631581</v>
      </c>
      <c r="D218">
        <v>15167286</v>
      </c>
      <c r="E218">
        <v>1</v>
      </c>
      <c r="F218">
        <v>1</v>
      </c>
      <c r="G218">
        <v>1</v>
      </c>
      <c r="H218">
        <v>3</v>
      </c>
      <c r="I218" t="s">
        <v>1265</v>
      </c>
      <c r="J218" t="s">
        <v>1266</v>
      </c>
      <c r="K218" t="s">
        <v>1267</v>
      </c>
      <c r="L218">
        <v>1339</v>
      </c>
      <c r="N218">
        <v>1007</v>
      </c>
      <c r="O218" t="s">
        <v>203</v>
      </c>
      <c r="P218" t="s">
        <v>203</v>
      </c>
      <c r="Q218">
        <v>1</v>
      </c>
      <c r="X218">
        <v>0.51</v>
      </c>
      <c r="Y218">
        <v>2.44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6</v>
      </c>
      <c r="AG218">
        <v>0.51</v>
      </c>
      <c r="AH218">
        <v>2</v>
      </c>
      <c r="AI218">
        <v>16631587</v>
      </c>
      <c r="AJ218">
        <v>208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ROW(Source!A91)</f>
        <v>91</v>
      </c>
      <c r="B219">
        <v>16631595</v>
      </c>
      <c r="C219">
        <v>16631581</v>
      </c>
      <c r="D219">
        <v>15162949</v>
      </c>
      <c r="E219">
        <v>17</v>
      </c>
      <c r="F219">
        <v>1</v>
      </c>
      <c r="G219">
        <v>1</v>
      </c>
      <c r="H219">
        <v>3</v>
      </c>
      <c r="I219" t="s">
        <v>1705</v>
      </c>
      <c r="J219" t="s">
        <v>6</v>
      </c>
      <c r="K219" t="s">
        <v>1706</v>
      </c>
      <c r="L219">
        <v>1348</v>
      </c>
      <c r="N219">
        <v>1009</v>
      </c>
      <c r="O219" t="s">
        <v>98</v>
      </c>
      <c r="P219" t="s">
        <v>98</v>
      </c>
      <c r="Q219">
        <v>1000</v>
      </c>
      <c r="X219">
        <v>0.85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 t="s">
        <v>6</v>
      </c>
      <c r="AG219">
        <v>0.85</v>
      </c>
      <c r="AH219">
        <v>3</v>
      </c>
      <c r="AI219">
        <v>-1</v>
      </c>
      <c r="AJ219" t="s">
        <v>6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ROW(Source!A91)</f>
        <v>91</v>
      </c>
      <c r="B220">
        <v>16631596</v>
      </c>
      <c r="C220">
        <v>16631581</v>
      </c>
      <c r="D220">
        <v>15162572</v>
      </c>
      <c r="E220">
        <v>17</v>
      </c>
      <c r="F220">
        <v>1</v>
      </c>
      <c r="G220">
        <v>1</v>
      </c>
      <c r="H220">
        <v>3</v>
      </c>
      <c r="I220" t="s">
        <v>317</v>
      </c>
      <c r="J220" t="s">
        <v>6</v>
      </c>
      <c r="K220" t="s">
        <v>318</v>
      </c>
      <c r="L220">
        <v>1348</v>
      </c>
      <c r="N220">
        <v>1009</v>
      </c>
      <c r="O220" t="s">
        <v>98</v>
      </c>
      <c r="P220" t="s">
        <v>98</v>
      </c>
      <c r="Q220">
        <v>1000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1</v>
      </c>
      <c r="AD220">
        <v>0</v>
      </c>
      <c r="AE220">
        <v>0</v>
      </c>
      <c r="AF220" t="s">
        <v>6</v>
      </c>
      <c r="AG220">
        <v>0</v>
      </c>
      <c r="AH220">
        <v>3</v>
      </c>
      <c r="AI220">
        <v>-1</v>
      </c>
      <c r="AJ220" t="s">
        <v>6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ROW(Source!A93)</f>
        <v>93</v>
      </c>
      <c r="B221">
        <v>16631606</v>
      </c>
      <c r="C221">
        <v>16631598</v>
      </c>
      <c r="D221">
        <v>15436556</v>
      </c>
      <c r="E221">
        <v>1</v>
      </c>
      <c r="F221">
        <v>1</v>
      </c>
      <c r="G221">
        <v>1</v>
      </c>
      <c r="H221">
        <v>1</v>
      </c>
      <c r="I221" t="s">
        <v>1354</v>
      </c>
      <c r="J221" t="s">
        <v>6</v>
      </c>
      <c r="K221" t="s">
        <v>1355</v>
      </c>
      <c r="L221">
        <v>1191</v>
      </c>
      <c r="N221">
        <v>1013</v>
      </c>
      <c r="O221" t="s">
        <v>1148</v>
      </c>
      <c r="P221" t="s">
        <v>1148</v>
      </c>
      <c r="Q221">
        <v>1</v>
      </c>
      <c r="X221">
        <v>6.55</v>
      </c>
      <c r="Y221">
        <v>0</v>
      </c>
      <c r="Z221">
        <v>0</v>
      </c>
      <c r="AA221">
        <v>0</v>
      </c>
      <c r="AB221">
        <v>9.6199999999999992</v>
      </c>
      <c r="AC221">
        <v>0</v>
      </c>
      <c r="AD221">
        <v>1</v>
      </c>
      <c r="AE221">
        <v>1</v>
      </c>
      <c r="AF221" t="s">
        <v>82</v>
      </c>
      <c r="AG221">
        <v>7.5324999999999989</v>
      </c>
      <c r="AH221">
        <v>2</v>
      </c>
      <c r="AI221">
        <v>16631599</v>
      </c>
      <c r="AJ221">
        <v>210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ROW(Source!A93)</f>
        <v>93</v>
      </c>
      <c r="B222">
        <v>16631607</v>
      </c>
      <c r="C222">
        <v>16631598</v>
      </c>
      <c r="D222">
        <v>15430395</v>
      </c>
      <c r="E222">
        <v>1</v>
      </c>
      <c r="F222">
        <v>1</v>
      </c>
      <c r="G222">
        <v>1</v>
      </c>
      <c r="H222">
        <v>1</v>
      </c>
      <c r="I222" t="s">
        <v>1149</v>
      </c>
      <c r="J222" t="s">
        <v>6</v>
      </c>
      <c r="K222" t="s">
        <v>1150</v>
      </c>
      <c r="L222">
        <v>1191</v>
      </c>
      <c r="N222">
        <v>1013</v>
      </c>
      <c r="O222" t="s">
        <v>1148</v>
      </c>
      <c r="P222" t="s">
        <v>1148</v>
      </c>
      <c r="Q222">
        <v>1</v>
      </c>
      <c r="X222">
        <v>0.02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2</v>
      </c>
      <c r="AF222" t="s">
        <v>81</v>
      </c>
      <c r="AG222">
        <v>2.5000000000000001E-2</v>
      </c>
      <c r="AH222">
        <v>2</v>
      </c>
      <c r="AI222">
        <v>16631600</v>
      </c>
      <c r="AJ222">
        <v>211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ROW(Source!A93)</f>
        <v>93</v>
      </c>
      <c r="B223">
        <v>16631608</v>
      </c>
      <c r="C223">
        <v>16631598</v>
      </c>
      <c r="D223">
        <v>15247974</v>
      </c>
      <c r="E223">
        <v>1</v>
      </c>
      <c r="F223">
        <v>1</v>
      </c>
      <c r="G223">
        <v>1</v>
      </c>
      <c r="H223">
        <v>2</v>
      </c>
      <c r="I223" t="s">
        <v>1151</v>
      </c>
      <c r="J223" t="s">
        <v>1152</v>
      </c>
      <c r="K223" t="s">
        <v>1153</v>
      </c>
      <c r="L223">
        <v>1368</v>
      </c>
      <c r="N223">
        <v>1011</v>
      </c>
      <c r="O223" t="s">
        <v>1154</v>
      </c>
      <c r="P223" t="s">
        <v>1154</v>
      </c>
      <c r="Q223">
        <v>1</v>
      </c>
      <c r="X223">
        <v>0.01</v>
      </c>
      <c r="Y223">
        <v>0</v>
      </c>
      <c r="Z223">
        <v>31.26</v>
      </c>
      <c r="AA223">
        <v>13.5</v>
      </c>
      <c r="AB223">
        <v>0</v>
      </c>
      <c r="AC223">
        <v>0</v>
      </c>
      <c r="AD223">
        <v>1</v>
      </c>
      <c r="AE223">
        <v>0</v>
      </c>
      <c r="AF223" t="s">
        <v>81</v>
      </c>
      <c r="AG223">
        <v>1.2500000000000001E-2</v>
      </c>
      <c r="AH223">
        <v>2</v>
      </c>
      <c r="AI223">
        <v>16631601</v>
      </c>
      <c r="AJ223">
        <v>212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ROW(Source!A93)</f>
        <v>93</v>
      </c>
      <c r="B224">
        <v>16631609</v>
      </c>
      <c r="C224">
        <v>16631598</v>
      </c>
      <c r="D224">
        <v>15249073</v>
      </c>
      <c r="E224">
        <v>1</v>
      </c>
      <c r="F224">
        <v>1</v>
      </c>
      <c r="G224">
        <v>1</v>
      </c>
      <c r="H224">
        <v>2</v>
      </c>
      <c r="I224" t="s">
        <v>1157</v>
      </c>
      <c r="J224" t="s">
        <v>1158</v>
      </c>
      <c r="K224" t="s">
        <v>1159</v>
      </c>
      <c r="L224">
        <v>1368</v>
      </c>
      <c r="N224">
        <v>1011</v>
      </c>
      <c r="O224" t="s">
        <v>1154</v>
      </c>
      <c r="P224" t="s">
        <v>1154</v>
      </c>
      <c r="Q224">
        <v>1</v>
      </c>
      <c r="X224">
        <v>0.01</v>
      </c>
      <c r="Y224">
        <v>0</v>
      </c>
      <c r="Z224">
        <v>65.709999999999994</v>
      </c>
      <c r="AA224">
        <v>11.6</v>
      </c>
      <c r="AB224">
        <v>0</v>
      </c>
      <c r="AC224">
        <v>0</v>
      </c>
      <c r="AD224">
        <v>1</v>
      </c>
      <c r="AE224">
        <v>0</v>
      </c>
      <c r="AF224" t="s">
        <v>81</v>
      </c>
      <c r="AG224">
        <v>1.2500000000000001E-2</v>
      </c>
      <c r="AH224">
        <v>2</v>
      </c>
      <c r="AI224">
        <v>16631602</v>
      </c>
      <c r="AJ224">
        <v>213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ROW(Source!A93)</f>
        <v>93</v>
      </c>
      <c r="B225">
        <v>16631610</v>
      </c>
      <c r="C225">
        <v>16631598</v>
      </c>
      <c r="D225">
        <v>15171018</v>
      </c>
      <c r="E225">
        <v>1</v>
      </c>
      <c r="F225">
        <v>1</v>
      </c>
      <c r="G225">
        <v>1</v>
      </c>
      <c r="H225">
        <v>3</v>
      </c>
      <c r="I225" t="s">
        <v>1204</v>
      </c>
      <c r="J225" t="s">
        <v>1205</v>
      </c>
      <c r="K225" t="s">
        <v>1206</v>
      </c>
      <c r="L225">
        <v>1346</v>
      </c>
      <c r="N225">
        <v>1009</v>
      </c>
      <c r="O225" t="s">
        <v>102</v>
      </c>
      <c r="P225" t="s">
        <v>102</v>
      </c>
      <c r="Q225">
        <v>1</v>
      </c>
      <c r="X225">
        <v>0.1</v>
      </c>
      <c r="Y225">
        <v>1.82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6</v>
      </c>
      <c r="AG225">
        <v>0.1</v>
      </c>
      <c r="AH225">
        <v>2</v>
      </c>
      <c r="AI225">
        <v>16631603</v>
      </c>
      <c r="AJ225">
        <v>214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ROW(Source!A93)</f>
        <v>93</v>
      </c>
      <c r="B226">
        <v>16631611</v>
      </c>
      <c r="C226">
        <v>16631598</v>
      </c>
      <c r="D226">
        <v>15162572</v>
      </c>
      <c r="E226">
        <v>17</v>
      </c>
      <c r="F226">
        <v>1</v>
      </c>
      <c r="G226">
        <v>1</v>
      </c>
      <c r="H226">
        <v>3</v>
      </c>
      <c r="I226" t="s">
        <v>317</v>
      </c>
      <c r="J226" t="s">
        <v>6</v>
      </c>
      <c r="K226" t="s">
        <v>318</v>
      </c>
      <c r="L226">
        <v>1348</v>
      </c>
      <c r="N226">
        <v>1009</v>
      </c>
      <c r="O226" t="s">
        <v>98</v>
      </c>
      <c r="P226" t="s">
        <v>98</v>
      </c>
      <c r="Q226">
        <v>1000</v>
      </c>
      <c r="X226">
        <v>1.2999999999999999E-2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 t="s">
        <v>6</v>
      </c>
      <c r="AG226">
        <v>1.2999999999999999E-2</v>
      </c>
      <c r="AH226">
        <v>2</v>
      </c>
      <c r="AI226">
        <v>16631604</v>
      </c>
      <c r="AJ226">
        <v>216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ROW(Source!A96)</f>
        <v>96</v>
      </c>
      <c r="B227">
        <v>16631624</v>
      </c>
      <c r="C227">
        <v>16631614</v>
      </c>
      <c r="D227">
        <v>15430397</v>
      </c>
      <c r="E227">
        <v>1</v>
      </c>
      <c r="F227">
        <v>1</v>
      </c>
      <c r="G227">
        <v>1</v>
      </c>
      <c r="H227">
        <v>1</v>
      </c>
      <c r="I227" t="s">
        <v>1356</v>
      </c>
      <c r="J227" t="s">
        <v>6</v>
      </c>
      <c r="K227" t="s">
        <v>1357</v>
      </c>
      <c r="L227">
        <v>1191</v>
      </c>
      <c r="N227">
        <v>1013</v>
      </c>
      <c r="O227" t="s">
        <v>1148</v>
      </c>
      <c r="P227" t="s">
        <v>1148</v>
      </c>
      <c r="Q227">
        <v>1</v>
      </c>
      <c r="X227">
        <v>85.84</v>
      </c>
      <c r="Y227">
        <v>0</v>
      </c>
      <c r="Z227">
        <v>0</v>
      </c>
      <c r="AA227">
        <v>0</v>
      </c>
      <c r="AB227">
        <v>9.4</v>
      </c>
      <c r="AC227">
        <v>0</v>
      </c>
      <c r="AD227">
        <v>1</v>
      </c>
      <c r="AE227">
        <v>1</v>
      </c>
      <c r="AF227" t="s">
        <v>82</v>
      </c>
      <c r="AG227">
        <v>98.715999999999994</v>
      </c>
      <c r="AH227">
        <v>2</v>
      </c>
      <c r="AI227">
        <v>16631615</v>
      </c>
      <c r="AJ227">
        <v>217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ROW(Source!A96)</f>
        <v>96</v>
      </c>
      <c r="B228">
        <v>16631625</v>
      </c>
      <c r="C228">
        <v>16631614</v>
      </c>
      <c r="D228">
        <v>15430395</v>
      </c>
      <c r="E228">
        <v>1</v>
      </c>
      <c r="F228">
        <v>1</v>
      </c>
      <c r="G228">
        <v>1</v>
      </c>
      <c r="H228">
        <v>1</v>
      </c>
      <c r="I228" t="s">
        <v>1149</v>
      </c>
      <c r="J228" t="s">
        <v>6</v>
      </c>
      <c r="K228" t="s">
        <v>1150</v>
      </c>
      <c r="L228">
        <v>1191</v>
      </c>
      <c r="N228">
        <v>1013</v>
      </c>
      <c r="O228" t="s">
        <v>1148</v>
      </c>
      <c r="P228" t="s">
        <v>1148</v>
      </c>
      <c r="Q228">
        <v>1</v>
      </c>
      <c r="X228">
        <v>6.29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2</v>
      </c>
      <c r="AF228" t="s">
        <v>81</v>
      </c>
      <c r="AG228">
        <v>7.8624999999999998</v>
      </c>
      <c r="AH228">
        <v>2</v>
      </c>
      <c r="AI228">
        <v>16631616</v>
      </c>
      <c r="AJ228">
        <v>218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ROW(Source!A96)</f>
        <v>96</v>
      </c>
      <c r="B229">
        <v>16631626</v>
      </c>
      <c r="C229">
        <v>16631614</v>
      </c>
      <c r="D229">
        <v>15247974</v>
      </c>
      <c r="E229">
        <v>1</v>
      </c>
      <c r="F229">
        <v>1</v>
      </c>
      <c r="G229">
        <v>1</v>
      </c>
      <c r="H229">
        <v>2</v>
      </c>
      <c r="I229" t="s">
        <v>1151</v>
      </c>
      <c r="J229" t="s">
        <v>1152</v>
      </c>
      <c r="K229" t="s">
        <v>1153</v>
      </c>
      <c r="L229">
        <v>1368</v>
      </c>
      <c r="N229">
        <v>1011</v>
      </c>
      <c r="O229" t="s">
        <v>1154</v>
      </c>
      <c r="P229" t="s">
        <v>1154</v>
      </c>
      <c r="Q229">
        <v>1</v>
      </c>
      <c r="X229">
        <v>0.84</v>
      </c>
      <c r="Y229">
        <v>0</v>
      </c>
      <c r="Z229">
        <v>31.26</v>
      </c>
      <c r="AA229">
        <v>13.5</v>
      </c>
      <c r="AB229">
        <v>0</v>
      </c>
      <c r="AC229">
        <v>0</v>
      </c>
      <c r="AD229">
        <v>1</v>
      </c>
      <c r="AE229">
        <v>0</v>
      </c>
      <c r="AF229" t="s">
        <v>81</v>
      </c>
      <c r="AG229">
        <v>1.05</v>
      </c>
      <c r="AH229">
        <v>2</v>
      </c>
      <c r="AI229">
        <v>16631617</v>
      </c>
      <c r="AJ229">
        <v>219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ROW(Source!A96)</f>
        <v>96</v>
      </c>
      <c r="B230">
        <v>16631627</v>
      </c>
      <c r="C230">
        <v>16631614</v>
      </c>
      <c r="D230">
        <v>15248130</v>
      </c>
      <c r="E230">
        <v>1</v>
      </c>
      <c r="F230">
        <v>1</v>
      </c>
      <c r="G230">
        <v>1</v>
      </c>
      <c r="H230">
        <v>2</v>
      </c>
      <c r="I230" t="s">
        <v>1358</v>
      </c>
      <c r="J230" t="s">
        <v>1359</v>
      </c>
      <c r="K230" t="s">
        <v>1360</v>
      </c>
      <c r="L230">
        <v>1368</v>
      </c>
      <c r="N230">
        <v>1011</v>
      </c>
      <c r="O230" t="s">
        <v>1154</v>
      </c>
      <c r="P230" t="s">
        <v>1154</v>
      </c>
      <c r="Q230">
        <v>1</v>
      </c>
      <c r="X230">
        <v>5.45</v>
      </c>
      <c r="Y230">
        <v>0</v>
      </c>
      <c r="Z230">
        <v>14.15</v>
      </c>
      <c r="AA230">
        <v>8.91</v>
      </c>
      <c r="AB230">
        <v>0</v>
      </c>
      <c r="AC230">
        <v>0</v>
      </c>
      <c r="AD230">
        <v>1</v>
      </c>
      <c r="AE230">
        <v>0</v>
      </c>
      <c r="AF230" t="s">
        <v>81</v>
      </c>
      <c r="AG230">
        <v>6.8125</v>
      </c>
      <c r="AH230">
        <v>2</v>
      </c>
      <c r="AI230">
        <v>16631618</v>
      </c>
      <c r="AJ230">
        <v>220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ROW(Source!A96)</f>
        <v>96</v>
      </c>
      <c r="B231">
        <v>16631628</v>
      </c>
      <c r="C231">
        <v>16631614</v>
      </c>
      <c r="D231">
        <v>15170041</v>
      </c>
      <c r="E231">
        <v>1</v>
      </c>
      <c r="F231">
        <v>1</v>
      </c>
      <c r="G231">
        <v>1</v>
      </c>
      <c r="H231">
        <v>3</v>
      </c>
      <c r="I231" t="s">
        <v>1361</v>
      </c>
      <c r="J231" t="s">
        <v>1362</v>
      </c>
      <c r="K231" t="s">
        <v>1363</v>
      </c>
      <c r="L231">
        <v>1348</v>
      </c>
      <c r="N231">
        <v>1009</v>
      </c>
      <c r="O231" t="s">
        <v>98</v>
      </c>
      <c r="P231" t="s">
        <v>98</v>
      </c>
      <c r="Q231">
        <v>1000</v>
      </c>
      <c r="X231">
        <v>1.2E-4</v>
      </c>
      <c r="Y231">
        <v>8475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6</v>
      </c>
      <c r="AG231">
        <v>1.2E-4</v>
      </c>
      <c r="AH231">
        <v>2</v>
      </c>
      <c r="AI231">
        <v>16631619</v>
      </c>
      <c r="AJ231">
        <v>221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ROW(Source!A96)</f>
        <v>96</v>
      </c>
      <c r="B232">
        <v>16631629</v>
      </c>
      <c r="C232">
        <v>16631614</v>
      </c>
      <c r="D232">
        <v>15171982</v>
      </c>
      <c r="E232">
        <v>1</v>
      </c>
      <c r="F232">
        <v>1</v>
      </c>
      <c r="G232">
        <v>1</v>
      </c>
      <c r="H232">
        <v>3</v>
      </c>
      <c r="I232" t="s">
        <v>1364</v>
      </c>
      <c r="J232" t="s">
        <v>1365</v>
      </c>
      <c r="K232" t="s">
        <v>1366</v>
      </c>
      <c r="L232">
        <v>1348</v>
      </c>
      <c r="N232">
        <v>1009</v>
      </c>
      <c r="O232" t="s">
        <v>98</v>
      </c>
      <c r="P232" t="s">
        <v>98</v>
      </c>
      <c r="Q232">
        <v>1000</v>
      </c>
      <c r="X232">
        <v>6.0000000000000001E-3</v>
      </c>
      <c r="Y232">
        <v>729.98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6</v>
      </c>
      <c r="AG232">
        <v>6.0000000000000001E-3</v>
      </c>
      <c r="AH232">
        <v>2</v>
      </c>
      <c r="AI232">
        <v>16631620</v>
      </c>
      <c r="AJ232">
        <v>222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ROW(Source!A96)</f>
        <v>96</v>
      </c>
      <c r="B233">
        <v>16631630</v>
      </c>
      <c r="C233">
        <v>16631614</v>
      </c>
      <c r="D233">
        <v>15172875</v>
      </c>
      <c r="E233">
        <v>1</v>
      </c>
      <c r="F233">
        <v>1</v>
      </c>
      <c r="G233">
        <v>1</v>
      </c>
      <c r="H233">
        <v>3</v>
      </c>
      <c r="I233" t="s">
        <v>328</v>
      </c>
      <c r="J233" t="s">
        <v>330</v>
      </c>
      <c r="K233" t="s">
        <v>329</v>
      </c>
      <c r="L233">
        <v>1339</v>
      </c>
      <c r="N233">
        <v>1007</v>
      </c>
      <c r="O233" t="s">
        <v>203</v>
      </c>
      <c r="P233" t="s">
        <v>203</v>
      </c>
      <c r="Q233">
        <v>1</v>
      </c>
      <c r="X233">
        <v>1.87</v>
      </c>
      <c r="Y233">
        <v>517.91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6</v>
      </c>
      <c r="AG233">
        <v>1.87</v>
      </c>
      <c r="AH233">
        <v>2</v>
      </c>
      <c r="AI233">
        <v>16631621</v>
      </c>
      <c r="AJ233">
        <v>223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ROW(Source!A96)</f>
        <v>96</v>
      </c>
      <c r="B234">
        <v>16631631</v>
      </c>
      <c r="C234">
        <v>16631614</v>
      </c>
      <c r="D234">
        <v>15189930</v>
      </c>
      <c r="E234">
        <v>1</v>
      </c>
      <c r="F234">
        <v>1</v>
      </c>
      <c r="G234">
        <v>1</v>
      </c>
      <c r="H234">
        <v>3</v>
      </c>
      <c r="I234" t="s">
        <v>1367</v>
      </c>
      <c r="J234" t="s">
        <v>1368</v>
      </c>
      <c r="K234" t="s">
        <v>1369</v>
      </c>
      <c r="L234">
        <v>1327</v>
      </c>
      <c r="N234">
        <v>1005</v>
      </c>
      <c r="O234" t="s">
        <v>87</v>
      </c>
      <c r="P234" t="s">
        <v>87</v>
      </c>
      <c r="Q234">
        <v>1</v>
      </c>
      <c r="X234">
        <v>5.54</v>
      </c>
      <c r="Y234">
        <v>28.25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6</v>
      </c>
      <c r="AG234">
        <v>5.54</v>
      </c>
      <c r="AH234">
        <v>2</v>
      </c>
      <c r="AI234">
        <v>16631623</v>
      </c>
      <c r="AJ234">
        <v>225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ROW(Source!A99)</f>
        <v>99</v>
      </c>
      <c r="B235">
        <v>16631645</v>
      </c>
      <c r="C235">
        <v>16631634</v>
      </c>
      <c r="D235">
        <v>15438286</v>
      </c>
      <c r="E235">
        <v>1</v>
      </c>
      <c r="F235">
        <v>1</v>
      </c>
      <c r="G235">
        <v>1</v>
      </c>
      <c r="H235">
        <v>1</v>
      </c>
      <c r="I235" t="s">
        <v>1244</v>
      </c>
      <c r="J235" t="s">
        <v>6</v>
      </c>
      <c r="K235" t="s">
        <v>1245</v>
      </c>
      <c r="L235">
        <v>1191</v>
      </c>
      <c r="N235">
        <v>1013</v>
      </c>
      <c r="O235" t="s">
        <v>1148</v>
      </c>
      <c r="P235" t="s">
        <v>1148</v>
      </c>
      <c r="Q235">
        <v>1</v>
      </c>
      <c r="X235">
        <v>228</v>
      </c>
      <c r="Y235">
        <v>0</v>
      </c>
      <c r="Z235">
        <v>0</v>
      </c>
      <c r="AA235">
        <v>0</v>
      </c>
      <c r="AB235">
        <v>9.18</v>
      </c>
      <c r="AC235">
        <v>0</v>
      </c>
      <c r="AD235">
        <v>1</v>
      </c>
      <c r="AE235">
        <v>1</v>
      </c>
      <c r="AF235" t="s">
        <v>82</v>
      </c>
      <c r="AG235">
        <v>262.2</v>
      </c>
      <c r="AH235">
        <v>2</v>
      </c>
      <c r="AI235">
        <v>16631635</v>
      </c>
      <c r="AJ235">
        <v>226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ROW(Source!A99)</f>
        <v>99</v>
      </c>
      <c r="B236">
        <v>16631646</v>
      </c>
      <c r="C236">
        <v>16631634</v>
      </c>
      <c r="D236">
        <v>15430395</v>
      </c>
      <c r="E236">
        <v>1</v>
      </c>
      <c r="F236">
        <v>1</v>
      </c>
      <c r="G236">
        <v>1</v>
      </c>
      <c r="H236">
        <v>1</v>
      </c>
      <c r="I236" t="s">
        <v>1149</v>
      </c>
      <c r="J236" t="s">
        <v>6</v>
      </c>
      <c r="K236" t="s">
        <v>1150</v>
      </c>
      <c r="L236">
        <v>1191</v>
      </c>
      <c r="N236">
        <v>1013</v>
      </c>
      <c r="O236" t="s">
        <v>1148</v>
      </c>
      <c r="P236" t="s">
        <v>1148</v>
      </c>
      <c r="Q236">
        <v>1</v>
      </c>
      <c r="X236">
        <v>0.86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2</v>
      </c>
      <c r="AF236" t="s">
        <v>81</v>
      </c>
      <c r="AG236">
        <v>1.075</v>
      </c>
      <c r="AH236">
        <v>2</v>
      </c>
      <c r="AI236">
        <v>16631636</v>
      </c>
      <c r="AJ236">
        <v>227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ROW(Source!A99)</f>
        <v>99</v>
      </c>
      <c r="B237">
        <v>16631647</v>
      </c>
      <c r="C237">
        <v>16631634</v>
      </c>
      <c r="D237">
        <v>15247905</v>
      </c>
      <c r="E237">
        <v>1</v>
      </c>
      <c r="F237">
        <v>1</v>
      </c>
      <c r="G237">
        <v>1</v>
      </c>
      <c r="H237">
        <v>2</v>
      </c>
      <c r="I237" t="s">
        <v>1330</v>
      </c>
      <c r="J237" t="s">
        <v>1331</v>
      </c>
      <c r="K237" t="s">
        <v>1332</v>
      </c>
      <c r="L237">
        <v>1368</v>
      </c>
      <c r="N237">
        <v>1011</v>
      </c>
      <c r="O237" t="s">
        <v>1154</v>
      </c>
      <c r="P237" t="s">
        <v>1154</v>
      </c>
      <c r="Q237">
        <v>1</v>
      </c>
      <c r="X237">
        <v>0.05</v>
      </c>
      <c r="Y237">
        <v>0</v>
      </c>
      <c r="Z237">
        <v>89.99</v>
      </c>
      <c r="AA237">
        <v>10.06</v>
      </c>
      <c r="AB237">
        <v>0</v>
      </c>
      <c r="AC237">
        <v>0</v>
      </c>
      <c r="AD237">
        <v>1</v>
      </c>
      <c r="AE237">
        <v>0</v>
      </c>
      <c r="AF237" t="s">
        <v>81</v>
      </c>
      <c r="AG237">
        <v>6.25E-2</v>
      </c>
      <c r="AH237">
        <v>2</v>
      </c>
      <c r="AI237">
        <v>16631637</v>
      </c>
      <c r="AJ237">
        <v>228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ROW(Source!A99)</f>
        <v>99</v>
      </c>
      <c r="B238">
        <v>16631648</v>
      </c>
      <c r="C238">
        <v>16631634</v>
      </c>
      <c r="D238">
        <v>15247974</v>
      </c>
      <c r="E238">
        <v>1</v>
      </c>
      <c r="F238">
        <v>1</v>
      </c>
      <c r="G238">
        <v>1</v>
      </c>
      <c r="H238">
        <v>2</v>
      </c>
      <c r="I238" t="s">
        <v>1151</v>
      </c>
      <c r="J238" t="s">
        <v>1152</v>
      </c>
      <c r="K238" t="s">
        <v>1153</v>
      </c>
      <c r="L238">
        <v>1368</v>
      </c>
      <c r="N238">
        <v>1011</v>
      </c>
      <c r="O238" t="s">
        <v>1154</v>
      </c>
      <c r="P238" t="s">
        <v>1154</v>
      </c>
      <c r="Q238">
        <v>1</v>
      </c>
      <c r="X238">
        <v>0.81</v>
      </c>
      <c r="Y238">
        <v>0</v>
      </c>
      <c r="Z238">
        <v>31.26</v>
      </c>
      <c r="AA238">
        <v>13.5</v>
      </c>
      <c r="AB238">
        <v>0</v>
      </c>
      <c r="AC238">
        <v>0</v>
      </c>
      <c r="AD238">
        <v>1</v>
      </c>
      <c r="AE238">
        <v>0</v>
      </c>
      <c r="AF238" t="s">
        <v>81</v>
      </c>
      <c r="AG238">
        <v>1.0125000000000002</v>
      </c>
      <c r="AH238">
        <v>2</v>
      </c>
      <c r="AI238">
        <v>16631638</v>
      </c>
      <c r="AJ238">
        <v>229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ROW(Source!A99)</f>
        <v>99</v>
      </c>
      <c r="B239">
        <v>16631649</v>
      </c>
      <c r="C239">
        <v>16631634</v>
      </c>
      <c r="D239">
        <v>15167286</v>
      </c>
      <c r="E239">
        <v>1</v>
      </c>
      <c r="F239">
        <v>1</v>
      </c>
      <c r="G239">
        <v>1</v>
      </c>
      <c r="H239">
        <v>3</v>
      </c>
      <c r="I239" t="s">
        <v>1265</v>
      </c>
      <c r="J239" t="s">
        <v>1266</v>
      </c>
      <c r="K239" t="s">
        <v>1267</v>
      </c>
      <c r="L239">
        <v>1339</v>
      </c>
      <c r="N239">
        <v>1007</v>
      </c>
      <c r="O239" t="s">
        <v>203</v>
      </c>
      <c r="P239" t="s">
        <v>203</v>
      </c>
      <c r="Q239">
        <v>1</v>
      </c>
      <c r="X239">
        <v>0.46500000000000002</v>
      </c>
      <c r="Y239">
        <v>2.44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6</v>
      </c>
      <c r="AG239">
        <v>0.46500000000000002</v>
      </c>
      <c r="AH239">
        <v>2</v>
      </c>
      <c r="AI239">
        <v>16631639</v>
      </c>
      <c r="AJ239">
        <v>230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ROW(Source!A99)</f>
        <v>99</v>
      </c>
      <c r="B240">
        <v>16631650</v>
      </c>
      <c r="C240">
        <v>16631634</v>
      </c>
      <c r="D240">
        <v>15167962</v>
      </c>
      <c r="E240">
        <v>1</v>
      </c>
      <c r="F240">
        <v>1</v>
      </c>
      <c r="G240">
        <v>1</v>
      </c>
      <c r="H240">
        <v>3</v>
      </c>
      <c r="I240" t="s">
        <v>1333</v>
      </c>
      <c r="J240" t="s">
        <v>1334</v>
      </c>
      <c r="K240" t="s">
        <v>1335</v>
      </c>
      <c r="L240">
        <v>1339</v>
      </c>
      <c r="N240">
        <v>1007</v>
      </c>
      <c r="O240" t="s">
        <v>203</v>
      </c>
      <c r="P240" t="s">
        <v>203</v>
      </c>
      <c r="Q240">
        <v>1</v>
      </c>
      <c r="X240">
        <v>0.1</v>
      </c>
      <c r="Y240">
        <v>34.92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6</v>
      </c>
      <c r="AG240">
        <v>0.1</v>
      </c>
      <c r="AH240">
        <v>2</v>
      </c>
      <c r="AI240">
        <v>16631640</v>
      </c>
      <c r="AJ240">
        <v>231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ROW(Source!A99)</f>
        <v>99</v>
      </c>
      <c r="B241">
        <v>16631651</v>
      </c>
      <c r="C241">
        <v>16631634</v>
      </c>
      <c r="D241">
        <v>15171018</v>
      </c>
      <c r="E241">
        <v>1</v>
      </c>
      <c r="F241">
        <v>1</v>
      </c>
      <c r="G241">
        <v>1</v>
      </c>
      <c r="H241">
        <v>3</v>
      </c>
      <c r="I241" t="s">
        <v>1204</v>
      </c>
      <c r="J241" t="s">
        <v>1205</v>
      </c>
      <c r="K241" t="s">
        <v>1206</v>
      </c>
      <c r="L241">
        <v>1346</v>
      </c>
      <c r="N241">
        <v>1009</v>
      </c>
      <c r="O241" t="s">
        <v>102</v>
      </c>
      <c r="P241" t="s">
        <v>102</v>
      </c>
      <c r="Q241">
        <v>1</v>
      </c>
      <c r="X241">
        <v>0.5</v>
      </c>
      <c r="Y241">
        <v>1.82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6</v>
      </c>
      <c r="AG241">
        <v>0.5</v>
      </c>
      <c r="AH241">
        <v>2</v>
      </c>
      <c r="AI241">
        <v>16631641</v>
      </c>
      <c r="AJ241">
        <v>232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ROW(Source!A99)</f>
        <v>99</v>
      </c>
      <c r="B242">
        <v>16631652</v>
      </c>
      <c r="C242">
        <v>16631634</v>
      </c>
      <c r="D242">
        <v>15172039</v>
      </c>
      <c r="E242">
        <v>1</v>
      </c>
      <c r="F242">
        <v>1</v>
      </c>
      <c r="G242">
        <v>1</v>
      </c>
      <c r="H242">
        <v>3</v>
      </c>
      <c r="I242" t="s">
        <v>1370</v>
      </c>
      <c r="J242" t="s">
        <v>1371</v>
      </c>
      <c r="K242" t="s">
        <v>1372</v>
      </c>
      <c r="L242">
        <v>1348</v>
      </c>
      <c r="N242">
        <v>1009</v>
      </c>
      <c r="O242" t="s">
        <v>98</v>
      </c>
      <c r="P242" t="s">
        <v>98</v>
      </c>
      <c r="Q242">
        <v>1000</v>
      </c>
      <c r="X242">
        <v>0.04</v>
      </c>
      <c r="Y242">
        <v>412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6</v>
      </c>
      <c r="AG242">
        <v>0.04</v>
      </c>
      <c r="AH242">
        <v>2</v>
      </c>
      <c r="AI242">
        <v>16631642</v>
      </c>
      <c r="AJ242">
        <v>233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ROW(Source!A99)</f>
        <v>99</v>
      </c>
      <c r="B243">
        <v>16631653</v>
      </c>
      <c r="C243">
        <v>16631634</v>
      </c>
      <c r="D243">
        <v>15172844</v>
      </c>
      <c r="E243">
        <v>1</v>
      </c>
      <c r="F243">
        <v>1</v>
      </c>
      <c r="G243">
        <v>1</v>
      </c>
      <c r="H243">
        <v>3</v>
      </c>
      <c r="I243" t="s">
        <v>1373</v>
      </c>
      <c r="J243" t="s">
        <v>1374</v>
      </c>
      <c r="K243" t="s">
        <v>1375</v>
      </c>
      <c r="L243">
        <v>1339</v>
      </c>
      <c r="N243">
        <v>1007</v>
      </c>
      <c r="O243" t="s">
        <v>203</v>
      </c>
      <c r="P243" t="s">
        <v>203</v>
      </c>
      <c r="Q243">
        <v>1</v>
      </c>
      <c r="X243">
        <v>1.5</v>
      </c>
      <c r="Y243">
        <v>497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6</v>
      </c>
      <c r="AG243">
        <v>1.5</v>
      </c>
      <c r="AH243">
        <v>2</v>
      </c>
      <c r="AI243">
        <v>16631643</v>
      </c>
      <c r="AJ243">
        <v>234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ROW(Source!A99)</f>
        <v>99</v>
      </c>
      <c r="B244">
        <v>16631654</v>
      </c>
      <c r="C244">
        <v>16631634</v>
      </c>
      <c r="D244">
        <v>15162946</v>
      </c>
      <c r="E244">
        <v>17</v>
      </c>
      <c r="F244">
        <v>1</v>
      </c>
      <c r="G244">
        <v>1</v>
      </c>
      <c r="H244">
        <v>3</v>
      </c>
      <c r="I244" t="s">
        <v>1707</v>
      </c>
      <c r="J244" t="s">
        <v>6</v>
      </c>
      <c r="K244" t="s">
        <v>1708</v>
      </c>
      <c r="L244">
        <v>1327</v>
      </c>
      <c r="N244">
        <v>1005</v>
      </c>
      <c r="O244" t="s">
        <v>87</v>
      </c>
      <c r="P244" t="s">
        <v>87</v>
      </c>
      <c r="Q244">
        <v>1</v>
      </c>
      <c r="X244">
        <v>100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 t="s">
        <v>6</v>
      </c>
      <c r="AG244">
        <v>100</v>
      </c>
      <c r="AH244">
        <v>3</v>
      </c>
      <c r="AI244">
        <v>-1</v>
      </c>
      <c r="AJ244" t="s">
        <v>6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ROW(Source!A101)</f>
        <v>101</v>
      </c>
      <c r="B245">
        <v>16631689</v>
      </c>
      <c r="C245">
        <v>16631675</v>
      </c>
      <c r="D245">
        <v>15435099</v>
      </c>
      <c r="E245">
        <v>1</v>
      </c>
      <c r="F245">
        <v>1</v>
      </c>
      <c r="G245">
        <v>1</v>
      </c>
      <c r="H245">
        <v>1</v>
      </c>
      <c r="I245" t="s">
        <v>1376</v>
      </c>
      <c r="J245" t="s">
        <v>6</v>
      </c>
      <c r="K245" t="s">
        <v>1377</v>
      </c>
      <c r="L245">
        <v>1191</v>
      </c>
      <c r="N245">
        <v>1013</v>
      </c>
      <c r="O245" t="s">
        <v>1148</v>
      </c>
      <c r="P245" t="s">
        <v>1148</v>
      </c>
      <c r="Q245">
        <v>1</v>
      </c>
      <c r="X245">
        <v>33.89</v>
      </c>
      <c r="Y245">
        <v>0</v>
      </c>
      <c r="Z245">
        <v>0</v>
      </c>
      <c r="AA245">
        <v>0</v>
      </c>
      <c r="AB245">
        <v>8.64</v>
      </c>
      <c r="AC245">
        <v>0</v>
      </c>
      <c r="AD245">
        <v>1</v>
      </c>
      <c r="AE245">
        <v>1</v>
      </c>
      <c r="AF245" t="s">
        <v>6</v>
      </c>
      <c r="AG245">
        <v>33.89</v>
      </c>
      <c r="AH245">
        <v>2</v>
      </c>
      <c r="AI245">
        <v>16631676</v>
      </c>
      <c r="AJ245">
        <v>236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ROW(Source!A101)</f>
        <v>101</v>
      </c>
      <c r="B246">
        <v>16631690</v>
      </c>
      <c r="C246">
        <v>16631675</v>
      </c>
      <c r="D246">
        <v>15430395</v>
      </c>
      <c r="E246">
        <v>1</v>
      </c>
      <c r="F246">
        <v>1</v>
      </c>
      <c r="G246">
        <v>1</v>
      </c>
      <c r="H246">
        <v>1</v>
      </c>
      <c r="I246" t="s">
        <v>1149</v>
      </c>
      <c r="J246" t="s">
        <v>6</v>
      </c>
      <c r="K246" t="s">
        <v>1150</v>
      </c>
      <c r="L246">
        <v>1191</v>
      </c>
      <c r="N246">
        <v>1013</v>
      </c>
      <c r="O246" t="s">
        <v>1148</v>
      </c>
      <c r="P246" t="s">
        <v>1148</v>
      </c>
      <c r="Q246">
        <v>1</v>
      </c>
      <c r="X246">
        <v>0.16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2</v>
      </c>
      <c r="AF246" t="s">
        <v>6</v>
      </c>
      <c r="AG246">
        <v>0.16</v>
      </c>
      <c r="AH246">
        <v>2</v>
      </c>
      <c r="AI246">
        <v>16631677</v>
      </c>
      <c r="AJ246">
        <v>237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ROW(Source!A101)</f>
        <v>101</v>
      </c>
      <c r="B247">
        <v>16631691</v>
      </c>
      <c r="C247">
        <v>16631675</v>
      </c>
      <c r="D247">
        <v>15247974</v>
      </c>
      <c r="E247">
        <v>1</v>
      </c>
      <c r="F247">
        <v>1</v>
      </c>
      <c r="G247">
        <v>1</v>
      </c>
      <c r="H247">
        <v>2</v>
      </c>
      <c r="I247" t="s">
        <v>1151</v>
      </c>
      <c r="J247" t="s">
        <v>1152</v>
      </c>
      <c r="K247" t="s">
        <v>1153</v>
      </c>
      <c r="L247">
        <v>1368</v>
      </c>
      <c r="N247">
        <v>1011</v>
      </c>
      <c r="O247" t="s">
        <v>1154</v>
      </c>
      <c r="P247" t="s">
        <v>1154</v>
      </c>
      <c r="Q247">
        <v>1</v>
      </c>
      <c r="X247">
        <v>0.1</v>
      </c>
      <c r="Y247">
        <v>0</v>
      </c>
      <c r="Z247">
        <v>31.26</v>
      </c>
      <c r="AA247">
        <v>13.5</v>
      </c>
      <c r="AB247">
        <v>0</v>
      </c>
      <c r="AC247">
        <v>0</v>
      </c>
      <c r="AD247">
        <v>1</v>
      </c>
      <c r="AE247">
        <v>0</v>
      </c>
      <c r="AF247" t="s">
        <v>6</v>
      </c>
      <c r="AG247">
        <v>0.1</v>
      </c>
      <c r="AH247">
        <v>2</v>
      </c>
      <c r="AI247">
        <v>16631678</v>
      </c>
      <c r="AJ247">
        <v>238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ROW(Source!A101)</f>
        <v>101</v>
      </c>
      <c r="B248">
        <v>16631692</v>
      </c>
      <c r="C248">
        <v>16631675</v>
      </c>
      <c r="D248">
        <v>15249073</v>
      </c>
      <c r="E248">
        <v>1</v>
      </c>
      <c r="F248">
        <v>1</v>
      </c>
      <c r="G248">
        <v>1</v>
      </c>
      <c r="H248">
        <v>2</v>
      </c>
      <c r="I248" t="s">
        <v>1157</v>
      </c>
      <c r="J248" t="s">
        <v>1158</v>
      </c>
      <c r="K248" t="s">
        <v>1159</v>
      </c>
      <c r="L248">
        <v>1368</v>
      </c>
      <c r="N248">
        <v>1011</v>
      </c>
      <c r="O248" t="s">
        <v>1154</v>
      </c>
      <c r="P248" t="s">
        <v>1154</v>
      </c>
      <c r="Q248">
        <v>1</v>
      </c>
      <c r="X248">
        <v>0.06</v>
      </c>
      <c r="Y248">
        <v>0</v>
      </c>
      <c r="Z248">
        <v>65.709999999999994</v>
      </c>
      <c r="AA248">
        <v>11.6</v>
      </c>
      <c r="AB248">
        <v>0</v>
      </c>
      <c r="AC248">
        <v>0</v>
      </c>
      <c r="AD248">
        <v>1</v>
      </c>
      <c r="AE248">
        <v>0</v>
      </c>
      <c r="AF248" t="s">
        <v>6</v>
      </c>
      <c r="AG248">
        <v>0.06</v>
      </c>
      <c r="AH248">
        <v>2</v>
      </c>
      <c r="AI248">
        <v>16631679</v>
      </c>
      <c r="AJ248">
        <v>239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ROW(Source!A101)</f>
        <v>101</v>
      </c>
      <c r="B249">
        <v>16631693</v>
      </c>
      <c r="C249">
        <v>16631675</v>
      </c>
      <c r="D249">
        <v>15167286</v>
      </c>
      <c r="E249">
        <v>1</v>
      </c>
      <c r="F249">
        <v>1</v>
      </c>
      <c r="G249">
        <v>1</v>
      </c>
      <c r="H249">
        <v>3</v>
      </c>
      <c r="I249" t="s">
        <v>1265</v>
      </c>
      <c r="J249" t="s">
        <v>1266</v>
      </c>
      <c r="K249" t="s">
        <v>1267</v>
      </c>
      <c r="L249">
        <v>1339</v>
      </c>
      <c r="N249">
        <v>1007</v>
      </c>
      <c r="O249" t="s">
        <v>203</v>
      </c>
      <c r="P249" t="s">
        <v>203</v>
      </c>
      <c r="Q249">
        <v>1</v>
      </c>
      <c r="X249">
        <v>0.24</v>
      </c>
      <c r="Y249">
        <v>2.44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0</v>
      </c>
      <c r="AF249" t="s">
        <v>6</v>
      </c>
      <c r="AG249">
        <v>0.24</v>
      </c>
      <c r="AH249">
        <v>2</v>
      </c>
      <c r="AI249">
        <v>16631680</v>
      </c>
      <c r="AJ249">
        <v>240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ROW(Source!A101)</f>
        <v>101</v>
      </c>
      <c r="B250">
        <v>16631694</v>
      </c>
      <c r="C250">
        <v>16631675</v>
      </c>
      <c r="D250">
        <v>15167766</v>
      </c>
      <c r="E250">
        <v>1</v>
      </c>
      <c r="F250">
        <v>1</v>
      </c>
      <c r="G250">
        <v>1</v>
      </c>
      <c r="H250">
        <v>3</v>
      </c>
      <c r="I250" t="s">
        <v>1378</v>
      </c>
      <c r="J250" t="s">
        <v>1379</v>
      </c>
      <c r="K250" t="s">
        <v>1380</v>
      </c>
      <c r="L250">
        <v>1354</v>
      </c>
      <c r="N250">
        <v>1010</v>
      </c>
      <c r="O250" t="s">
        <v>132</v>
      </c>
      <c r="P250" t="s">
        <v>132</v>
      </c>
      <c r="Q250">
        <v>1</v>
      </c>
      <c r="X250">
        <v>5.0999999999999996</v>
      </c>
      <c r="Y250">
        <v>4.5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6</v>
      </c>
      <c r="AG250">
        <v>5.0999999999999996</v>
      </c>
      <c r="AH250">
        <v>2</v>
      </c>
      <c r="AI250">
        <v>16631681</v>
      </c>
      <c r="AJ250">
        <v>241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ROW(Source!A101)</f>
        <v>101</v>
      </c>
      <c r="B251">
        <v>16631695</v>
      </c>
      <c r="C251">
        <v>16631675</v>
      </c>
      <c r="D251">
        <v>15168015</v>
      </c>
      <c r="E251">
        <v>1</v>
      </c>
      <c r="F251">
        <v>1</v>
      </c>
      <c r="G251">
        <v>1</v>
      </c>
      <c r="H251">
        <v>3</v>
      </c>
      <c r="I251" t="s">
        <v>1381</v>
      </c>
      <c r="J251" t="s">
        <v>1382</v>
      </c>
      <c r="K251" t="s">
        <v>1383</v>
      </c>
      <c r="L251">
        <v>1348</v>
      </c>
      <c r="N251">
        <v>1009</v>
      </c>
      <c r="O251" t="s">
        <v>98</v>
      </c>
      <c r="P251" t="s">
        <v>98</v>
      </c>
      <c r="Q251">
        <v>1000</v>
      </c>
      <c r="X251">
        <v>2.5499999999999998E-2</v>
      </c>
      <c r="Y251">
        <v>586.47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6</v>
      </c>
      <c r="AG251">
        <v>2.5499999999999998E-2</v>
      </c>
      <c r="AH251">
        <v>2</v>
      </c>
      <c r="AI251">
        <v>16631682</v>
      </c>
      <c r="AJ251">
        <v>242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ROW(Source!A101)</f>
        <v>101</v>
      </c>
      <c r="B252">
        <v>16631696</v>
      </c>
      <c r="C252">
        <v>16631675</v>
      </c>
      <c r="D252">
        <v>15170682</v>
      </c>
      <c r="E252">
        <v>1</v>
      </c>
      <c r="F252">
        <v>1</v>
      </c>
      <c r="G252">
        <v>1</v>
      </c>
      <c r="H252">
        <v>3</v>
      </c>
      <c r="I252" t="s">
        <v>1233</v>
      </c>
      <c r="J252" t="s">
        <v>1234</v>
      </c>
      <c r="K252" t="s">
        <v>1235</v>
      </c>
      <c r="L252">
        <v>1327</v>
      </c>
      <c r="N252">
        <v>1005</v>
      </c>
      <c r="O252" t="s">
        <v>87</v>
      </c>
      <c r="P252" t="s">
        <v>87</v>
      </c>
      <c r="Q252">
        <v>1</v>
      </c>
      <c r="X252">
        <v>1.6</v>
      </c>
      <c r="Y252">
        <v>72.319999999999993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6</v>
      </c>
      <c r="AG252">
        <v>1.6</v>
      </c>
      <c r="AH252">
        <v>2</v>
      </c>
      <c r="AI252">
        <v>16631683</v>
      </c>
      <c r="AJ252">
        <v>243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ROW(Source!A101)</f>
        <v>101</v>
      </c>
      <c r="B253">
        <v>16631697</v>
      </c>
      <c r="C253">
        <v>16631675</v>
      </c>
      <c r="D253">
        <v>15171907</v>
      </c>
      <c r="E253">
        <v>1</v>
      </c>
      <c r="F253">
        <v>1</v>
      </c>
      <c r="G253">
        <v>1</v>
      </c>
      <c r="H253">
        <v>3</v>
      </c>
      <c r="I253" t="s">
        <v>1210</v>
      </c>
      <c r="J253" t="s">
        <v>1211</v>
      </c>
      <c r="K253" t="s">
        <v>1212</v>
      </c>
      <c r="L253">
        <v>1339</v>
      </c>
      <c r="N253">
        <v>1007</v>
      </c>
      <c r="O253" t="s">
        <v>203</v>
      </c>
      <c r="P253" t="s">
        <v>203</v>
      </c>
      <c r="Q253">
        <v>1</v>
      </c>
      <c r="X253">
        <v>4.4000000000000003E-3</v>
      </c>
      <c r="Y253">
        <v>74.58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6</v>
      </c>
      <c r="AG253">
        <v>4.4000000000000003E-3</v>
      </c>
      <c r="AH253">
        <v>2</v>
      </c>
      <c r="AI253">
        <v>16631684</v>
      </c>
      <c r="AJ253">
        <v>244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ROW(Source!A101)</f>
        <v>101</v>
      </c>
      <c r="B254">
        <v>16631698</v>
      </c>
      <c r="C254">
        <v>16631675</v>
      </c>
      <c r="D254">
        <v>15202490</v>
      </c>
      <c r="E254">
        <v>1</v>
      </c>
      <c r="F254">
        <v>1</v>
      </c>
      <c r="G254">
        <v>1</v>
      </c>
      <c r="H254">
        <v>3</v>
      </c>
      <c r="I254" t="s">
        <v>1384</v>
      </c>
      <c r="J254" t="s">
        <v>1385</v>
      </c>
      <c r="K254" t="s">
        <v>1386</v>
      </c>
      <c r="L254">
        <v>1346</v>
      </c>
      <c r="N254">
        <v>1009</v>
      </c>
      <c r="O254" t="s">
        <v>102</v>
      </c>
      <c r="P254" t="s">
        <v>102</v>
      </c>
      <c r="Q254">
        <v>1</v>
      </c>
      <c r="X254">
        <v>4.0199999999999996</v>
      </c>
      <c r="Y254">
        <v>8.09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6</v>
      </c>
      <c r="AG254">
        <v>4.0199999999999996</v>
      </c>
      <c r="AH254">
        <v>2</v>
      </c>
      <c r="AI254">
        <v>16631685</v>
      </c>
      <c r="AJ254">
        <v>245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ROW(Source!A101)</f>
        <v>101</v>
      </c>
      <c r="B255">
        <v>16631699</v>
      </c>
      <c r="C255">
        <v>16631675</v>
      </c>
      <c r="D255">
        <v>15163054</v>
      </c>
      <c r="E255">
        <v>17</v>
      </c>
      <c r="F255">
        <v>1</v>
      </c>
      <c r="G255">
        <v>1</v>
      </c>
      <c r="H255">
        <v>3</v>
      </c>
      <c r="I255" t="s">
        <v>346</v>
      </c>
      <c r="J255" t="s">
        <v>6</v>
      </c>
      <c r="K255" t="s">
        <v>347</v>
      </c>
      <c r="L255">
        <v>1348</v>
      </c>
      <c r="N255">
        <v>1009</v>
      </c>
      <c r="O255" t="s">
        <v>98</v>
      </c>
      <c r="P255" t="s">
        <v>98</v>
      </c>
      <c r="Q255">
        <v>1000</v>
      </c>
      <c r="X255">
        <v>7.0999999999999994E-2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 t="s">
        <v>6</v>
      </c>
      <c r="AG255">
        <v>7.0999999999999994E-2</v>
      </c>
      <c r="AH255">
        <v>2</v>
      </c>
      <c r="AI255">
        <v>16631686</v>
      </c>
      <c r="AJ255">
        <v>246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ROW(Source!A101)</f>
        <v>101</v>
      </c>
      <c r="B256">
        <v>16631700</v>
      </c>
      <c r="C256">
        <v>16631675</v>
      </c>
      <c r="D256">
        <v>15204729</v>
      </c>
      <c r="E256">
        <v>1</v>
      </c>
      <c r="F256">
        <v>1</v>
      </c>
      <c r="G256">
        <v>1</v>
      </c>
      <c r="H256">
        <v>3</v>
      </c>
      <c r="I256" t="s">
        <v>1236</v>
      </c>
      <c r="J256" t="s">
        <v>1237</v>
      </c>
      <c r="K256" t="s">
        <v>1238</v>
      </c>
      <c r="L256">
        <v>1348</v>
      </c>
      <c r="N256">
        <v>1009</v>
      </c>
      <c r="O256" t="s">
        <v>98</v>
      </c>
      <c r="P256" t="s">
        <v>98</v>
      </c>
      <c r="Q256">
        <v>1000</v>
      </c>
      <c r="X256">
        <v>7.1999999999999995E-2</v>
      </c>
      <c r="Y256">
        <v>4294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6</v>
      </c>
      <c r="AG256">
        <v>7.1999999999999995E-2</v>
      </c>
      <c r="AH256">
        <v>2</v>
      </c>
      <c r="AI256">
        <v>16631687</v>
      </c>
      <c r="AJ256">
        <v>248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ROW(Source!A104)</f>
        <v>104</v>
      </c>
      <c r="B257">
        <v>16633501</v>
      </c>
      <c r="C257">
        <v>16633500</v>
      </c>
      <c r="D257">
        <v>15435099</v>
      </c>
      <c r="E257">
        <v>1</v>
      </c>
      <c r="F257">
        <v>1</v>
      </c>
      <c r="G257">
        <v>1</v>
      </c>
      <c r="H257">
        <v>1</v>
      </c>
      <c r="I257" t="s">
        <v>1376</v>
      </c>
      <c r="J257" t="s">
        <v>6</v>
      </c>
      <c r="K257" t="s">
        <v>1377</v>
      </c>
      <c r="L257">
        <v>1191</v>
      </c>
      <c r="N257">
        <v>1013</v>
      </c>
      <c r="O257" t="s">
        <v>1148</v>
      </c>
      <c r="P257" t="s">
        <v>1148</v>
      </c>
      <c r="Q257">
        <v>1</v>
      </c>
      <c r="X257">
        <v>33.78</v>
      </c>
      <c r="Y257">
        <v>0</v>
      </c>
      <c r="Z257">
        <v>0</v>
      </c>
      <c r="AA257">
        <v>0</v>
      </c>
      <c r="AB257">
        <v>8.64</v>
      </c>
      <c r="AC257">
        <v>0</v>
      </c>
      <c r="AD257">
        <v>1</v>
      </c>
      <c r="AE257">
        <v>1</v>
      </c>
      <c r="AF257" t="s">
        <v>6</v>
      </c>
      <c r="AG257">
        <v>33.78</v>
      </c>
      <c r="AH257">
        <v>2</v>
      </c>
      <c r="AI257">
        <v>16633501</v>
      </c>
      <c r="AJ257">
        <v>249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ROW(Source!A104)</f>
        <v>104</v>
      </c>
      <c r="B258">
        <v>16633502</v>
      </c>
      <c r="C258">
        <v>16633500</v>
      </c>
      <c r="D258">
        <v>15430395</v>
      </c>
      <c r="E258">
        <v>1</v>
      </c>
      <c r="F258">
        <v>1</v>
      </c>
      <c r="G258">
        <v>1</v>
      </c>
      <c r="H258">
        <v>1</v>
      </c>
      <c r="I258" t="s">
        <v>1149</v>
      </c>
      <c r="J258" t="s">
        <v>6</v>
      </c>
      <c r="K258" t="s">
        <v>1150</v>
      </c>
      <c r="L258">
        <v>1191</v>
      </c>
      <c r="N258">
        <v>1013</v>
      </c>
      <c r="O258" t="s">
        <v>1148</v>
      </c>
      <c r="P258" t="s">
        <v>1148</v>
      </c>
      <c r="Q258">
        <v>1</v>
      </c>
      <c r="X258">
        <v>0.16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2</v>
      </c>
      <c r="AF258" t="s">
        <v>6</v>
      </c>
      <c r="AG258">
        <v>0.16</v>
      </c>
      <c r="AH258">
        <v>2</v>
      </c>
      <c r="AI258">
        <v>16633502</v>
      </c>
      <c r="AJ258">
        <v>250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ROW(Source!A104)</f>
        <v>104</v>
      </c>
      <c r="B259">
        <v>16633503</v>
      </c>
      <c r="C259">
        <v>16633500</v>
      </c>
      <c r="D259">
        <v>15247974</v>
      </c>
      <c r="E259">
        <v>1</v>
      </c>
      <c r="F259">
        <v>1</v>
      </c>
      <c r="G259">
        <v>1</v>
      </c>
      <c r="H259">
        <v>2</v>
      </c>
      <c r="I259" t="s">
        <v>1151</v>
      </c>
      <c r="J259" t="s">
        <v>1152</v>
      </c>
      <c r="K259" t="s">
        <v>1153</v>
      </c>
      <c r="L259">
        <v>1368</v>
      </c>
      <c r="N259">
        <v>1011</v>
      </c>
      <c r="O259" t="s">
        <v>1154</v>
      </c>
      <c r="P259" t="s">
        <v>1154</v>
      </c>
      <c r="Q259">
        <v>1</v>
      </c>
      <c r="X259">
        <v>0.1</v>
      </c>
      <c r="Y259">
        <v>0</v>
      </c>
      <c r="Z259">
        <v>31.26</v>
      </c>
      <c r="AA259">
        <v>13.5</v>
      </c>
      <c r="AB259">
        <v>0</v>
      </c>
      <c r="AC259">
        <v>0</v>
      </c>
      <c r="AD259">
        <v>1</v>
      </c>
      <c r="AE259">
        <v>0</v>
      </c>
      <c r="AF259" t="s">
        <v>6</v>
      </c>
      <c r="AG259">
        <v>0.1</v>
      </c>
      <c r="AH259">
        <v>2</v>
      </c>
      <c r="AI259">
        <v>16633503</v>
      </c>
      <c r="AJ259">
        <v>251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ROW(Source!A104)</f>
        <v>104</v>
      </c>
      <c r="B260">
        <v>16633504</v>
      </c>
      <c r="C260">
        <v>16633500</v>
      </c>
      <c r="D260">
        <v>15249073</v>
      </c>
      <c r="E260">
        <v>1</v>
      </c>
      <c r="F260">
        <v>1</v>
      </c>
      <c r="G260">
        <v>1</v>
      </c>
      <c r="H260">
        <v>2</v>
      </c>
      <c r="I260" t="s">
        <v>1157</v>
      </c>
      <c r="J260" t="s">
        <v>1158</v>
      </c>
      <c r="K260" t="s">
        <v>1159</v>
      </c>
      <c r="L260">
        <v>1368</v>
      </c>
      <c r="N260">
        <v>1011</v>
      </c>
      <c r="O260" t="s">
        <v>1154</v>
      </c>
      <c r="P260" t="s">
        <v>1154</v>
      </c>
      <c r="Q260">
        <v>1</v>
      </c>
      <c r="X260">
        <v>0.06</v>
      </c>
      <c r="Y260">
        <v>0</v>
      </c>
      <c r="Z260">
        <v>65.709999999999994</v>
      </c>
      <c r="AA260">
        <v>11.6</v>
      </c>
      <c r="AB260">
        <v>0</v>
      </c>
      <c r="AC260">
        <v>0</v>
      </c>
      <c r="AD260">
        <v>1</v>
      </c>
      <c r="AE260">
        <v>0</v>
      </c>
      <c r="AF260" t="s">
        <v>6</v>
      </c>
      <c r="AG260">
        <v>0.06</v>
      </c>
      <c r="AH260">
        <v>2</v>
      </c>
      <c r="AI260">
        <v>16633504</v>
      </c>
      <c r="AJ260">
        <v>252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ROW(Source!A104)</f>
        <v>104</v>
      </c>
      <c r="B261">
        <v>16633505</v>
      </c>
      <c r="C261">
        <v>16633500</v>
      </c>
      <c r="D261">
        <v>15167286</v>
      </c>
      <c r="E261">
        <v>1</v>
      </c>
      <c r="F261">
        <v>1</v>
      </c>
      <c r="G261">
        <v>1</v>
      </c>
      <c r="H261">
        <v>3</v>
      </c>
      <c r="I261" t="s">
        <v>1265</v>
      </c>
      <c r="J261" t="s">
        <v>1266</v>
      </c>
      <c r="K261" t="s">
        <v>1267</v>
      </c>
      <c r="L261">
        <v>1339</v>
      </c>
      <c r="N261">
        <v>1007</v>
      </c>
      <c r="O261" t="s">
        <v>203</v>
      </c>
      <c r="P261" t="s">
        <v>203</v>
      </c>
      <c r="Q261">
        <v>1</v>
      </c>
      <c r="X261">
        <v>0.24</v>
      </c>
      <c r="Y261">
        <v>2.44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6</v>
      </c>
      <c r="AG261">
        <v>0.24</v>
      </c>
      <c r="AH261">
        <v>2</v>
      </c>
      <c r="AI261">
        <v>16633505</v>
      </c>
      <c r="AJ261">
        <v>253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ROW(Source!A104)</f>
        <v>104</v>
      </c>
      <c r="B262">
        <v>16633506</v>
      </c>
      <c r="C262">
        <v>16633500</v>
      </c>
      <c r="D262">
        <v>15167766</v>
      </c>
      <c r="E262">
        <v>1</v>
      </c>
      <c r="F262">
        <v>1</v>
      </c>
      <c r="G262">
        <v>1</v>
      </c>
      <c r="H262">
        <v>3</v>
      </c>
      <c r="I262" t="s">
        <v>1378</v>
      </c>
      <c r="J262" t="s">
        <v>1379</v>
      </c>
      <c r="K262" t="s">
        <v>1380</v>
      </c>
      <c r="L262">
        <v>1354</v>
      </c>
      <c r="N262">
        <v>1010</v>
      </c>
      <c r="O262" t="s">
        <v>132</v>
      </c>
      <c r="P262" t="s">
        <v>132</v>
      </c>
      <c r="Q262">
        <v>1</v>
      </c>
      <c r="X262">
        <v>5.0999999999999996</v>
      </c>
      <c r="Y262">
        <v>4.5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6</v>
      </c>
      <c r="AG262">
        <v>5.0999999999999996</v>
      </c>
      <c r="AH262">
        <v>2</v>
      </c>
      <c r="AI262">
        <v>16633506</v>
      </c>
      <c r="AJ262">
        <v>254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ROW(Source!A104)</f>
        <v>104</v>
      </c>
      <c r="B263">
        <v>16633507</v>
      </c>
      <c r="C263">
        <v>16633500</v>
      </c>
      <c r="D263">
        <v>15168015</v>
      </c>
      <c r="E263">
        <v>1</v>
      </c>
      <c r="F263">
        <v>1</v>
      </c>
      <c r="G263">
        <v>1</v>
      </c>
      <c r="H263">
        <v>3</v>
      </c>
      <c r="I263" t="s">
        <v>1381</v>
      </c>
      <c r="J263" t="s">
        <v>1382</v>
      </c>
      <c r="K263" t="s">
        <v>1383</v>
      </c>
      <c r="L263">
        <v>1348</v>
      </c>
      <c r="N263">
        <v>1009</v>
      </c>
      <c r="O263" t="s">
        <v>98</v>
      </c>
      <c r="P263" t="s">
        <v>98</v>
      </c>
      <c r="Q263">
        <v>1000</v>
      </c>
      <c r="X263">
        <v>2.5499999999999998E-2</v>
      </c>
      <c r="Y263">
        <v>586.47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0</v>
      </c>
      <c r="AF263" t="s">
        <v>6</v>
      </c>
      <c r="AG263">
        <v>2.5499999999999998E-2</v>
      </c>
      <c r="AH263">
        <v>2</v>
      </c>
      <c r="AI263">
        <v>16633507</v>
      </c>
      <c r="AJ263">
        <v>255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ROW(Source!A104)</f>
        <v>104</v>
      </c>
      <c r="B264">
        <v>16633508</v>
      </c>
      <c r="C264">
        <v>16633500</v>
      </c>
      <c r="D264">
        <v>15170682</v>
      </c>
      <c r="E264">
        <v>1</v>
      </c>
      <c r="F264">
        <v>1</v>
      </c>
      <c r="G264">
        <v>1</v>
      </c>
      <c r="H264">
        <v>3</v>
      </c>
      <c r="I264" t="s">
        <v>1233</v>
      </c>
      <c r="J264" t="s">
        <v>1234</v>
      </c>
      <c r="K264" t="s">
        <v>1235</v>
      </c>
      <c r="L264">
        <v>1327</v>
      </c>
      <c r="N264">
        <v>1005</v>
      </c>
      <c r="O264" t="s">
        <v>87</v>
      </c>
      <c r="P264" t="s">
        <v>87</v>
      </c>
      <c r="Q264">
        <v>1</v>
      </c>
      <c r="X264">
        <v>1.6</v>
      </c>
      <c r="Y264">
        <v>72.319999999999993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6</v>
      </c>
      <c r="AG264">
        <v>1.6</v>
      </c>
      <c r="AH264">
        <v>2</v>
      </c>
      <c r="AI264">
        <v>16633508</v>
      </c>
      <c r="AJ264">
        <v>256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ROW(Source!A104)</f>
        <v>104</v>
      </c>
      <c r="B265">
        <v>16633509</v>
      </c>
      <c r="C265">
        <v>16633500</v>
      </c>
      <c r="D265">
        <v>15171907</v>
      </c>
      <c r="E265">
        <v>1</v>
      </c>
      <c r="F265">
        <v>1</v>
      </c>
      <c r="G265">
        <v>1</v>
      </c>
      <c r="H265">
        <v>3</v>
      </c>
      <c r="I265" t="s">
        <v>1210</v>
      </c>
      <c r="J265" t="s">
        <v>1211</v>
      </c>
      <c r="K265" t="s">
        <v>1212</v>
      </c>
      <c r="L265">
        <v>1339</v>
      </c>
      <c r="N265">
        <v>1007</v>
      </c>
      <c r="O265" t="s">
        <v>203</v>
      </c>
      <c r="P265" t="s">
        <v>203</v>
      </c>
      <c r="Q265">
        <v>1</v>
      </c>
      <c r="X265">
        <v>4.4000000000000003E-3</v>
      </c>
      <c r="Y265">
        <v>74.58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6</v>
      </c>
      <c r="AG265">
        <v>4.4000000000000003E-3</v>
      </c>
      <c r="AH265">
        <v>2</v>
      </c>
      <c r="AI265">
        <v>16633509</v>
      </c>
      <c r="AJ265">
        <v>257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ROW(Source!A104)</f>
        <v>104</v>
      </c>
      <c r="B266">
        <v>16633510</v>
      </c>
      <c r="C266">
        <v>16633500</v>
      </c>
      <c r="D266">
        <v>15202490</v>
      </c>
      <c r="E266">
        <v>1</v>
      </c>
      <c r="F266">
        <v>1</v>
      </c>
      <c r="G266">
        <v>1</v>
      </c>
      <c r="H266">
        <v>3</v>
      </c>
      <c r="I266" t="s">
        <v>1384</v>
      </c>
      <c r="J266" t="s">
        <v>1385</v>
      </c>
      <c r="K266" t="s">
        <v>1386</v>
      </c>
      <c r="L266">
        <v>1346</v>
      </c>
      <c r="N266">
        <v>1009</v>
      </c>
      <c r="O266" t="s">
        <v>102</v>
      </c>
      <c r="P266" t="s">
        <v>102</v>
      </c>
      <c r="Q266">
        <v>1</v>
      </c>
      <c r="X266">
        <v>4.0199999999999996</v>
      </c>
      <c r="Y266">
        <v>8.09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6</v>
      </c>
      <c r="AG266">
        <v>4.0199999999999996</v>
      </c>
      <c r="AH266">
        <v>2</v>
      </c>
      <c r="AI266">
        <v>16633510</v>
      </c>
      <c r="AJ266">
        <v>258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ROW(Source!A104)</f>
        <v>104</v>
      </c>
      <c r="B267">
        <v>16633511</v>
      </c>
      <c r="C267">
        <v>16633500</v>
      </c>
      <c r="D267">
        <v>15163054</v>
      </c>
      <c r="E267">
        <v>17</v>
      </c>
      <c r="F267">
        <v>1</v>
      </c>
      <c r="G267">
        <v>1</v>
      </c>
      <c r="H267">
        <v>3</v>
      </c>
      <c r="I267" t="s">
        <v>346</v>
      </c>
      <c r="J267" t="s">
        <v>6</v>
      </c>
      <c r="K267" t="s">
        <v>347</v>
      </c>
      <c r="L267">
        <v>1348</v>
      </c>
      <c r="N267">
        <v>1009</v>
      </c>
      <c r="O267" t="s">
        <v>98</v>
      </c>
      <c r="P267" t="s">
        <v>98</v>
      </c>
      <c r="Q267">
        <v>1000</v>
      </c>
      <c r="X267">
        <v>7.0999999999999994E-2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 t="s">
        <v>6</v>
      </c>
      <c r="AG267">
        <v>7.0999999999999994E-2</v>
      </c>
      <c r="AH267">
        <v>2</v>
      </c>
      <c r="AI267">
        <v>16633511</v>
      </c>
      <c r="AJ267">
        <v>259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ROW(Source!A104)</f>
        <v>104</v>
      </c>
      <c r="B268">
        <v>16633512</v>
      </c>
      <c r="C268">
        <v>16633500</v>
      </c>
      <c r="D268">
        <v>15204729</v>
      </c>
      <c r="E268">
        <v>1</v>
      </c>
      <c r="F268">
        <v>1</v>
      </c>
      <c r="G268">
        <v>1</v>
      </c>
      <c r="H268">
        <v>3</v>
      </c>
      <c r="I268" t="s">
        <v>1236</v>
      </c>
      <c r="J268" t="s">
        <v>1237</v>
      </c>
      <c r="K268" t="s">
        <v>1238</v>
      </c>
      <c r="L268">
        <v>1348</v>
      </c>
      <c r="N268">
        <v>1009</v>
      </c>
      <c r="O268" t="s">
        <v>98</v>
      </c>
      <c r="P268" t="s">
        <v>98</v>
      </c>
      <c r="Q268">
        <v>1000</v>
      </c>
      <c r="X268">
        <v>7.5999999999999998E-2</v>
      </c>
      <c r="Y268">
        <v>4294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6</v>
      </c>
      <c r="AG268">
        <v>7.5999999999999998E-2</v>
      </c>
      <c r="AH268">
        <v>2</v>
      </c>
      <c r="AI268">
        <v>16633512</v>
      </c>
      <c r="AJ268">
        <v>261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ROW(Source!A107)</f>
        <v>107</v>
      </c>
      <c r="B269">
        <v>16631715</v>
      </c>
      <c r="C269">
        <v>16631703</v>
      </c>
      <c r="D269">
        <v>15430497</v>
      </c>
      <c r="E269">
        <v>1</v>
      </c>
      <c r="F269">
        <v>1</v>
      </c>
      <c r="G269">
        <v>1</v>
      </c>
      <c r="H269">
        <v>1</v>
      </c>
      <c r="I269" t="s">
        <v>1215</v>
      </c>
      <c r="J269" t="s">
        <v>6</v>
      </c>
      <c r="K269" t="s">
        <v>1216</v>
      </c>
      <c r="L269">
        <v>1191</v>
      </c>
      <c r="N269">
        <v>1013</v>
      </c>
      <c r="O269" t="s">
        <v>1148</v>
      </c>
      <c r="P269" t="s">
        <v>1148</v>
      </c>
      <c r="Q269">
        <v>1</v>
      </c>
      <c r="X269">
        <v>33.630000000000003</v>
      </c>
      <c r="Y269">
        <v>0</v>
      </c>
      <c r="Z269">
        <v>0</v>
      </c>
      <c r="AA269">
        <v>0</v>
      </c>
      <c r="AB269">
        <v>8.86</v>
      </c>
      <c r="AC269">
        <v>0</v>
      </c>
      <c r="AD269">
        <v>1</v>
      </c>
      <c r="AE269">
        <v>1</v>
      </c>
      <c r="AF269" t="s">
        <v>82</v>
      </c>
      <c r="AG269">
        <v>38.674500000000002</v>
      </c>
      <c r="AH269">
        <v>2</v>
      </c>
      <c r="AI269">
        <v>16631704</v>
      </c>
      <c r="AJ269">
        <v>262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ROW(Source!A107)</f>
        <v>107</v>
      </c>
      <c r="B270">
        <v>16631716</v>
      </c>
      <c r="C270">
        <v>16631703</v>
      </c>
      <c r="D270">
        <v>15430395</v>
      </c>
      <c r="E270">
        <v>1</v>
      </c>
      <c r="F270">
        <v>1</v>
      </c>
      <c r="G270">
        <v>1</v>
      </c>
      <c r="H270">
        <v>1</v>
      </c>
      <c r="I270" t="s">
        <v>1149</v>
      </c>
      <c r="J270" t="s">
        <v>6</v>
      </c>
      <c r="K270" t="s">
        <v>1150</v>
      </c>
      <c r="L270">
        <v>1191</v>
      </c>
      <c r="N270">
        <v>1013</v>
      </c>
      <c r="O270" t="s">
        <v>1148</v>
      </c>
      <c r="P270" t="s">
        <v>1148</v>
      </c>
      <c r="Q270">
        <v>1</v>
      </c>
      <c r="X270">
        <v>0.02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2</v>
      </c>
      <c r="AF270" t="s">
        <v>81</v>
      </c>
      <c r="AG270">
        <v>2.5000000000000001E-2</v>
      </c>
      <c r="AH270">
        <v>2</v>
      </c>
      <c r="AI270">
        <v>16631705</v>
      </c>
      <c r="AJ270">
        <v>263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ROW(Source!A107)</f>
        <v>107</v>
      </c>
      <c r="B271">
        <v>16631717</v>
      </c>
      <c r="C271">
        <v>16631703</v>
      </c>
      <c r="D271">
        <v>15247974</v>
      </c>
      <c r="E271">
        <v>1</v>
      </c>
      <c r="F271">
        <v>1</v>
      </c>
      <c r="G271">
        <v>1</v>
      </c>
      <c r="H271">
        <v>2</v>
      </c>
      <c r="I271" t="s">
        <v>1151</v>
      </c>
      <c r="J271" t="s">
        <v>1152</v>
      </c>
      <c r="K271" t="s">
        <v>1153</v>
      </c>
      <c r="L271">
        <v>1368</v>
      </c>
      <c r="N271">
        <v>1011</v>
      </c>
      <c r="O271" t="s">
        <v>1154</v>
      </c>
      <c r="P271" t="s">
        <v>1154</v>
      </c>
      <c r="Q271">
        <v>1</v>
      </c>
      <c r="X271">
        <v>0.01</v>
      </c>
      <c r="Y271">
        <v>0</v>
      </c>
      <c r="Z271">
        <v>31.26</v>
      </c>
      <c r="AA271">
        <v>13.5</v>
      </c>
      <c r="AB271">
        <v>0</v>
      </c>
      <c r="AC271">
        <v>0</v>
      </c>
      <c r="AD271">
        <v>1</v>
      </c>
      <c r="AE271">
        <v>0</v>
      </c>
      <c r="AF271" t="s">
        <v>81</v>
      </c>
      <c r="AG271">
        <v>1.2500000000000001E-2</v>
      </c>
      <c r="AH271">
        <v>2</v>
      </c>
      <c r="AI271">
        <v>16631706</v>
      </c>
      <c r="AJ271">
        <v>264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ROW(Source!A107)</f>
        <v>107</v>
      </c>
      <c r="B272">
        <v>16631718</v>
      </c>
      <c r="C272">
        <v>16631703</v>
      </c>
      <c r="D272">
        <v>15249073</v>
      </c>
      <c r="E272">
        <v>1</v>
      </c>
      <c r="F272">
        <v>1</v>
      </c>
      <c r="G272">
        <v>1</v>
      </c>
      <c r="H272">
        <v>2</v>
      </c>
      <c r="I272" t="s">
        <v>1157</v>
      </c>
      <c r="J272" t="s">
        <v>1158</v>
      </c>
      <c r="K272" t="s">
        <v>1159</v>
      </c>
      <c r="L272">
        <v>1368</v>
      </c>
      <c r="N272">
        <v>1011</v>
      </c>
      <c r="O272" t="s">
        <v>1154</v>
      </c>
      <c r="P272" t="s">
        <v>1154</v>
      </c>
      <c r="Q272">
        <v>1</v>
      </c>
      <c r="X272">
        <v>0.01</v>
      </c>
      <c r="Y272">
        <v>0</v>
      </c>
      <c r="Z272">
        <v>65.709999999999994</v>
      </c>
      <c r="AA272">
        <v>11.6</v>
      </c>
      <c r="AB272">
        <v>0</v>
      </c>
      <c r="AC272">
        <v>0</v>
      </c>
      <c r="AD272">
        <v>1</v>
      </c>
      <c r="AE272">
        <v>0</v>
      </c>
      <c r="AF272" t="s">
        <v>81</v>
      </c>
      <c r="AG272">
        <v>1.2500000000000001E-2</v>
      </c>
      <c r="AH272">
        <v>2</v>
      </c>
      <c r="AI272">
        <v>16631707</v>
      </c>
      <c r="AJ272">
        <v>265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ROW(Source!A107)</f>
        <v>107</v>
      </c>
      <c r="B273">
        <v>16631719</v>
      </c>
      <c r="C273">
        <v>16631703</v>
      </c>
      <c r="D273">
        <v>15163097</v>
      </c>
      <c r="E273">
        <v>17</v>
      </c>
      <c r="F273">
        <v>1</v>
      </c>
      <c r="G273">
        <v>1</v>
      </c>
      <c r="H273">
        <v>3</v>
      </c>
      <c r="I273" t="s">
        <v>1709</v>
      </c>
      <c r="J273" t="s">
        <v>6</v>
      </c>
      <c r="K273" t="s">
        <v>1710</v>
      </c>
      <c r="L273">
        <v>1328</v>
      </c>
      <c r="N273">
        <v>1005</v>
      </c>
      <c r="O273" t="s">
        <v>18</v>
      </c>
      <c r="P273" t="s">
        <v>18</v>
      </c>
      <c r="Q273">
        <v>100</v>
      </c>
      <c r="X273">
        <v>1.1299999999999999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 t="s">
        <v>6</v>
      </c>
      <c r="AG273">
        <v>1.1299999999999999</v>
      </c>
      <c r="AH273">
        <v>3</v>
      </c>
      <c r="AI273">
        <v>-1</v>
      </c>
      <c r="AJ273" t="s">
        <v>6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ROW(Source!A107)</f>
        <v>107</v>
      </c>
      <c r="B274">
        <v>16631720</v>
      </c>
      <c r="C274">
        <v>16631703</v>
      </c>
      <c r="D274">
        <v>15167277</v>
      </c>
      <c r="E274">
        <v>1</v>
      </c>
      <c r="F274">
        <v>1</v>
      </c>
      <c r="G274">
        <v>1</v>
      </c>
      <c r="H274">
        <v>3</v>
      </c>
      <c r="I274" t="s">
        <v>1387</v>
      </c>
      <c r="J274" t="s">
        <v>1388</v>
      </c>
      <c r="K274" t="s">
        <v>1389</v>
      </c>
      <c r="L274">
        <v>1348</v>
      </c>
      <c r="N274">
        <v>1009</v>
      </c>
      <c r="O274" t="s">
        <v>98</v>
      </c>
      <c r="P274" t="s">
        <v>98</v>
      </c>
      <c r="Q274">
        <v>1000</v>
      </c>
      <c r="X274">
        <v>7.1000000000000004E-3</v>
      </c>
      <c r="Y274">
        <v>5650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6</v>
      </c>
      <c r="AG274">
        <v>7.1000000000000004E-3</v>
      </c>
      <c r="AH274">
        <v>2</v>
      </c>
      <c r="AI274">
        <v>16631709</v>
      </c>
      <c r="AJ274">
        <v>267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ROW(Source!A107)</f>
        <v>107</v>
      </c>
      <c r="B275">
        <v>16631721</v>
      </c>
      <c r="C275">
        <v>16631703</v>
      </c>
      <c r="D275">
        <v>15167286</v>
      </c>
      <c r="E275">
        <v>1</v>
      </c>
      <c r="F275">
        <v>1</v>
      </c>
      <c r="G275">
        <v>1</v>
      </c>
      <c r="H275">
        <v>3</v>
      </c>
      <c r="I275" t="s">
        <v>1265</v>
      </c>
      <c r="J275" t="s">
        <v>1266</v>
      </c>
      <c r="K275" t="s">
        <v>1267</v>
      </c>
      <c r="L275">
        <v>1339</v>
      </c>
      <c r="N275">
        <v>1007</v>
      </c>
      <c r="O275" t="s">
        <v>203</v>
      </c>
      <c r="P275" t="s">
        <v>203</v>
      </c>
      <c r="Q275">
        <v>1</v>
      </c>
      <c r="X275">
        <v>0.01</v>
      </c>
      <c r="Y275">
        <v>2.44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6</v>
      </c>
      <c r="AG275">
        <v>0.01</v>
      </c>
      <c r="AH275">
        <v>2</v>
      </c>
      <c r="AI275">
        <v>16631710</v>
      </c>
      <c r="AJ275">
        <v>268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ROW(Source!A107)</f>
        <v>107</v>
      </c>
      <c r="B276">
        <v>16631722</v>
      </c>
      <c r="C276">
        <v>16631703</v>
      </c>
      <c r="D276">
        <v>15171018</v>
      </c>
      <c r="E276">
        <v>1</v>
      </c>
      <c r="F276">
        <v>1</v>
      </c>
      <c r="G276">
        <v>1</v>
      </c>
      <c r="H276">
        <v>3</v>
      </c>
      <c r="I276" t="s">
        <v>1204</v>
      </c>
      <c r="J276" t="s">
        <v>1205</v>
      </c>
      <c r="K276" t="s">
        <v>1206</v>
      </c>
      <c r="L276">
        <v>1346</v>
      </c>
      <c r="N276">
        <v>1009</v>
      </c>
      <c r="O276" t="s">
        <v>102</v>
      </c>
      <c r="P276" t="s">
        <v>102</v>
      </c>
      <c r="Q276">
        <v>1</v>
      </c>
      <c r="X276">
        <v>0.01</v>
      </c>
      <c r="Y276">
        <v>1.82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6</v>
      </c>
      <c r="AG276">
        <v>0.01</v>
      </c>
      <c r="AH276">
        <v>2</v>
      </c>
      <c r="AI276">
        <v>16631711</v>
      </c>
      <c r="AJ276">
        <v>269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ROW(Source!A107)</f>
        <v>107</v>
      </c>
      <c r="B277">
        <v>16631723</v>
      </c>
      <c r="C277">
        <v>16631703</v>
      </c>
      <c r="D277">
        <v>15171907</v>
      </c>
      <c r="E277">
        <v>1</v>
      </c>
      <c r="F277">
        <v>1</v>
      </c>
      <c r="G277">
        <v>1</v>
      </c>
      <c r="H277">
        <v>3</v>
      </c>
      <c r="I277" t="s">
        <v>1210</v>
      </c>
      <c r="J277" t="s">
        <v>1211</v>
      </c>
      <c r="K277" t="s">
        <v>1212</v>
      </c>
      <c r="L277">
        <v>1339</v>
      </c>
      <c r="N277">
        <v>1007</v>
      </c>
      <c r="O277" t="s">
        <v>203</v>
      </c>
      <c r="P277" t="s">
        <v>203</v>
      </c>
      <c r="Q277">
        <v>1</v>
      </c>
      <c r="X277">
        <v>4.0000000000000002E-4</v>
      </c>
      <c r="Y277">
        <v>74.58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6</v>
      </c>
      <c r="AG277">
        <v>4.0000000000000002E-4</v>
      </c>
      <c r="AH277">
        <v>2</v>
      </c>
      <c r="AI277">
        <v>16631712</v>
      </c>
      <c r="AJ277">
        <v>270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ROW(Source!A107)</f>
        <v>107</v>
      </c>
      <c r="B278">
        <v>16631724</v>
      </c>
      <c r="C278">
        <v>16631703</v>
      </c>
      <c r="D278">
        <v>15202473</v>
      </c>
      <c r="E278">
        <v>1</v>
      </c>
      <c r="F278">
        <v>1</v>
      </c>
      <c r="G278">
        <v>1</v>
      </c>
      <c r="H278">
        <v>3</v>
      </c>
      <c r="I278" t="s">
        <v>1390</v>
      </c>
      <c r="J278" t="s">
        <v>1391</v>
      </c>
      <c r="K278" t="s">
        <v>1392</v>
      </c>
      <c r="L278">
        <v>1348</v>
      </c>
      <c r="N278">
        <v>1009</v>
      </c>
      <c r="O278" t="s">
        <v>98</v>
      </c>
      <c r="P278" t="s">
        <v>98</v>
      </c>
      <c r="Q278">
        <v>1000</v>
      </c>
      <c r="X278">
        <v>2E-3</v>
      </c>
      <c r="Y278">
        <v>25990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6</v>
      </c>
      <c r="AG278">
        <v>2E-3</v>
      </c>
      <c r="AH278">
        <v>2</v>
      </c>
      <c r="AI278">
        <v>16631713</v>
      </c>
      <c r="AJ278">
        <v>271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ROW(Source!A107)</f>
        <v>107</v>
      </c>
      <c r="B279">
        <v>16631725</v>
      </c>
      <c r="C279">
        <v>16631703</v>
      </c>
      <c r="D279">
        <v>15204729</v>
      </c>
      <c r="E279">
        <v>1</v>
      </c>
      <c r="F279">
        <v>1</v>
      </c>
      <c r="G279">
        <v>1</v>
      </c>
      <c r="H279">
        <v>3</v>
      </c>
      <c r="I279" t="s">
        <v>1236</v>
      </c>
      <c r="J279" t="s">
        <v>1237</v>
      </c>
      <c r="K279" t="s">
        <v>1238</v>
      </c>
      <c r="L279">
        <v>1348</v>
      </c>
      <c r="N279">
        <v>1009</v>
      </c>
      <c r="O279" t="s">
        <v>98</v>
      </c>
      <c r="P279" t="s">
        <v>98</v>
      </c>
      <c r="Q279">
        <v>1000</v>
      </c>
      <c r="X279">
        <v>6.7000000000000002E-3</v>
      </c>
      <c r="Y279">
        <v>4294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6</v>
      </c>
      <c r="AG279">
        <v>6.7000000000000002E-3</v>
      </c>
      <c r="AH279">
        <v>2</v>
      </c>
      <c r="AI279">
        <v>16631714</v>
      </c>
      <c r="AJ279">
        <v>272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ROW(Source!A109)</f>
        <v>109</v>
      </c>
      <c r="B280">
        <v>16631730</v>
      </c>
      <c r="C280">
        <v>16631727</v>
      </c>
      <c r="D280">
        <v>15436556</v>
      </c>
      <c r="E280">
        <v>1</v>
      </c>
      <c r="F280">
        <v>1</v>
      </c>
      <c r="G280">
        <v>1</v>
      </c>
      <c r="H280">
        <v>1</v>
      </c>
      <c r="I280" t="s">
        <v>1354</v>
      </c>
      <c r="J280" t="s">
        <v>6</v>
      </c>
      <c r="K280" t="s">
        <v>1355</v>
      </c>
      <c r="L280">
        <v>1191</v>
      </c>
      <c r="N280">
        <v>1013</v>
      </c>
      <c r="O280" t="s">
        <v>1148</v>
      </c>
      <c r="P280" t="s">
        <v>1148</v>
      </c>
      <c r="Q280">
        <v>1</v>
      </c>
      <c r="X280">
        <v>8.3800000000000008</v>
      </c>
      <c r="Y280">
        <v>0</v>
      </c>
      <c r="Z280">
        <v>0</v>
      </c>
      <c r="AA280">
        <v>0</v>
      </c>
      <c r="AB280">
        <v>9.6199999999999992</v>
      </c>
      <c r="AC280">
        <v>0</v>
      </c>
      <c r="AD280">
        <v>1</v>
      </c>
      <c r="AE280">
        <v>1</v>
      </c>
      <c r="AF280" t="s">
        <v>82</v>
      </c>
      <c r="AG280">
        <v>9.6370000000000005</v>
      </c>
      <c r="AH280">
        <v>2</v>
      </c>
      <c r="AI280">
        <v>16631728</v>
      </c>
      <c r="AJ280">
        <v>273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ROW(Source!A109)</f>
        <v>109</v>
      </c>
      <c r="B281">
        <v>16631731</v>
      </c>
      <c r="C281">
        <v>16631727</v>
      </c>
      <c r="D281">
        <v>15163100</v>
      </c>
      <c r="E281">
        <v>17</v>
      </c>
      <c r="F281">
        <v>1</v>
      </c>
      <c r="G281">
        <v>1</v>
      </c>
      <c r="H281">
        <v>3</v>
      </c>
      <c r="I281" t="s">
        <v>1711</v>
      </c>
      <c r="J281" t="s">
        <v>6</v>
      </c>
      <c r="K281" t="s">
        <v>1454</v>
      </c>
      <c r="L281">
        <v>1348</v>
      </c>
      <c r="N281">
        <v>1009</v>
      </c>
      <c r="O281" t="s">
        <v>98</v>
      </c>
      <c r="P281" t="s">
        <v>98</v>
      </c>
      <c r="Q281">
        <v>1000</v>
      </c>
      <c r="X281">
        <v>1.6E-2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 t="s">
        <v>6</v>
      </c>
      <c r="AG281">
        <v>1.6E-2</v>
      </c>
      <c r="AH281">
        <v>3</v>
      </c>
      <c r="AI281">
        <v>-1</v>
      </c>
      <c r="AJ281" t="s">
        <v>6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ROW(Source!A111)</f>
        <v>111</v>
      </c>
      <c r="B282">
        <v>16631741</v>
      </c>
      <c r="C282">
        <v>16631733</v>
      </c>
      <c r="D282">
        <v>15436556</v>
      </c>
      <c r="E282">
        <v>1</v>
      </c>
      <c r="F282">
        <v>1</v>
      </c>
      <c r="G282">
        <v>1</v>
      </c>
      <c r="H282">
        <v>1</v>
      </c>
      <c r="I282" t="s">
        <v>1354</v>
      </c>
      <c r="J282" t="s">
        <v>6</v>
      </c>
      <c r="K282" t="s">
        <v>1355</v>
      </c>
      <c r="L282">
        <v>1191</v>
      </c>
      <c r="N282">
        <v>1013</v>
      </c>
      <c r="O282" t="s">
        <v>1148</v>
      </c>
      <c r="P282" t="s">
        <v>1148</v>
      </c>
      <c r="Q282">
        <v>1</v>
      </c>
      <c r="X282">
        <v>8.1</v>
      </c>
      <c r="Y282">
        <v>0</v>
      </c>
      <c r="Z282">
        <v>0</v>
      </c>
      <c r="AA282">
        <v>0</v>
      </c>
      <c r="AB282">
        <v>9.6199999999999992</v>
      </c>
      <c r="AC282">
        <v>0</v>
      </c>
      <c r="AD282">
        <v>1</v>
      </c>
      <c r="AE282">
        <v>1</v>
      </c>
      <c r="AF282" t="s">
        <v>82</v>
      </c>
      <c r="AG282">
        <v>9.3149999999999995</v>
      </c>
      <c r="AH282">
        <v>2</v>
      </c>
      <c r="AI282">
        <v>16631734</v>
      </c>
      <c r="AJ282">
        <v>275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ROW(Source!A111)</f>
        <v>111</v>
      </c>
      <c r="B283">
        <v>16631742</v>
      </c>
      <c r="C283">
        <v>16631733</v>
      </c>
      <c r="D283">
        <v>15430395</v>
      </c>
      <c r="E283">
        <v>1</v>
      </c>
      <c r="F283">
        <v>1</v>
      </c>
      <c r="G283">
        <v>1</v>
      </c>
      <c r="H283">
        <v>1</v>
      </c>
      <c r="I283" t="s">
        <v>1149</v>
      </c>
      <c r="J283" t="s">
        <v>6</v>
      </c>
      <c r="K283" t="s">
        <v>1150</v>
      </c>
      <c r="L283">
        <v>1191</v>
      </c>
      <c r="N283">
        <v>1013</v>
      </c>
      <c r="O283" t="s">
        <v>1148</v>
      </c>
      <c r="P283" t="s">
        <v>1148</v>
      </c>
      <c r="Q283">
        <v>1</v>
      </c>
      <c r="X283">
        <v>0.02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2</v>
      </c>
      <c r="AF283" t="s">
        <v>81</v>
      </c>
      <c r="AG283">
        <v>2.5000000000000001E-2</v>
      </c>
      <c r="AH283">
        <v>2</v>
      </c>
      <c r="AI283">
        <v>16631735</v>
      </c>
      <c r="AJ283">
        <v>276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ROW(Source!A111)</f>
        <v>111</v>
      </c>
      <c r="B284">
        <v>16631743</v>
      </c>
      <c r="C284">
        <v>16631733</v>
      </c>
      <c r="D284">
        <v>15247974</v>
      </c>
      <c r="E284">
        <v>1</v>
      </c>
      <c r="F284">
        <v>1</v>
      </c>
      <c r="G284">
        <v>1</v>
      </c>
      <c r="H284">
        <v>2</v>
      </c>
      <c r="I284" t="s">
        <v>1151</v>
      </c>
      <c r="J284" t="s">
        <v>1152</v>
      </c>
      <c r="K284" t="s">
        <v>1153</v>
      </c>
      <c r="L284">
        <v>1368</v>
      </c>
      <c r="N284">
        <v>1011</v>
      </c>
      <c r="O284" t="s">
        <v>1154</v>
      </c>
      <c r="P284" t="s">
        <v>1154</v>
      </c>
      <c r="Q284">
        <v>1</v>
      </c>
      <c r="X284">
        <v>0.01</v>
      </c>
      <c r="Y284">
        <v>0</v>
      </c>
      <c r="Z284">
        <v>31.26</v>
      </c>
      <c r="AA284">
        <v>13.5</v>
      </c>
      <c r="AB284">
        <v>0</v>
      </c>
      <c r="AC284">
        <v>0</v>
      </c>
      <c r="AD284">
        <v>1</v>
      </c>
      <c r="AE284">
        <v>0</v>
      </c>
      <c r="AF284" t="s">
        <v>81</v>
      </c>
      <c r="AG284">
        <v>1.2500000000000001E-2</v>
      </c>
      <c r="AH284">
        <v>2</v>
      </c>
      <c r="AI284">
        <v>16631736</v>
      </c>
      <c r="AJ284">
        <v>277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ROW(Source!A111)</f>
        <v>111</v>
      </c>
      <c r="B285">
        <v>16631744</v>
      </c>
      <c r="C285">
        <v>16631733</v>
      </c>
      <c r="D285">
        <v>15249073</v>
      </c>
      <c r="E285">
        <v>1</v>
      </c>
      <c r="F285">
        <v>1</v>
      </c>
      <c r="G285">
        <v>1</v>
      </c>
      <c r="H285">
        <v>2</v>
      </c>
      <c r="I285" t="s">
        <v>1157</v>
      </c>
      <c r="J285" t="s">
        <v>1158</v>
      </c>
      <c r="K285" t="s">
        <v>1159</v>
      </c>
      <c r="L285">
        <v>1368</v>
      </c>
      <c r="N285">
        <v>1011</v>
      </c>
      <c r="O285" t="s">
        <v>1154</v>
      </c>
      <c r="P285" t="s">
        <v>1154</v>
      </c>
      <c r="Q285">
        <v>1</v>
      </c>
      <c r="X285">
        <v>0.01</v>
      </c>
      <c r="Y285">
        <v>0</v>
      </c>
      <c r="Z285">
        <v>65.709999999999994</v>
      </c>
      <c r="AA285">
        <v>11.6</v>
      </c>
      <c r="AB285">
        <v>0</v>
      </c>
      <c r="AC285">
        <v>0</v>
      </c>
      <c r="AD285">
        <v>1</v>
      </c>
      <c r="AE285">
        <v>0</v>
      </c>
      <c r="AF285" t="s">
        <v>81</v>
      </c>
      <c r="AG285">
        <v>1.2500000000000001E-2</v>
      </c>
      <c r="AH285">
        <v>2</v>
      </c>
      <c r="AI285">
        <v>16631737</v>
      </c>
      <c r="AJ285">
        <v>278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ROW(Source!A111)</f>
        <v>111</v>
      </c>
      <c r="B286">
        <v>16631745</v>
      </c>
      <c r="C286">
        <v>16631733</v>
      </c>
      <c r="D286">
        <v>15171018</v>
      </c>
      <c r="E286">
        <v>1</v>
      </c>
      <c r="F286">
        <v>1</v>
      </c>
      <c r="G286">
        <v>1</v>
      </c>
      <c r="H286">
        <v>3</v>
      </c>
      <c r="I286" t="s">
        <v>1204</v>
      </c>
      <c r="J286" t="s">
        <v>1205</v>
      </c>
      <c r="K286" t="s">
        <v>1206</v>
      </c>
      <c r="L286">
        <v>1346</v>
      </c>
      <c r="N286">
        <v>1009</v>
      </c>
      <c r="O286" t="s">
        <v>102</v>
      </c>
      <c r="P286" t="s">
        <v>102</v>
      </c>
      <c r="Q286">
        <v>1</v>
      </c>
      <c r="X286">
        <v>0.1</v>
      </c>
      <c r="Y286">
        <v>1.82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6</v>
      </c>
      <c r="AG286">
        <v>0.1</v>
      </c>
      <c r="AH286">
        <v>2</v>
      </c>
      <c r="AI286">
        <v>16631738</v>
      </c>
      <c r="AJ286">
        <v>279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ROW(Source!A111)</f>
        <v>111</v>
      </c>
      <c r="B287">
        <v>16631746</v>
      </c>
      <c r="C287">
        <v>16631733</v>
      </c>
      <c r="D287">
        <v>15162572</v>
      </c>
      <c r="E287">
        <v>17</v>
      </c>
      <c r="F287">
        <v>1</v>
      </c>
      <c r="G287">
        <v>1</v>
      </c>
      <c r="H287">
        <v>3</v>
      </c>
      <c r="I287" t="s">
        <v>317</v>
      </c>
      <c r="J287" t="s">
        <v>6</v>
      </c>
      <c r="K287" t="s">
        <v>318</v>
      </c>
      <c r="L287">
        <v>1348</v>
      </c>
      <c r="N287">
        <v>1009</v>
      </c>
      <c r="O287" t="s">
        <v>98</v>
      </c>
      <c r="P287" t="s">
        <v>98</v>
      </c>
      <c r="Q287">
        <v>1000</v>
      </c>
      <c r="X287">
        <v>1.2999999999999999E-2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 t="s">
        <v>6</v>
      </c>
      <c r="AG287">
        <v>1.2999999999999999E-2</v>
      </c>
      <c r="AH287">
        <v>2</v>
      </c>
      <c r="AI287">
        <v>16631739</v>
      </c>
      <c r="AJ287">
        <v>281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ROW(Source!A114)</f>
        <v>114</v>
      </c>
      <c r="B288">
        <v>16631783</v>
      </c>
      <c r="C288">
        <v>16631779</v>
      </c>
      <c r="D288">
        <v>15430517</v>
      </c>
      <c r="E288">
        <v>1</v>
      </c>
      <c r="F288">
        <v>1</v>
      </c>
      <c r="G288">
        <v>1</v>
      </c>
      <c r="H288">
        <v>1</v>
      </c>
      <c r="I288" t="s">
        <v>1169</v>
      </c>
      <c r="J288" t="s">
        <v>6</v>
      </c>
      <c r="K288" t="s">
        <v>1170</v>
      </c>
      <c r="L288">
        <v>1191</v>
      </c>
      <c r="N288">
        <v>1013</v>
      </c>
      <c r="O288" t="s">
        <v>1148</v>
      </c>
      <c r="P288" t="s">
        <v>1148</v>
      </c>
      <c r="Q288">
        <v>1</v>
      </c>
      <c r="X288">
        <v>3.77</v>
      </c>
      <c r="Y288">
        <v>0</v>
      </c>
      <c r="Z288">
        <v>0</v>
      </c>
      <c r="AA288">
        <v>0</v>
      </c>
      <c r="AB288">
        <v>7.8</v>
      </c>
      <c r="AC288">
        <v>0</v>
      </c>
      <c r="AD288">
        <v>1</v>
      </c>
      <c r="AE288">
        <v>1</v>
      </c>
      <c r="AF288" t="s">
        <v>6</v>
      </c>
      <c r="AG288">
        <v>3.77</v>
      </c>
      <c r="AH288">
        <v>2</v>
      </c>
      <c r="AI288">
        <v>16631780</v>
      </c>
      <c r="AJ288">
        <v>282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ROW(Source!A114)</f>
        <v>114</v>
      </c>
      <c r="B289">
        <v>16631784</v>
      </c>
      <c r="C289">
        <v>16631779</v>
      </c>
      <c r="D289">
        <v>15165926</v>
      </c>
      <c r="E289">
        <v>1</v>
      </c>
      <c r="F289">
        <v>1</v>
      </c>
      <c r="G289">
        <v>1</v>
      </c>
      <c r="H289">
        <v>3</v>
      </c>
      <c r="I289" t="s">
        <v>1393</v>
      </c>
      <c r="J289" t="s">
        <v>1394</v>
      </c>
      <c r="K289" t="s">
        <v>1395</v>
      </c>
      <c r="L289">
        <v>1348</v>
      </c>
      <c r="N289">
        <v>1009</v>
      </c>
      <c r="O289" t="s">
        <v>98</v>
      </c>
      <c r="P289" t="s">
        <v>98</v>
      </c>
      <c r="Q289">
        <v>1000</v>
      </c>
      <c r="X289">
        <v>1E-3</v>
      </c>
      <c r="Y289">
        <v>7571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6</v>
      </c>
      <c r="AG289">
        <v>1E-3</v>
      </c>
      <c r="AH289">
        <v>2</v>
      </c>
      <c r="AI289">
        <v>16631781</v>
      </c>
      <c r="AJ289">
        <v>283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ROW(Source!A114)</f>
        <v>114</v>
      </c>
      <c r="B290">
        <v>16631785</v>
      </c>
      <c r="C290">
        <v>16631779</v>
      </c>
      <c r="D290">
        <v>15167286</v>
      </c>
      <c r="E290">
        <v>1</v>
      </c>
      <c r="F290">
        <v>1</v>
      </c>
      <c r="G290">
        <v>1</v>
      </c>
      <c r="H290">
        <v>3</v>
      </c>
      <c r="I290" t="s">
        <v>1265</v>
      </c>
      <c r="J290" t="s">
        <v>1266</v>
      </c>
      <c r="K290" t="s">
        <v>1267</v>
      </c>
      <c r="L290">
        <v>1339</v>
      </c>
      <c r="N290">
        <v>1007</v>
      </c>
      <c r="O290" t="s">
        <v>203</v>
      </c>
      <c r="P290" t="s">
        <v>203</v>
      </c>
      <c r="Q290">
        <v>1</v>
      </c>
      <c r="X290">
        <v>0.05</v>
      </c>
      <c r="Y290">
        <v>2.44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6</v>
      </c>
      <c r="AG290">
        <v>0.05</v>
      </c>
      <c r="AH290">
        <v>2</v>
      </c>
      <c r="AI290">
        <v>16631782</v>
      </c>
      <c r="AJ290">
        <v>284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ROW(Source!A115)</f>
        <v>115</v>
      </c>
      <c r="B291">
        <v>16631791</v>
      </c>
      <c r="C291">
        <v>16631786</v>
      </c>
      <c r="D291">
        <v>15435609</v>
      </c>
      <c r="E291">
        <v>1</v>
      </c>
      <c r="F291">
        <v>1</v>
      </c>
      <c r="G291">
        <v>1</v>
      </c>
      <c r="H291">
        <v>1</v>
      </c>
      <c r="I291" t="s">
        <v>1231</v>
      </c>
      <c r="J291" t="s">
        <v>6</v>
      </c>
      <c r="K291" t="s">
        <v>1232</v>
      </c>
      <c r="L291">
        <v>1191</v>
      </c>
      <c r="N291">
        <v>1013</v>
      </c>
      <c r="O291" t="s">
        <v>1148</v>
      </c>
      <c r="P291" t="s">
        <v>1148</v>
      </c>
      <c r="Q291">
        <v>1</v>
      </c>
      <c r="X291">
        <v>2.71</v>
      </c>
      <c r="Y291">
        <v>0</v>
      </c>
      <c r="Z291">
        <v>0</v>
      </c>
      <c r="AA291">
        <v>0</v>
      </c>
      <c r="AB291">
        <v>8.9700000000000006</v>
      </c>
      <c r="AC291">
        <v>0</v>
      </c>
      <c r="AD291">
        <v>1</v>
      </c>
      <c r="AE291">
        <v>1</v>
      </c>
      <c r="AF291" t="s">
        <v>6</v>
      </c>
      <c r="AG291">
        <v>2.71</v>
      </c>
      <c r="AH291">
        <v>2</v>
      </c>
      <c r="AI291">
        <v>16631787</v>
      </c>
      <c r="AJ291">
        <v>285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ROW(Source!A115)</f>
        <v>115</v>
      </c>
      <c r="B292">
        <v>16631792</v>
      </c>
      <c r="C292">
        <v>16631786</v>
      </c>
      <c r="D292">
        <v>15167286</v>
      </c>
      <c r="E292">
        <v>1</v>
      </c>
      <c r="F292">
        <v>1</v>
      </c>
      <c r="G292">
        <v>1</v>
      </c>
      <c r="H292">
        <v>3</v>
      </c>
      <c r="I292" t="s">
        <v>1265</v>
      </c>
      <c r="J292" t="s">
        <v>1266</v>
      </c>
      <c r="K292" t="s">
        <v>1267</v>
      </c>
      <c r="L292">
        <v>1339</v>
      </c>
      <c r="N292">
        <v>1007</v>
      </c>
      <c r="O292" t="s">
        <v>203</v>
      </c>
      <c r="P292" t="s">
        <v>203</v>
      </c>
      <c r="Q292">
        <v>1</v>
      </c>
      <c r="X292">
        <v>0.01</v>
      </c>
      <c r="Y292">
        <v>2.44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6</v>
      </c>
      <c r="AG292">
        <v>0.01</v>
      </c>
      <c r="AH292">
        <v>2</v>
      </c>
      <c r="AI292">
        <v>16631788</v>
      </c>
      <c r="AJ292">
        <v>286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ROW(Source!A115)</f>
        <v>115</v>
      </c>
      <c r="B293">
        <v>16631793</v>
      </c>
      <c r="C293">
        <v>16631786</v>
      </c>
      <c r="D293">
        <v>15161703</v>
      </c>
      <c r="E293">
        <v>17</v>
      </c>
      <c r="F293">
        <v>1</v>
      </c>
      <c r="G293">
        <v>1</v>
      </c>
      <c r="H293">
        <v>3</v>
      </c>
      <c r="I293" t="s">
        <v>397</v>
      </c>
      <c r="J293" t="s">
        <v>6</v>
      </c>
      <c r="K293" t="s">
        <v>398</v>
      </c>
      <c r="L293">
        <v>1339</v>
      </c>
      <c r="N293">
        <v>1007</v>
      </c>
      <c r="O293" t="s">
        <v>203</v>
      </c>
      <c r="P293" t="s">
        <v>203</v>
      </c>
      <c r="Q293">
        <v>1</v>
      </c>
      <c r="X293">
        <v>0.02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 t="s">
        <v>6</v>
      </c>
      <c r="AG293">
        <v>0.02</v>
      </c>
      <c r="AH293">
        <v>2</v>
      </c>
      <c r="AI293">
        <v>16631789</v>
      </c>
      <c r="AJ293">
        <v>287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ROW(Source!A118)</f>
        <v>118</v>
      </c>
      <c r="B294">
        <v>16631804</v>
      </c>
      <c r="C294">
        <v>16631796</v>
      </c>
      <c r="D294">
        <v>9415746</v>
      </c>
      <c r="E294">
        <v>1</v>
      </c>
      <c r="F294">
        <v>1</v>
      </c>
      <c r="G294">
        <v>1</v>
      </c>
      <c r="H294">
        <v>1</v>
      </c>
      <c r="I294" t="s">
        <v>1396</v>
      </c>
      <c r="J294" t="s">
        <v>6</v>
      </c>
      <c r="K294" t="s">
        <v>1397</v>
      </c>
      <c r="L294">
        <v>1369</v>
      </c>
      <c r="N294">
        <v>1013</v>
      </c>
      <c r="O294" t="s">
        <v>1398</v>
      </c>
      <c r="P294" t="s">
        <v>1398</v>
      </c>
      <c r="Q294">
        <v>1</v>
      </c>
      <c r="X294">
        <v>71.06</v>
      </c>
      <c r="Y294">
        <v>0</v>
      </c>
      <c r="Z294">
        <v>0</v>
      </c>
      <c r="AA294">
        <v>0</v>
      </c>
      <c r="AB294">
        <v>8.86</v>
      </c>
      <c r="AC294">
        <v>0</v>
      </c>
      <c r="AD294">
        <v>1</v>
      </c>
      <c r="AE294">
        <v>1</v>
      </c>
      <c r="AF294" t="s">
        <v>82</v>
      </c>
      <c r="AG294">
        <v>81.718999999999994</v>
      </c>
      <c r="AH294">
        <v>2</v>
      </c>
      <c r="AI294">
        <v>16631797</v>
      </c>
      <c r="AJ294">
        <v>289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ROW(Source!A118)</f>
        <v>118</v>
      </c>
      <c r="B295">
        <v>16631805</v>
      </c>
      <c r="C295">
        <v>16631796</v>
      </c>
      <c r="D295">
        <v>121548</v>
      </c>
      <c r="E295">
        <v>1</v>
      </c>
      <c r="F295">
        <v>1</v>
      </c>
      <c r="G295">
        <v>1</v>
      </c>
      <c r="H295">
        <v>1</v>
      </c>
      <c r="I295" t="s">
        <v>24</v>
      </c>
      <c r="J295" t="s">
        <v>6</v>
      </c>
      <c r="K295" t="s">
        <v>1150</v>
      </c>
      <c r="L295">
        <v>608254</v>
      </c>
      <c r="N295">
        <v>1013</v>
      </c>
      <c r="O295" t="s">
        <v>1399</v>
      </c>
      <c r="P295" t="s">
        <v>1399</v>
      </c>
      <c r="Q295">
        <v>1</v>
      </c>
      <c r="X295">
        <v>0.01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2</v>
      </c>
      <c r="AF295" t="s">
        <v>81</v>
      </c>
      <c r="AG295">
        <v>1.2500000000000001E-2</v>
      </c>
      <c r="AH295">
        <v>2</v>
      </c>
      <c r="AI295">
        <v>16631798</v>
      </c>
      <c r="AJ295">
        <v>290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ROW(Source!A118)</f>
        <v>118</v>
      </c>
      <c r="B296">
        <v>16631806</v>
      </c>
      <c r="C296">
        <v>16631796</v>
      </c>
      <c r="D296">
        <v>12833667</v>
      </c>
      <c r="E296">
        <v>1</v>
      </c>
      <c r="F296">
        <v>1</v>
      </c>
      <c r="G296">
        <v>1</v>
      </c>
      <c r="H296">
        <v>2</v>
      </c>
      <c r="I296" t="s">
        <v>1400</v>
      </c>
      <c r="J296" t="s">
        <v>1401</v>
      </c>
      <c r="K296" t="s">
        <v>1402</v>
      </c>
      <c r="L296">
        <v>1368</v>
      </c>
      <c r="N296">
        <v>1011</v>
      </c>
      <c r="O296" t="s">
        <v>1154</v>
      </c>
      <c r="P296" t="s">
        <v>1154</v>
      </c>
      <c r="Q296">
        <v>1</v>
      </c>
      <c r="X296">
        <v>0.01</v>
      </c>
      <c r="Y296">
        <v>0</v>
      </c>
      <c r="Z296">
        <v>31.26</v>
      </c>
      <c r="AA296">
        <v>13.5</v>
      </c>
      <c r="AB296">
        <v>0</v>
      </c>
      <c r="AC296">
        <v>0</v>
      </c>
      <c r="AD296">
        <v>1</v>
      </c>
      <c r="AE296">
        <v>0</v>
      </c>
      <c r="AF296" t="s">
        <v>81</v>
      </c>
      <c r="AG296">
        <v>1.2500000000000001E-2</v>
      </c>
      <c r="AH296">
        <v>2</v>
      </c>
      <c r="AI296">
        <v>16631799</v>
      </c>
      <c r="AJ296">
        <v>291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ROW(Source!A118)</f>
        <v>118</v>
      </c>
      <c r="B297">
        <v>16631807</v>
      </c>
      <c r="C297">
        <v>16631796</v>
      </c>
      <c r="D297">
        <v>12836407</v>
      </c>
      <c r="E297">
        <v>1</v>
      </c>
      <c r="F297">
        <v>1</v>
      </c>
      <c r="G297">
        <v>1</v>
      </c>
      <c r="H297">
        <v>2</v>
      </c>
      <c r="I297" t="s">
        <v>1403</v>
      </c>
      <c r="J297" t="s">
        <v>1404</v>
      </c>
      <c r="K297" t="s">
        <v>1159</v>
      </c>
      <c r="L297">
        <v>1368</v>
      </c>
      <c r="N297">
        <v>1011</v>
      </c>
      <c r="O297" t="s">
        <v>1154</v>
      </c>
      <c r="P297" t="s">
        <v>1154</v>
      </c>
      <c r="Q297">
        <v>1</v>
      </c>
      <c r="X297">
        <v>0.03</v>
      </c>
      <c r="Y297">
        <v>0</v>
      </c>
      <c r="Z297">
        <v>87.17</v>
      </c>
      <c r="AA297">
        <v>11.6</v>
      </c>
      <c r="AB297">
        <v>0</v>
      </c>
      <c r="AC297">
        <v>0</v>
      </c>
      <c r="AD297">
        <v>1</v>
      </c>
      <c r="AE297">
        <v>0</v>
      </c>
      <c r="AF297" t="s">
        <v>81</v>
      </c>
      <c r="AG297">
        <v>3.7499999999999999E-2</v>
      </c>
      <c r="AH297">
        <v>2</v>
      </c>
      <c r="AI297">
        <v>16631800</v>
      </c>
      <c r="AJ297">
        <v>292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ROW(Source!A118)</f>
        <v>118</v>
      </c>
      <c r="B298">
        <v>16631808</v>
      </c>
      <c r="C298">
        <v>16631796</v>
      </c>
      <c r="D298">
        <v>12862834</v>
      </c>
      <c r="E298">
        <v>1</v>
      </c>
      <c r="F298">
        <v>1</v>
      </c>
      <c r="G298">
        <v>1</v>
      </c>
      <c r="H298">
        <v>3</v>
      </c>
      <c r="I298" t="s">
        <v>1405</v>
      </c>
      <c r="J298" t="s">
        <v>1406</v>
      </c>
      <c r="K298" t="s">
        <v>1407</v>
      </c>
      <c r="L298">
        <v>1348</v>
      </c>
      <c r="N298">
        <v>1009</v>
      </c>
      <c r="O298" t="s">
        <v>98</v>
      </c>
      <c r="P298" t="s">
        <v>98</v>
      </c>
      <c r="Q298">
        <v>1000</v>
      </c>
      <c r="X298">
        <v>2.46E-2</v>
      </c>
      <c r="Y298">
        <v>15707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0</v>
      </c>
      <c r="AF298" t="s">
        <v>6</v>
      </c>
      <c r="AG298">
        <v>2.46E-2</v>
      </c>
      <c r="AH298">
        <v>2</v>
      </c>
      <c r="AI298">
        <v>16631801</v>
      </c>
      <c r="AJ298">
        <v>293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ROW(Source!A118)</f>
        <v>118</v>
      </c>
      <c r="B299">
        <v>16631809</v>
      </c>
      <c r="C299">
        <v>16631796</v>
      </c>
      <c r="D299">
        <v>12860382</v>
      </c>
      <c r="E299">
        <v>1</v>
      </c>
      <c r="F299">
        <v>1</v>
      </c>
      <c r="G299">
        <v>1</v>
      </c>
      <c r="H299">
        <v>3</v>
      </c>
      <c r="I299" t="s">
        <v>1408</v>
      </c>
      <c r="J299" t="s">
        <v>1409</v>
      </c>
      <c r="K299" t="s">
        <v>1206</v>
      </c>
      <c r="L299">
        <v>1346</v>
      </c>
      <c r="N299">
        <v>1009</v>
      </c>
      <c r="O299" t="s">
        <v>102</v>
      </c>
      <c r="P299" t="s">
        <v>102</v>
      </c>
      <c r="Q299">
        <v>1</v>
      </c>
      <c r="X299">
        <v>0.3</v>
      </c>
      <c r="Y299">
        <v>1.82</v>
      </c>
      <c r="Z299">
        <v>0</v>
      </c>
      <c r="AA299">
        <v>0</v>
      </c>
      <c r="AB299">
        <v>0</v>
      </c>
      <c r="AC299">
        <v>0</v>
      </c>
      <c r="AD299">
        <v>1</v>
      </c>
      <c r="AE299">
        <v>0</v>
      </c>
      <c r="AF299" t="s">
        <v>6</v>
      </c>
      <c r="AG299">
        <v>0.3</v>
      </c>
      <c r="AH299">
        <v>2</v>
      </c>
      <c r="AI299">
        <v>16631802</v>
      </c>
      <c r="AJ299">
        <v>294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ROW(Source!A118)</f>
        <v>118</v>
      </c>
      <c r="B300">
        <v>16631810</v>
      </c>
      <c r="C300">
        <v>16631796</v>
      </c>
      <c r="D300">
        <v>12863135</v>
      </c>
      <c r="E300">
        <v>1</v>
      </c>
      <c r="F300">
        <v>1</v>
      </c>
      <c r="G300">
        <v>1</v>
      </c>
      <c r="H300">
        <v>3</v>
      </c>
      <c r="I300" t="s">
        <v>1410</v>
      </c>
      <c r="J300" t="s">
        <v>1411</v>
      </c>
      <c r="K300" t="s">
        <v>1219</v>
      </c>
      <c r="L300">
        <v>1346</v>
      </c>
      <c r="N300">
        <v>1009</v>
      </c>
      <c r="O300" t="s">
        <v>102</v>
      </c>
      <c r="P300" t="s">
        <v>102</v>
      </c>
      <c r="Q300">
        <v>1</v>
      </c>
      <c r="X300">
        <v>2.7</v>
      </c>
      <c r="Y300">
        <v>32.6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6</v>
      </c>
      <c r="AG300">
        <v>2.7</v>
      </c>
      <c r="AH300">
        <v>2</v>
      </c>
      <c r="AI300">
        <v>16631803</v>
      </c>
      <c r="AJ300">
        <v>295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ROW(Source!A119)</f>
        <v>119</v>
      </c>
      <c r="B301">
        <v>16631814</v>
      </c>
      <c r="C301">
        <v>16631811</v>
      </c>
      <c r="D301">
        <v>15433629</v>
      </c>
      <c r="E301">
        <v>1</v>
      </c>
      <c r="F301">
        <v>1</v>
      </c>
      <c r="G301">
        <v>1</v>
      </c>
      <c r="H301">
        <v>1</v>
      </c>
      <c r="I301" t="s">
        <v>1412</v>
      </c>
      <c r="J301" t="s">
        <v>6</v>
      </c>
      <c r="K301" t="s">
        <v>1413</v>
      </c>
      <c r="L301">
        <v>1191</v>
      </c>
      <c r="N301">
        <v>1013</v>
      </c>
      <c r="O301" t="s">
        <v>1148</v>
      </c>
      <c r="P301" t="s">
        <v>1148</v>
      </c>
      <c r="Q301">
        <v>1</v>
      </c>
      <c r="X301">
        <v>1.03</v>
      </c>
      <c r="Y301">
        <v>0</v>
      </c>
      <c r="Z301">
        <v>0</v>
      </c>
      <c r="AA301">
        <v>0</v>
      </c>
      <c r="AB301">
        <v>7.19</v>
      </c>
      <c r="AC301">
        <v>0</v>
      </c>
      <c r="AD301">
        <v>1</v>
      </c>
      <c r="AE301">
        <v>1</v>
      </c>
      <c r="AF301" t="s">
        <v>6</v>
      </c>
      <c r="AG301">
        <v>1.03</v>
      </c>
      <c r="AH301">
        <v>2</v>
      </c>
      <c r="AI301">
        <v>16631812</v>
      </c>
      <c r="AJ301">
        <v>296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ROW(Source!A119)</f>
        <v>119</v>
      </c>
      <c r="B302">
        <v>16631815</v>
      </c>
      <c r="C302">
        <v>16631811</v>
      </c>
      <c r="D302">
        <v>15170984</v>
      </c>
      <c r="E302">
        <v>1</v>
      </c>
      <c r="F302">
        <v>1</v>
      </c>
      <c r="G302">
        <v>1</v>
      </c>
      <c r="H302">
        <v>3</v>
      </c>
      <c r="I302" t="s">
        <v>1414</v>
      </c>
      <c r="J302" t="s">
        <v>1415</v>
      </c>
      <c r="K302" t="s">
        <v>1416</v>
      </c>
      <c r="L302">
        <v>1355</v>
      </c>
      <c r="N302">
        <v>1010</v>
      </c>
      <c r="O302" t="s">
        <v>243</v>
      </c>
      <c r="P302" t="s">
        <v>243</v>
      </c>
      <c r="Q302">
        <v>100</v>
      </c>
      <c r="X302">
        <v>0.2</v>
      </c>
      <c r="Y302">
        <v>82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6</v>
      </c>
      <c r="AG302">
        <v>0.2</v>
      </c>
      <c r="AH302">
        <v>2</v>
      </c>
      <c r="AI302">
        <v>16631813</v>
      </c>
      <c r="AJ302">
        <v>297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ROW(Source!A159)</f>
        <v>159</v>
      </c>
      <c r="B303">
        <v>16631827</v>
      </c>
      <c r="C303">
        <v>16631818</v>
      </c>
      <c r="D303">
        <v>15442878</v>
      </c>
      <c r="E303">
        <v>1</v>
      </c>
      <c r="F303">
        <v>1</v>
      </c>
      <c r="G303">
        <v>1</v>
      </c>
      <c r="H303">
        <v>1</v>
      </c>
      <c r="I303" t="s">
        <v>1417</v>
      </c>
      <c r="J303" t="s">
        <v>6</v>
      </c>
      <c r="K303" t="s">
        <v>1418</v>
      </c>
      <c r="L303">
        <v>1191</v>
      </c>
      <c r="N303">
        <v>1013</v>
      </c>
      <c r="O303" t="s">
        <v>1148</v>
      </c>
      <c r="P303" t="s">
        <v>1148</v>
      </c>
      <c r="Q303">
        <v>1</v>
      </c>
      <c r="X303">
        <v>0.9</v>
      </c>
      <c r="Y303">
        <v>0</v>
      </c>
      <c r="Z303">
        <v>0</v>
      </c>
      <c r="AA303">
        <v>0</v>
      </c>
      <c r="AB303">
        <v>10.5</v>
      </c>
      <c r="AC303">
        <v>0</v>
      </c>
      <c r="AD303">
        <v>1</v>
      </c>
      <c r="AE303">
        <v>1</v>
      </c>
      <c r="AF303" t="s">
        <v>490</v>
      </c>
      <c r="AG303">
        <v>0.27</v>
      </c>
      <c r="AH303">
        <v>2</v>
      </c>
      <c r="AI303">
        <v>16631819</v>
      </c>
      <c r="AJ303">
        <v>298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ROW(Source!A159)</f>
        <v>159</v>
      </c>
      <c r="B304">
        <v>16631828</v>
      </c>
      <c r="C304">
        <v>16631818</v>
      </c>
      <c r="D304">
        <v>15430395</v>
      </c>
      <c r="E304">
        <v>1</v>
      </c>
      <c r="F304">
        <v>1</v>
      </c>
      <c r="G304">
        <v>1</v>
      </c>
      <c r="H304">
        <v>1</v>
      </c>
      <c r="I304" t="s">
        <v>1149</v>
      </c>
      <c r="J304" t="s">
        <v>6</v>
      </c>
      <c r="K304" t="s">
        <v>1150</v>
      </c>
      <c r="L304">
        <v>1191</v>
      </c>
      <c r="N304">
        <v>1013</v>
      </c>
      <c r="O304" t="s">
        <v>1148</v>
      </c>
      <c r="P304" t="s">
        <v>1148</v>
      </c>
      <c r="Q304">
        <v>1</v>
      </c>
      <c r="X304">
        <v>0.2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2</v>
      </c>
      <c r="AF304" t="s">
        <v>490</v>
      </c>
      <c r="AG304">
        <v>0.06</v>
      </c>
      <c r="AH304">
        <v>2</v>
      </c>
      <c r="AI304">
        <v>16631820</v>
      </c>
      <c r="AJ304">
        <v>299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ROW(Source!A159)</f>
        <v>159</v>
      </c>
      <c r="B305">
        <v>16631829</v>
      </c>
      <c r="C305">
        <v>16631818</v>
      </c>
      <c r="D305">
        <v>15247680</v>
      </c>
      <c r="E305">
        <v>1</v>
      </c>
      <c r="F305">
        <v>1</v>
      </c>
      <c r="G305">
        <v>1</v>
      </c>
      <c r="H305">
        <v>2</v>
      </c>
      <c r="I305" t="s">
        <v>1419</v>
      </c>
      <c r="J305" t="s">
        <v>1420</v>
      </c>
      <c r="K305" t="s">
        <v>1421</v>
      </c>
      <c r="L305">
        <v>1368</v>
      </c>
      <c r="N305">
        <v>1011</v>
      </c>
      <c r="O305" t="s">
        <v>1154</v>
      </c>
      <c r="P305" t="s">
        <v>1154</v>
      </c>
      <c r="Q305">
        <v>1</v>
      </c>
      <c r="X305">
        <v>0.1</v>
      </c>
      <c r="Y305">
        <v>0</v>
      </c>
      <c r="Z305">
        <v>111.99</v>
      </c>
      <c r="AA305">
        <v>13.5</v>
      </c>
      <c r="AB305">
        <v>0</v>
      </c>
      <c r="AC305">
        <v>0</v>
      </c>
      <c r="AD305">
        <v>1</v>
      </c>
      <c r="AE305">
        <v>0</v>
      </c>
      <c r="AF305" t="s">
        <v>490</v>
      </c>
      <c r="AG305">
        <v>0.03</v>
      </c>
      <c r="AH305">
        <v>2</v>
      </c>
      <c r="AI305">
        <v>16631821</v>
      </c>
      <c r="AJ305">
        <v>300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ROW(Source!A159)</f>
        <v>159</v>
      </c>
      <c r="B306">
        <v>16631830</v>
      </c>
      <c r="C306">
        <v>16631818</v>
      </c>
      <c r="D306">
        <v>15249073</v>
      </c>
      <c r="E306">
        <v>1</v>
      </c>
      <c r="F306">
        <v>1</v>
      </c>
      <c r="G306">
        <v>1</v>
      </c>
      <c r="H306">
        <v>2</v>
      </c>
      <c r="I306" t="s">
        <v>1157</v>
      </c>
      <c r="J306" t="s">
        <v>1158</v>
      </c>
      <c r="K306" t="s">
        <v>1159</v>
      </c>
      <c r="L306">
        <v>1368</v>
      </c>
      <c r="N306">
        <v>1011</v>
      </c>
      <c r="O306" t="s">
        <v>1154</v>
      </c>
      <c r="P306" t="s">
        <v>1154</v>
      </c>
      <c r="Q306">
        <v>1</v>
      </c>
      <c r="X306">
        <v>0.1</v>
      </c>
      <c r="Y306">
        <v>0</v>
      </c>
      <c r="Z306">
        <v>65.709999999999994</v>
      </c>
      <c r="AA306">
        <v>11.6</v>
      </c>
      <c r="AB306">
        <v>0</v>
      </c>
      <c r="AC306">
        <v>0</v>
      </c>
      <c r="AD306">
        <v>1</v>
      </c>
      <c r="AE306">
        <v>0</v>
      </c>
      <c r="AF306" t="s">
        <v>490</v>
      </c>
      <c r="AG306">
        <v>0.03</v>
      </c>
      <c r="AH306">
        <v>2</v>
      </c>
      <c r="AI306">
        <v>16631822</v>
      </c>
      <c r="AJ306">
        <v>301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ROW(Source!A159)</f>
        <v>159</v>
      </c>
      <c r="B307">
        <v>16631831</v>
      </c>
      <c r="C307">
        <v>16631818</v>
      </c>
      <c r="D307">
        <v>15167588</v>
      </c>
      <c r="E307">
        <v>1</v>
      </c>
      <c r="F307">
        <v>1</v>
      </c>
      <c r="G307">
        <v>1</v>
      </c>
      <c r="H307">
        <v>3</v>
      </c>
      <c r="I307" t="s">
        <v>1422</v>
      </c>
      <c r="J307" t="s">
        <v>1423</v>
      </c>
      <c r="K307" t="s">
        <v>1424</v>
      </c>
      <c r="L307">
        <v>1346</v>
      </c>
      <c r="N307">
        <v>1009</v>
      </c>
      <c r="O307" t="s">
        <v>102</v>
      </c>
      <c r="P307" t="s">
        <v>102</v>
      </c>
      <c r="Q307">
        <v>1</v>
      </c>
      <c r="X307">
        <v>0.01</v>
      </c>
      <c r="Y307">
        <v>30.4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30</v>
      </c>
      <c r="AG307">
        <v>0</v>
      </c>
      <c r="AH307">
        <v>2</v>
      </c>
      <c r="AI307">
        <v>16631823</v>
      </c>
      <c r="AJ307">
        <v>302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ROW(Source!A159)</f>
        <v>159</v>
      </c>
      <c r="B308">
        <v>16631832</v>
      </c>
      <c r="C308">
        <v>16631818</v>
      </c>
      <c r="D308">
        <v>15169942</v>
      </c>
      <c r="E308">
        <v>1</v>
      </c>
      <c r="F308">
        <v>1</v>
      </c>
      <c r="G308">
        <v>1</v>
      </c>
      <c r="H308">
        <v>3</v>
      </c>
      <c r="I308" t="s">
        <v>1425</v>
      </c>
      <c r="J308" t="s">
        <v>1426</v>
      </c>
      <c r="K308" t="s">
        <v>1427</v>
      </c>
      <c r="L308">
        <v>1346</v>
      </c>
      <c r="N308">
        <v>1009</v>
      </c>
      <c r="O308" t="s">
        <v>102</v>
      </c>
      <c r="P308" t="s">
        <v>102</v>
      </c>
      <c r="Q308">
        <v>1</v>
      </c>
      <c r="X308">
        <v>0.3</v>
      </c>
      <c r="Y308">
        <v>9.0399999999999991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30</v>
      </c>
      <c r="AG308">
        <v>0</v>
      </c>
      <c r="AH308">
        <v>2</v>
      </c>
      <c r="AI308">
        <v>16631824</v>
      </c>
      <c r="AJ308">
        <v>303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ROW(Source!A159)</f>
        <v>159</v>
      </c>
      <c r="B309">
        <v>16631833</v>
      </c>
      <c r="C309">
        <v>16631818</v>
      </c>
      <c r="D309">
        <v>15191488</v>
      </c>
      <c r="E309">
        <v>1</v>
      </c>
      <c r="F309">
        <v>1</v>
      </c>
      <c r="G309">
        <v>1</v>
      </c>
      <c r="H309">
        <v>3</v>
      </c>
      <c r="I309" t="s">
        <v>1428</v>
      </c>
      <c r="J309" t="s">
        <v>1429</v>
      </c>
      <c r="K309" t="s">
        <v>1430</v>
      </c>
      <c r="L309">
        <v>1348</v>
      </c>
      <c r="N309">
        <v>1009</v>
      </c>
      <c r="O309" t="s">
        <v>98</v>
      </c>
      <c r="P309" t="s">
        <v>98</v>
      </c>
      <c r="Q309">
        <v>1000</v>
      </c>
      <c r="X309">
        <v>5.9999999999999995E-4</v>
      </c>
      <c r="Y309">
        <v>5000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30</v>
      </c>
      <c r="AG309">
        <v>0</v>
      </c>
      <c r="AH309">
        <v>2</v>
      </c>
      <c r="AI309">
        <v>16631825</v>
      </c>
      <c r="AJ309">
        <v>304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ROW(Source!A159)</f>
        <v>159</v>
      </c>
      <c r="B310">
        <v>16631834</v>
      </c>
      <c r="C310">
        <v>16631818</v>
      </c>
      <c r="D310">
        <v>15164559</v>
      </c>
      <c r="E310">
        <v>17</v>
      </c>
      <c r="F310">
        <v>1</v>
      </c>
      <c r="G310">
        <v>1</v>
      </c>
      <c r="H310">
        <v>3</v>
      </c>
      <c r="I310" t="s">
        <v>1431</v>
      </c>
      <c r="J310" t="s">
        <v>6</v>
      </c>
      <c r="K310" t="s">
        <v>1432</v>
      </c>
      <c r="L310">
        <v>1374</v>
      </c>
      <c r="N310">
        <v>1013</v>
      </c>
      <c r="O310" t="s">
        <v>1433</v>
      </c>
      <c r="P310" t="s">
        <v>1433</v>
      </c>
      <c r="Q310">
        <v>1</v>
      </c>
      <c r="X310">
        <v>0.19</v>
      </c>
      <c r="Y310">
        <v>1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30</v>
      </c>
      <c r="AG310">
        <v>0</v>
      </c>
      <c r="AH310">
        <v>2</v>
      </c>
      <c r="AI310">
        <v>16631826</v>
      </c>
      <c r="AJ310">
        <v>305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ROW(Source!A160)</f>
        <v>160</v>
      </c>
      <c r="B311">
        <v>16631839</v>
      </c>
      <c r="C311">
        <v>16631835</v>
      </c>
      <c r="D311">
        <v>15430767</v>
      </c>
      <c r="E311">
        <v>1</v>
      </c>
      <c r="F311">
        <v>1</v>
      </c>
      <c r="G311">
        <v>1</v>
      </c>
      <c r="H311">
        <v>1</v>
      </c>
      <c r="I311" t="s">
        <v>1171</v>
      </c>
      <c r="J311" t="s">
        <v>6</v>
      </c>
      <c r="K311" t="s">
        <v>1172</v>
      </c>
      <c r="L311">
        <v>1191</v>
      </c>
      <c r="N311">
        <v>1013</v>
      </c>
      <c r="O311" t="s">
        <v>1148</v>
      </c>
      <c r="P311" t="s">
        <v>1148</v>
      </c>
      <c r="Q311">
        <v>1</v>
      </c>
      <c r="X311">
        <v>25.72</v>
      </c>
      <c r="Y311">
        <v>0</v>
      </c>
      <c r="Z311">
        <v>0</v>
      </c>
      <c r="AA311">
        <v>0</v>
      </c>
      <c r="AB311">
        <v>8.5299999999999994</v>
      </c>
      <c r="AC311">
        <v>0</v>
      </c>
      <c r="AD311">
        <v>1</v>
      </c>
      <c r="AE311">
        <v>1</v>
      </c>
      <c r="AF311" t="s">
        <v>6</v>
      </c>
      <c r="AG311">
        <v>25.72</v>
      </c>
      <c r="AH311">
        <v>2</v>
      </c>
      <c r="AI311">
        <v>16631836</v>
      </c>
      <c r="AJ311">
        <v>306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ROW(Source!A160)</f>
        <v>160</v>
      </c>
      <c r="B312">
        <v>16631840</v>
      </c>
      <c r="C312">
        <v>16631835</v>
      </c>
      <c r="D312">
        <v>15430395</v>
      </c>
      <c r="E312">
        <v>1</v>
      </c>
      <c r="F312">
        <v>1</v>
      </c>
      <c r="G312">
        <v>1</v>
      </c>
      <c r="H312">
        <v>1</v>
      </c>
      <c r="I312" t="s">
        <v>1149</v>
      </c>
      <c r="J312" t="s">
        <v>6</v>
      </c>
      <c r="K312" t="s">
        <v>1150</v>
      </c>
      <c r="L312">
        <v>1191</v>
      </c>
      <c r="N312">
        <v>1013</v>
      </c>
      <c r="O312" t="s">
        <v>1148</v>
      </c>
      <c r="P312" t="s">
        <v>1148</v>
      </c>
      <c r="Q312">
        <v>1</v>
      </c>
      <c r="X312">
        <v>7.0000000000000007E-2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2</v>
      </c>
      <c r="AF312" t="s">
        <v>6</v>
      </c>
      <c r="AG312">
        <v>7.0000000000000007E-2</v>
      </c>
      <c r="AH312">
        <v>2</v>
      </c>
      <c r="AI312">
        <v>16631837</v>
      </c>
      <c r="AJ312">
        <v>307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ROW(Source!A160)</f>
        <v>160</v>
      </c>
      <c r="B313">
        <v>16631841</v>
      </c>
      <c r="C313">
        <v>16631835</v>
      </c>
      <c r="D313">
        <v>15247974</v>
      </c>
      <c r="E313">
        <v>1</v>
      </c>
      <c r="F313">
        <v>1</v>
      </c>
      <c r="G313">
        <v>1</v>
      </c>
      <c r="H313">
        <v>2</v>
      </c>
      <c r="I313" t="s">
        <v>1151</v>
      </c>
      <c r="J313" t="s">
        <v>1152</v>
      </c>
      <c r="K313" t="s">
        <v>1153</v>
      </c>
      <c r="L313">
        <v>1368</v>
      </c>
      <c r="N313">
        <v>1011</v>
      </c>
      <c r="O313" t="s">
        <v>1154</v>
      </c>
      <c r="P313" t="s">
        <v>1154</v>
      </c>
      <c r="Q313">
        <v>1</v>
      </c>
      <c r="X313">
        <v>7.0000000000000007E-2</v>
      </c>
      <c r="Y313">
        <v>0</v>
      </c>
      <c r="Z313">
        <v>31.26</v>
      </c>
      <c r="AA313">
        <v>13.5</v>
      </c>
      <c r="AB313">
        <v>0</v>
      </c>
      <c r="AC313">
        <v>0</v>
      </c>
      <c r="AD313">
        <v>1</v>
      </c>
      <c r="AE313">
        <v>0</v>
      </c>
      <c r="AF313" t="s">
        <v>6</v>
      </c>
      <c r="AG313">
        <v>7.0000000000000007E-2</v>
      </c>
      <c r="AH313">
        <v>2</v>
      </c>
      <c r="AI313">
        <v>16631838</v>
      </c>
      <c r="AJ313">
        <v>308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ROW(Source!A161)</f>
        <v>161</v>
      </c>
      <c r="B314">
        <v>16631844</v>
      </c>
      <c r="C314">
        <v>16631842</v>
      </c>
      <c r="D314">
        <v>15430517</v>
      </c>
      <c r="E314">
        <v>1</v>
      </c>
      <c r="F314">
        <v>1</v>
      </c>
      <c r="G314">
        <v>1</v>
      </c>
      <c r="H314">
        <v>1</v>
      </c>
      <c r="I314" t="s">
        <v>1169</v>
      </c>
      <c r="J314" t="s">
        <v>6</v>
      </c>
      <c r="K314" t="s">
        <v>1170</v>
      </c>
      <c r="L314">
        <v>1191</v>
      </c>
      <c r="N314">
        <v>1013</v>
      </c>
      <c r="O314" t="s">
        <v>1148</v>
      </c>
      <c r="P314" t="s">
        <v>1148</v>
      </c>
      <c r="Q314">
        <v>1</v>
      </c>
      <c r="X314">
        <v>5.84</v>
      </c>
      <c r="Y314">
        <v>0</v>
      </c>
      <c r="Z314">
        <v>0</v>
      </c>
      <c r="AA314">
        <v>0</v>
      </c>
      <c r="AB314">
        <v>7.8</v>
      </c>
      <c r="AC314">
        <v>0</v>
      </c>
      <c r="AD314">
        <v>1</v>
      </c>
      <c r="AE314">
        <v>1</v>
      </c>
      <c r="AF314" t="s">
        <v>6</v>
      </c>
      <c r="AG314">
        <v>5.84</v>
      </c>
      <c r="AH314">
        <v>2</v>
      </c>
      <c r="AI314">
        <v>16631843</v>
      </c>
      <c r="AJ314">
        <v>309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ROW(Source!A162)</f>
        <v>162</v>
      </c>
      <c r="B315">
        <v>16631860</v>
      </c>
      <c r="C315">
        <v>16631845</v>
      </c>
      <c r="D315">
        <v>15435721</v>
      </c>
      <c r="E315">
        <v>1</v>
      </c>
      <c r="F315">
        <v>1</v>
      </c>
      <c r="G315">
        <v>1</v>
      </c>
      <c r="H315">
        <v>1</v>
      </c>
      <c r="I315" t="s">
        <v>1311</v>
      </c>
      <c r="J315" t="s">
        <v>6</v>
      </c>
      <c r="K315" t="s">
        <v>1312</v>
      </c>
      <c r="L315">
        <v>1191</v>
      </c>
      <c r="N315">
        <v>1013</v>
      </c>
      <c r="O315" t="s">
        <v>1148</v>
      </c>
      <c r="P315" t="s">
        <v>1148</v>
      </c>
      <c r="Q315">
        <v>1</v>
      </c>
      <c r="X315">
        <v>1.56</v>
      </c>
      <c r="Y315">
        <v>0</v>
      </c>
      <c r="Z315">
        <v>0</v>
      </c>
      <c r="AA315">
        <v>0</v>
      </c>
      <c r="AB315">
        <v>9.51</v>
      </c>
      <c r="AC315">
        <v>0</v>
      </c>
      <c r="AD315">
        <v>1</v>
      </c>
      <c r="AE315">
        <v>1</v>
      </c>
      <c r="AF315" t="s">
        <v>490</v>
      </c>
      <c r="AG315">
        <v>0.46799999999999997</v>
      </c>
      <c r="AH315">
        <v>2</v>
      </c>
      <c r="AI315">
        <v>16631846</v>
      </c>
      <c r="AJ315">
        <v>310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ROW(Source!A162)</f>
        <v>162</v>
      </c>
      <c r="B316">
        <v>16631861</v>
      </c>
      <c r="C316">
        <v>16631845</v>
      </c>
      <c r="D316">
        <v>15249377</v>
      </c>
      <c r="E316">
        <v>1</v>
      </c>
      <c r="F316">
        <v>1</v>
      </c>
      <c r="G316">
        <v>1</v>
      </c>
      <c r="H316">
        <v>2</v>
      </c>
      <c r="I316" t="s">
        <v>1222</v>
      </c>
      <c r="J316" t="s">
        <v>1223</v>
      </c>
      <c r="K316" t="s">
        <v>1224</v>
      </c>
      <c r="L316">
        <v>1368</v>
      </c>
      <c r="N316">
        <v>1011</v>
      </c>
      <c r="O316" t="s">
        <v>1154</v>
      </c>
      <c r="P316" t="s">
        <v>1154</v>
      </c>
      <c r="Q316">
        <v>1</v>
      </c>
      <c r="X316">
        <v>0.13</v>
      </c>
      <c r="Y316">
        <v>0</v>
      </c>
      <c r="Z316">
        <v>8.1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490</v>
      </c>
      <c r="AG316">
        <v>3.9E-2</v>
      </c>
      <c r="AH316">
        <v>2</v>
      </c>
      <c r="AI316">
        <v>16631847</v>
      </c>
      <c r="AJ316">
        <v>311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ROW(Source!A162)</f>
        <v>162</v>
      </c>
      <c r="B317">
        <v>16631862</v>
      </c>
      <c r="C317">
        <v>16631845</v>
      </c>
      <c r="D317">
        <v>15165537</v>
      </c>
      <c r="E317">
        <v>1</v>
      </c>
      <c r="F317">
        <v>1</v>
      </c>
      <c r="G317">
        <v>1</v>
      </c>
      <c r="H317">
        <v>3</v>
      </c>
      <c r="I317" t="s">
        <v>1434</v>
      </c>
      <c r="J317" t="s">
        <v>1435</v>
      </c>
      <c r="K317" t="s">
        <v>1436</v>
      </c>
      <c r="L317">
        <v>1346</v>
      </c>
      <c r="N317">
        <v>1009</v>
      </c>
      <c r="O317" t="s">
        <v>102</v>
      </c>
      <c r="P317" t="s">
        <v>102</v>
      </c>
      <c r="Q317">
        <v>1</v>
      </c>
      <c r="X317">
        <v>6.0000000000000001E-3</v>
      </c>
      <c r="Y317">
        <v>44.97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30</v>
      </c>
      <c r="AG317">
        <v>0</v>
      </c>
      <c r="AH317">
        <v>2</v>
      </c>
      <c r="AI317">
        <v>16631848</v>
      </c>
      <c r="AJ317">
        <v>312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ROW(Source!A162)</f>
        <v>162</v>
      </c>
      <c r="B318">
        <v>16631863</v>
      </c>
      <c r="C318">
        <v>16631845</v>
      </c>
      <c r="D318">
        <v>15167269</v>
      </c>
      <c r="E318">
        <v>1</v>
      </c>
      <c r="F318">
        <v>1</v>
      </c>
      <c r="G318">
        <v>1</v>
      </c>
      <c r="H318">
        <v>3</v>
      </c>
      <c r="I318" t="s">
        <v>1437</v>
      </c>
      <c r="J318" t="s">
        <v>1438</v>
      </c>
      <c r="K318" t="s">
        <v>1439</v>
      </c>
      <c r="L318">
        <v>1346</v>
      </c>
      <c r="N318">
        <v>1009</v>
      </c>
      <c r="O318" t="s">
        <v>102</v>
      </c>
      <c r="P318" t="s">
        <v>102</v>
      </c>
      <c r="Q318">
        <v>1</v>
      </c>
      <c r="X318">
        <v>1E-3</v>
      </c>
      <c r="Y318">
        <v>11.5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30</v>
      </c>
      <c r="AG318">
        <v>0</v>
      </c>
      <c r="AH318">
        <v>2</v>
      </c>
      <c r="AI318">
        <v>16631849</v>
      </c>
      <c r="AJ318">
        <v>313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ROW(Source!A162)</f>
        <v>162</v>
      </c>
      <c r="B319">
        <v>16631864</v>
      </c>
      <c r="C319">
        <v>16631845</v>
      </c>
      <c r="D319">
        <v>15167588</v>
      </c>
      <c r="E319">
        <v>1</v>
      </c>
      <c r="F319">
        <v>1</v>
      </c>
      <c r="G319">
        <v>1</v>
      </c>
      <c r="H319">
        <v>3</v>
      </c>
      <c r="I319" t="s">
        <v>1422</v>
      </c>
      <c r="J319" t="s">
        <v>1423</v>
      </c>
      <c r="K319" t="s">
        <v>1424</v>
      </c>
      <c r="L319">
        <v>1346</v>
      </c>
      <c r="N319">
        <v>1009</v>
      </c>
      <c r="O319" t="s">
        <v>102</v>
      </c>
      <c r="P319" t="s">
        <v>102</v>
      </c>
      <c r="Q319">
        <v>1</v>
      </c>
      <c r="X319">
        <v>1.2E-2</v>
      </c>
      <c r="Y319">
        <v>30.4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30</v>
      </c>
      <c r="AG319">
        <v>0</v>
      </c>
      <c r="AH319">
        <v>2</v>
      </c>
      <c r="AI319">
        <v>16631850</v>
      </c>
      <c r="AJ319">
        <v>314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ROW(Source!A162)</f>
        <v>162</v>
      </c>
      <c r="B320">
        <v>16631865</v>
      </c>
      <c r="C320">
        <v>16631845</v>
      </c>
      <c r="D320">
        <v>15168752</v>
      </c>
      <c r="E320">
        <v>1</v>
      </c>
      <c r="F320">
        <v>1</v>
      </c>
      <c r="G320">
        <v>1</v>
      </c>
      <c r="H320">
        <v>3</v>
      </c>
      <c r="I320" t="s">
        <v>1440</v>
      </c>
      <c r="J320" t="s">
        <v>1441</v>
      </c>
      <c r="K320" t="s">
        <v>1442</v>
      </c>
      <c r="L320">
        <v>1346</v>
      </c>
      <c r="N320">
        <v>1009</v>
      </c>
      <c r="O320" t="s">
        <v>102</v>
      </c>
      <c r="P320" t="s">
        <v>102</v>
      </c>
      <c r="Q320">
        <v>1</v>
      </c>
      <c r="X320">
        <v>7.0000000000000007E-2</v>
      </c>
      <c r="Y320">
        <v>10.57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30</v>
      </c>
      <c r="AG320">
        <v>0</v>
      </c>
      <c r="AH320">
        <v>2</v>
      </c>
      <c r="AI320">
        <v>16631851</v>
      </c>
      <c r="AJ320">
        <v>315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ROW(Source!A162)</f>
        <v>162</v>
      </c>
      <c r="B321">
        <v>16631866</v>
      </c>
      <c r="C321">
        <v>16631845</v>
      </c>
      <c r="D321">
        <v>15169942</v>
      </c>
      <c r="E321">
        <v>1</v>
      </c>
      <c r="F321">
        <v>1</v>
      </c>
      <c r="G321">
        <v>1</v>
      </c>
      <c r="H321">
        <v>3</v>
      </c>
      <c r="I321" t="s">
        <v>1425</v>
      </c>
      <c r="J321" t="s">
        <v>1426</v>
      </c>
      <c r="K321" t="s">
        <v>1427</v>
      </c>
      <c r="L321">
        <v>1346</v>
      </c>
      <c r="N321">
        <v>1009</v>
      </c>
      <c r="O321" t="s">
        <v>102</v>
      </c>
      <c r="P321" t="s">
        <v>102</v>
      </c>
      <c r="Q321">
        <v>1</v>
      </c>
      <c r="X321">
        <v>4.9000000000000002E-2</v>
      </c>
      <c r="Y321">
        <v>9.0399999999999991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30</v>
      </c>
      <c r="AG321">
        <v>0</v>
      </c>
      <c r="AH321">
        <v>2</v>
      </c>
      <c r="AI321">
        <v>16631852</v>
      </c>
      <c r="AJ321">
        <v>316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ROW(Source!A162)</f>
        <v>162</v>
      </c>
      <c r="B322">
        <v>16631867</v>
      </c>
      <c r="C322">
        <v>16631845</v>
      </c>
      <c r="D322">
        <v>15170074</v>
      </c>
      <c r="E322">
        <v>1</v>
      </c>
      <c r="F322">
        <v>1</v>
      </c>
      <c r="G322">
        <v>1</v>
      </c>
      <c r="H322">
        <v>3</v>
      </c>
      <c r="I322" t="s">
        <v>1443</v>
      </c>
      <c r="J322" t="s">
        <v>1444</v>
      </c>
      <c r="K322" t="s">
        <v>1445</v>
      </c>
      <c r="L322">
        <v>1355</v>
      </c>
      <c r="N322">
        <v>1010</v>
      </c>
      <c r="O322" t="s">
        <v>243</v>
      </c>
      <c r="P322" t="s">
        <v>243</v>
      </c>
      <c r="Q322">
        <v>100</v>
      </c>
      <c r="X322">
        <v>1.4E-2</v>
      </c>
      <c r="Y322">
        <v>86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30</v>
      </c>
      <c r="AG322">
        <v>0</v>
      </c>
      <c r="AH322">
        <v>2</v>
      </c>
      <c r="AI322">
        <v>16631853</v>
      </c>
      <c r="AJ322">
        <v>317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ROW(Source!A162)</f>
        <v>162</v>
      </c>
      <c r="B323">
        <v>16631868</v>
      </c>
      <c r="C323">
        <v>16631845</v>
      </c>
      <c r="D323">
        <v>15170994</v>
      </c>
      <c r="E323">
        <v>1</v>
      </c>
      <c r="F323">
        <v>1</v>
      </c>
      <c r="G323">
        <v>1</v>
      </c>
      <c r="H323">
        <v>3</v>
      </c>
      <c r="I323" t="s">
        <v>1446</v>
      </c>
      <c r="J323" t="s">
        <v>1447</v>
      </c>
      <c r="K323" t="s">
        <v>1448</v>
      </c>
      <c r="L323">
        <v>1346</v>
      </c>
      <c r="N323">
        <v>1009</v>
      </c>
      <c r="O323" t="s">
        <v>102</v>
      </c>
      <c r="P323" t="s">
        <v>102</v>
      </c>
      <c r="Q323">
        <v>1</v>
      </c>
      <c r="X323">
        <v>1E-3</v>
      </c>
      <c r="Y323">
        <v>133.05000000000001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30</v>
      </c>
      <c r="AG323">
        <v>0</v>
      </c>
      <c r="AH323">
        <v>2</v>
      </c>
      <c r="AI323">
        <v>16631854</v>
      </c>
      <c r="AJ323">
        <v>318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ROW(Source!A162)</f>
        <v>162</v>
      </c>
      <c r="B324">
        <v>16631869</v>
      </c>
      <c r="C324">
        <v>16631845</v>
      </c>
      <c r="D324">
        <v>15188647</v>
      </c>
      <c r="E324">
        <v>1</v>
      </c>
      <c r="F324">
        <v>1</v>
      </c>
      <c r="G324">
        <v>1</v>
      </c>
      <c r="H324">
        <v>3</v>
      </c>
      <c r="I324" t="s">
        <v>1449</v>
      </c>
      <c r="J324" t="s">
        <v>1450</v>
      </c>
      <c r="K324" t="s">
        <v>1451</v>
      </c>
      <c r="L324">
        <v>1348</v>
      </c>
      <c r="N324">
        <v>1009</v>
      </c>
      <c r="O324" t="s">
        <v>98</v>
      </c>
      <c r="P324" t="s">
        <v>98</v>
      </c>
      <c r="Q324">
        <v>1000</v>
      </c>
      <c r="X324">
        <v>1E-3</v>
      </c>
      <c r="Y324">
        <v>11500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30</v>
      </c>
      <c r="AG324">
        <v>0</v>
      </c>
      <c r="AH324">
        <v>2</v>
      </c>
      <c r="AI324">
        <v>16631855</v>
      </c>
      <c r="AJ324">
        <v>319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ROW(Source!A162)</f>
        <v>162</v>
      </c>
      <c r="B325">
        <v>16631870</v>
      </c>
      <c r="C325">
        <v>16631845</v>
      </c>
      <c r="D325">
        <v>15203834</v>
      </c>
      <c r="E325">
        <v>1</v>
      </c>
      <c r="F325">
        <v>1</v>
      </c>
      <c r="G325">
        <v>1</v>
      </c>
      <c r="H325">
        <v>3</v>
      </c>
      <c r="I325" t="s">
        <v>1452</v>
      </c>
      <c r="J325" t="s">
        <v>1453</v>
      </c>
      <c r="K325" t="s">
        <v>1454</v>
      </c>
      <c r="L325">
        <v>1346</v>
      </c>
      <c r="N325">
        <v>1009</v>
      </c>
      <c r="O325" t="s">
        <v>102</v>
      </c>
      <c r="P325" t="s">
        <v>102</v>
      </c>
      <c r="Q325">
        <v>1</v>
      </c>
      <c r="X325">
        <v>3.5999999999999997E-2</v>
      </c>
      <c r="Y325">
        <v>28.6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30</v>
      </c>
      <c r="AG325">
        <v>0</v>
      </c>
      <c r="AH325">
        <v>2</v>
      </c>
      <c r="AI325">
        <v>16631856</v>
      </c>
      <c r="AJ325">
        <v>320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ROW(Source!A162)</f>
        <v>162</v>
      </c>
      <c r="B326">
        <v>16631871</v>
      </c>
      <c r="C326">
        <v>16631845</v>
      </c>
      <c r="D326">
        <v>15203987</v>
      </c>
      <c r="E326">
        <v>1</v>
      </c>
      <c r="F326">
        <v>1</v>
      </c>
      <c r="G326">
        <v>1</v>
      </c>
      <c r="H326">
        <v>3</v>
      </c>
      <c r="I326" t="s">
        <v>1455</v>
      </c>
      <c r="J326" t="s">
        <v>1456</v>
      </c>
      <c r="K326" t="s">
        <v>1457</v>
      </c>
      <c r="L326">
        <v>1346</v>
      </c>
      <c r="N326">
        <v>1009</v>
      </c>
      <c r="O326" t="s">
        <v>102</v>
      </c>
      <c r="P326" t="s">
        <v>102</v>
      </c>
      <c r="Q326">
        <v>1</v>
      </c>
      <c r="X326">
        <v>6.0000000000000001E-3</v>
      </c>
      <c r="Y326">
        <v>35.630000000000003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30</v>
      </c>
      <c r="AG326">
        <v>0</v>
      </c>
      <c r="AH326">
        <v>2</v>
      </c>
      <c r="AI326">
        <v>16631857</v>
      </c>
      <c r="AJ326">
        <v>321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ROW(Source!A162)</f>
        <v>162</v>
      </c>
      <c r="B327">
        <v>16631872</v>
      </c>
      <c r="C327">
        <v>16631845</v>
      </c>
      <c r="D327">
        <v>15217463</v>
      </c>
      <c r="E327">
        <v>1</v>
      </c>
      <c r="F327">
        <v>1</v>
      </c>
      <c r="G327">
        <v>1</v>
      </c>
      <c r="H327">
        <v>3</v>
      </c>
      <c r="I327" t="s">
        <v>1458</v>
      </c>
      <c r="J327" t="s">
        <v>1459</v>
      </c>
      <c r="K327" t="s">
        <v>1460</v>
      </c>
      <c r="L327">
        <v>1358</v>
      </c>
      <c r="N327">
        <v>1010</v>
      </c>
      <c r="O327" t="s">
        <v>616</v>
      </c>
      <c r="P327" t="s">
        <v>616</v>
      </c>
      <c r="Q327">
        <v>10</v>
      </c>
      <c r="X327">
        <v>0.1</v>
      </c>
      <c r="Y327">
        <v>39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0</v>
      </c>
      <c r="AF327" t="s">
        <v>30</v>
      </c>
      <c r="AG327">
        <v>0</v>
      </c>
      <c r="AH327">
        <v>2</v>
      </c>
      <c r="AI327">
        <v>16631858</v>
      </c>
      <c r="AJ327">
        <v>322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ROW(Source!A162)</f>
        <v>162</v>
      </c>
      <c r="B328">
        <v>16631873</v>
      </c>
      <c r="C328">
        <v>16631845</v>
      </c>
      <c r="D328">
        <v>15164559</v>
      </c>
      <c r="E328">
        <v>17</v>
      </c>
      <c r="F328">
        <v>1</v>
      </c>
      <c r="G328">
        <v>1</v>
      </c>
      <c r="H328">
        <v>3</v>
      </c>
      <c r="I328" t="s">
        <v>1431</v>
      </c>
      <c r="J328" t="s">
        <v>6</v>
      </c>
      <c r="K328" t="s">
        <v>1432</v>
      </c>
      <c r="L328">
        <v>1374</v>
      </c>
      <c r="N328">
        <v>1013</v>
      </c>
      <c r="O328" t="s">
        <v>1433</v>
      </c>
      <c r="P328" t="s">
        <v>1433</v>
      </c>
      <c r="Q328">
        <v>1</v>
      </c>
      <c r="X328">
        <v>0.3</v>
      </c>
      <c r="Y328">
        <v>1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30</v>
      </c>
      <c r="AG328">
        <v>0</v>
      </c>
      <c r="AH328">
        <v>2</v>
      </c>
      <c r="AI328">
        <v>16631859</v>
      </c>
      <c r="AJ328">
        <v>323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ROW(Source!A163)</f>
        <v>163</v>
      </c>
      <c r="B329">
        <v>16631881</v>
      </c>
      <c r="C329">
        <v>16631874</v>
      </c>
      <c r="D329">
        <v>15436556</v>
      </c>
      <c r="E329">
        <v>1</v>
      </c>
      <c r="F329">
        <v>1</v>
      </c>
      <c r="G329">
        <v>1</v>
      </c>
      <c r="H329">
        <v>1</v>
      </c>
      <c r="I329" t="s">
        <v>1354</v>
      </c>
      <c r="J329" t="s">
        <v>6</v>
      </c>
      <c r="K329" t="s">
        <v>1355</v>
      </c>
      <c r="L329">
        <v>1191</v>
      </c>
      <c r="N329">
        <v>1013</v>
      </c>
      <c r="O329" t="s">
        <v>1148</v>
      </c>
      <c r="P329" t="s">
        <v>1148</v>
      </c>
      <c r="Q329">
        <v>1</v>
      </c>
      <c r="X329">
        <v>12.3</v>
      </c>
      <c r="Y329">
        <v>0</v>
      </c>
      <c r="Z329">
        <v>0</v>
      </c>
      <c r="AA329">
        <v>0</v>
      </c>
      <c r="AB329">
        <v>9.6199999999999992</v>
      </c>
      <c r="AC329">
        <v>0</v>
      </c>
      <c r="AD329">
        <v>1</v>
      </c>
      <c r="AE329">
        <v>1</v>
      </c>
      <c r="AF329" t="s">
        <v>490</v>
      </c>
      <c r="AG329">
        <v>3.69</v>
      </c>
      <c r="AH329">
        <v>2</v>
      </c>
      <c r="AI329">
        <v>16631875</v>
      </c>
      <c r="AJ329">
        <v>324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ROW(Source!A163)</f>
        <v>163</v>
      </c>
      <c r="B330">
        <v>16631882</v>
      </c>
      <c r="C330">
        <v>16631874</v>
      </c>
      <c r="D330">
        <v>15430395</v>
      </c>
      <c r="E330">
        <v>1</v>
      </c>
      <c r="F330">
        <v>1</v>
      </c>
      <c r="G330">
        <v>1</v>
      </c>
      <c r="H330">
        <v>1</v>
      </c>
      <c r="I330" t="s">
        <v>1149</v>
      </c>
      <c r="J330" t="s">
        <v>6</v>
      </c>
      <c r="K330" t="s">
        <v>1150</v>
      </c>
      <c r="L330">
        <v>1191</v>
      </c>
      <c r="N330">
        <v>1013</v>
      </c>
      <c r="O330" t="s">
        <v>1148</v>
      </c>
      <c r="P330" t="s">
        <v>1148</v>
      </c>
      <c r="Q330">
        <v>1</v>
      </c>
      <c r="X330">
        <v>0.49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2</v>
      </c>
      <c r="AF330" t="s">
        <v>490</v>
      </c>
      <c r="AG330">
        <v>0.14699999999999999</v>
      </c>
      <c r="AH330">
        <v>2</v>
      </c>
      <c r="AI330">
        <v>16631876</v>
      </c>
      <c r="AJ330">
        <v>325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ROW(Source!A163)</f>
        <v>163</v>
      </c>
      <c r="B331">
        <v>16631883</v>
      </c>
      <c r="C331">
        <v>16631874</v>
      </c>
      <c r="D331">
        <v>15247905</v>
      </c>
      <c r="E331">
        <v>1</v>
      </c>
      <c r="F331">
        <v>1</v>
      </c>
      <c r="G331">
        <v>1</v>
      </c>
      <c r="H331">
        <v>2</v>
      </c>
      <c r="I331" t="s">
        <v>1330</v>
      </c>
      <c r="J331" t="s">
        <v>1331</v>
      </c>
      <c r="K331" t="s">
        <v>1332</v>
      </c>
      <c r="L331">
        <v>1368</v>
      </c>
      <c r="N331">
        <v>1011</v>
      </c>
      <c r="O331" t="s">
        <v>1154</v>
      </c>
      <c r="P331" t="s">
        <v>1154</v>
      </c>
      <c r="Q331">
        <v>1</v>
      </c>
      <c r="X331">
        <v>0.49</v>
      </c>
      <c r="Y331">
        <v>0</v>
      </c>
      <c r="Z331">
        <v>89.99</v>
      </c>
      <c r="AA331">
        <v>10.06</v>
      </c>
      <c r="AB331">
        <v>0</v>
      </c>
      <c r="AC331">
        <v>0</v>
      </c>
      <c r="AD331">
        <v>1</v>
      </c>
      <c r="AE331">
        <v>0</v>
      </c>
      <c r="AF331" t="s">
        <v>490</v>
      </c>
      <c r="AG331">
        <v>0.14699999999999999</v>
      </c>
      <c r="AH331">
        <v>2</v>
      </c>
      <c r="AI331">
        <v>16631877</v>
      </c>
      <c r="AJ331">
        <v>326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ROW(Source!A163)</f>
        <v>163</v>
      </c>
      <c r="B332">
        <v>16631884</v>
      </c>
      <c r="C332">
        <v>16631874</v>
      </c>
      <c r="D332">
        <v>15203777</v>
      </c>
      <c r="E332">
        <v>1</v>
      </c>
      <c r="F332">
        <v>1</v>
      </c>
      <c r="G332">
        <v>1</v>
      </c>
      <c r="H332">
        <v>3</v>
      </c>
      <c r="I332" t="s">
        <v>1461</v>
      </c>
      <c r="J332" t="s">
        <v>1462</v>
      </c>
      <c r="K332" t="s">
        <v>1463</v>
      </c>
      <c r="L332">
        <v>1348</v>
      </c>
      <c r="N332">
        <v>1009</v>
      </c>
      <c r="O332" t="s">
        <v>98</v>
      </c>
      <c r="P332" t="s">
        <v>98</v>
      </c>
      <c r="Q332">
        <v>1000</v>
      </c>
      <c r="X332">
        <v>3.0000000000000001E-5</v>
      </c>
      <c r="Y332">
        <v>26932.42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30</v>
      </c>
      <c r="AG332">
        <v>0</v>
      </c>
      <c r="AH332">
        <v>2</v>
      </c>
      <c r="AI332">
        <v>16631878</v>
      </c>
      <c r="AJ332">
        <v>327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ROW(Source!A163)</f>
        <v>163</v>
      </c>
      <c r="B333">
        <v>16631885</v>
      </c>
      <c r="C333">
        <v>16631874</v>
      </c>
      <c r="D333">
        <v>15204471</v>
      </c>
      <c r="E333">
        <v>1</v>
      </c>
      <c r="F333">
        <v>1</v>
      </c>
      <c r="G333">
        <v>1</v>
      </c>
      <c r="H333">
        <v>3</v>
      </c>
      <c r="I333" t="s">
        <v>1217</v>
      </c>
      <c r="J333" t="s">
        <v>1218</v>
      </c>
      <c r="K333" t="s">
        <v>1219</v>
      </c>
      <c r="L333">
        <v>1346</v>
      </c>
      <c r="N333">
        <v>1009</v>
      </c>
      <c r="O333" t="s">
        <v>102</v>
      </c>
      <c r="P333" t="s">
        <v>102</v>
      </c>
      <c r="Q333">
        <v>1</v>
      </c>
      <c r="X333">
        <v>1.0999999999999999E-2</v>
      </c>
      <c r="Y333">
        <v>32.6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30</v>
      </c>
      <c r="AG333">
        <v>0</v>
      </c>
      <c r="AH333">
        <v>2</v>
      </c>
      <c r="AI333">
        <v>16631879</v>
      </c>
      <c r="AJ333">
        <v>328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ROW(Source!A163)</f>
        <v>163</v>
      </c>
      <c r="B334">
        <v>16631886</v>
      </c>
      <c r="C334">
        <v>16631874</v>
      </c>
      <c r="D334">
        <v>15164559</v>
      </c>
      <c r="E334">
        <v>17</v>
      </c>
      <c r="F334">
        <v>1</v>
      </c>
      <c r="G334">
        <v>1</v>
      </c>
      <c r="H334">
        <v>3</v>
      </c>
      <c r="I334" t="s">
        <v>1431</v>
      </c>
      <c r="J334" t="s">
        <v>6</v>
      </c>
      <c r="K334" t="s">
        <v>1432</v>
      </c>
      <c r="L334">
        <v>1374</v>
      </c>
      <c r="N334">
        <v>1013</v>
      </c>
      <c r="O334" t="s">
        <v>1433</v>
      </c>
      <c r="P334" t="s">
        <v>1433</v>
      </c>
      <c r="Q334">
        <v>1</v>
      </c>
      <c r="X334">
        <v>2.37</v>
      </c>
      <c r="Y334">
        <v>1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30</v>
      </c>
      <c r="AG334">
        <v>0</v>
      </c>
      <c r="AH334">
        <v>2</v>
      </c>
      <c r="AI334">
        <v>16631880</v>
      </c>
      <c r="AJ334">
        <v>329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ROW(Source!A164)</f>
        <v>164</v>
      </c>
      <c r="B335">
        <v>16631892</v>
      </c>
      <c r="C335">
        <v>16631887</v>
      </c>
      <c r="D335">
        <v>15430447</v>
      </c>
      <c r="E335">
        <v>1</v>
      </c>
      <c r="F335">
        <v>1</v>
      </c>
      <c r="G335">
        <v>1</v>
      </c>
      <c r="H335">
        <v>1</v>
      </c>
      <c r="I335" t="s">
        <v>1464</v>
      </c>
      <c r="J335" t="s">
        <v>6</v>
      </c>
      <c r="K335" t="s">
        <v>1465</v>
      </c>
      <c r="L335">
        <v>1191</v>
      </c>
      <c r="N335">
        <v>1013</v>
      </c>
      <c r="O335" t="s">
        <v>1148</v>
      </c>
      <c r="P335" t="s">
        <v>1148</v>
      </c>
      <c r="Q335">
        <v>1</v>
      </c>
      <c r="X335">
        <v>1</v>
      </c>
      <c r="Y335">
        <v>0</v>
      </c>
      <c r="Z335">
        <v>0</v>
      </c>
      <c r="AA335">
        <v>0</v>
      </c>
      <c r="AB335">
        <v>9.07</v>
      </c>
      <c r="AC335">
        <v>0</v>
      </c>
      <c r="AD335">
        <v>1</v>
      </c>
      <c r="AE335">
        <v>1</v>
      </c>
      <c r="AF335" t="s">
        <v>490</v>
      </c>
      <c r="AG335">
        <v>0.3</v>
      </c>
      <c r="AH335">
        <v>2</v>
      </c>
      <c r="AI335">
        <v>16631888</v>
      </c>
      <c r="AJ335">
        <v>330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ROW(Source!A164)</f>
        <v>164</v>
      </c>
      <c r="B336">
        <v>16631893</v>
      </c>
      <c r="C336">
        <v>16631887</v>
      </c>
      <c r="D336">
        <v>15167589</v>
      </c>
      <c r="E336">
        <v>1</v>
      </c>
      <c r="F336">
        <v>1</v>
      </c>
      <c r="G336">
        <v>1</v>
      </c>
      <c r="H336">
        <v>3</v>
      </c>
      <c r="I336" t="s">
        <v>1466</v>
      </c>
      <c r="J336" t="s">
        <v>1467</v>
      </c>
      <c r="K336" t="s">
        <v>1468</v>
      </c>
      <c r="L336">
        <v>1346</v>
      </c>
      <c r="N336">
        <v>1009</v>
      </c>
      <c r="O336" t="s">
        <v>102</v>
      </c>
      <c r="P336" t="s">
        <v>102</v>
      </c>
      <c r="Q336">
        <v>1</v>
      </c>
      <c r="X336">
        <v>2E-3</v>
      </c>
      <c r="Y336">
        <v>91.29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30</v>
      </c>
      <c r="AG336">
        <v>0</v>
      </c>
      <c r="AH336">
        <v>2</v>
      </c>
      <c r="AI336">
        <v>16631889</v>
      </c>
      <c r="AJ336">
        <v>331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ROW(Source!A164)</f>
        <v>164</v>
      </c>
      <c r="B337">
        <v>16631894</v>
      </c>
      <c r="C337">
        <v>16631887</v>
      </c>
      <c r="D337">
        <v>15195043</v>
      </c>
      <c r="E337">
        <v>1</v>
      </c>
      <c r="F337">
        <v>1</v>
      </c>
      <c r="G337">
        <v>1</v>
      </c>
      <c r="H337">
        <v>3</v>
      </c>
      <c r="I337" t="s">
        <v>1469</v>
      </c>
      <c r="J337" t="s">
        <v>1470</v>
      </c>
      <c r="K337" t="s">
        <v>1471</v>
      </c>
      <c r="L337">
        <v>1346</v>
      </c>
      <c r="N337">
        <v>1009</v>
      </c>
      <c r="O337" t="s">
        <v>102</v>
      </c>
      <c r="P337" t="s">
        <v>102</v>
      </c>
      <c r="Q337">
        <v>1</v>
      </c>
      <c r="X337">
        <v>4.0000000000000001E-3</v>
      </c>
      <c r="Y337">
        <v>65.75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30</v>
      </c>
      <c r="AG337">
        <v>0</v>
      </c>
      <c r="AH337">
        <v>2</v>
      </c>
      <c r="AI337">
        <v>16631890</v>
      </c>
      <c r="AJ337">
        <v>332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ROW(Source!A164)</f>
        <v>164</v>
      </c>
      <c r="B338">
        <v>16631895</v>
      </c>
      <c r="C338">
        <v>16631887</v>
      </c>
      <c r="D338">
        <v>15164560</v>
      </c>
      <c r="E338">
        <v>17</v>
      </c>
      <c r="F338">
        <v>1</v>
      </c>
      <c r="G338">
        <v>1</v>
      </c>
      <c r="H338">
        <v>3</v>
      </c>
      <c r="I338" t="s">
        <v>1712</v>
      </c>
      <c r="J338" t="s">
        <v>6</v>
      </c>
      <c r="K338" t="s">
        <v>1713</v>
      </c>
      <c r="L338">
        <v>1348</v>
      </c>
      <c r="N338">
        <v>1009</v>
      </c>
      <c r="O338" t="s">
        <v>98</v>
      </c>
      <c r="P338" t="s">
        <v>98</v>
      </c>
      <c r="Q338">
        <v>1000</v>
      </c>
      <c r="X338">
        <v>1E-3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 t="s">
        <v>30</v>
      </c>
      <c r="AG338">
        <v>0</v>
      </c>
      <c r="AH338">
        <v>3</v>
      </c>
      <c r="AI338">
        <v>-1</v>
      </c>
      <c r="AJ338" t="s">
        <v>6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ROW(Source!A164)</f>
        <v>164</v>
      </c>
      <c r="B339">
        <v>16631896</v>
      </c>
      <c r="C339">
        <v>16631887</v>
      </c>
      <c r="D339">
        <v>15164559</v>
      </c>
      <c r="E339">
        <v>17</v>
      </c>
      <c r="F339">
        <v>1</v>
      </c>
      <c r="G339">
        <v>1</v>
      </c>
      <c r="H339">
        <v>3</v>
      </c>
      <c r="I339" t="s">
        <v>1431</v>
      </c>
      <c r="J339" t="s">
        <v>6</v>
      </c>
      <c r="K339" t="s">
        <v>1432</v>
      </c>
      <c r="L339">
        <v>1374</v>
      </c>
      <c r="N339">
        <v>1013</v>
      </c>
      <c r="O339" t="s">
        <v>1433</v>
      </c>
      <c r="P339" t="s">
        <v>1433</v>
      </c>
      <c r="Q339">
        <v>1</v>
      </c>
      <c r="X339">
        <v>0.18</v>
      </c>
      <c r="Y339">
        <v>1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30</v>
      </c>
      <c r="AG339">
        <v>0</v>
      </c>
      <c r="AH339">
        <v>2</v>
      </c>
      <c r="AI339">
        <v>16631891</v>
      </c>
      <c r="AJ339">
        <v>333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ROW(Source!A165)</f>
        <v>165</v>
      </c>
      <c r="B340">
        <v>16631901</v>
      </c>
      <c r="C340">
        <v>16631897</v>
      </c>
      <c r="D340">
        <v>15430517</v>
      </c>
      <c r="E340">
        <v>1</v>
      </c>
      <c r="F340">
        <v>1</v>
      </c>
      <c r="G340">
        <v>1</v>
      </c>
      <c r="H340">
        <v>1</v>
      </c>
      <c r="I340" t="s">
        <v>1169</v>
      </c>
      <c r="J340" t="s">
        <v>6</v>
      </c>
      <c r="K340" t="s">
        <v>1170</v>
      </c>
      <c r="L340">
        <v>1191</v>
      </c>
      <c r="N340">
        <v>1013</v>
      </c>
      <c r="O340" t="s">
        <v>1148</v>
      </c>
      <c r="P340" t="s">
        <v>1148</v>
      </c>
      <c r="Q340">
        <v>1</v>
      </c>
      <c r="X340">
        <v>9.64</v>
      </c>
      <c r="Y340">
        <v>0</v>
      </c>
      <c r="Z340">
        <v>0</v>
      </c>
      <c r="AA340">
        <v>0</v>
      </c>
      <c r="AB340">
        <v>7.8</v>
      </c>
      <c r="AC340">
        <v>0</v>
      </c>
      <c r="AD340">
        <v>1</v>
      </c>
      <c r="AE340">
        <v>1</v>
      </c>
      <c r="AF340" t="s">
        <v>6</v>
      </c>
      <c r="AG340">
        <v>9.64</v>
      </c>
      <c r="AH340">
        <v>2</v>
      </c>
      <c r="AI340">
        <v>16631898</v>
      </c>
      <c r="AJ340">
        <v>334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ROW(Source!A165)</f>
        <v>165</v>
      </c>
      <c r="B341">
        <v>16631902</v>
      </c>
      <c r="C341">
        <v>16631897</v>
      </c>
      <c r="D341">
        <v>15430395</v>
      </c>
      <c r="E341">
        <v>1</v>
      </c>
      <c r="F341">
        <v>1</v>
      </c>
      <c r="G341">
        <v>1</v>
      </c>
      <c r="H341">
        <v>1</v>
      </c>
      <c r="I341" t="s">
        <v>1149</v>
      </c>
      <c r="J341" t="s">
        <v>6</v>
      </c>
      <c r="K341" t="s">
        <v>1150</v>
      </c>
      <c r="L341">
        <v>1191</v>
      </c>
      <c r="N341">
        <v>1013</v>
      </c>
      <c r="O341" t="s">
        <v>1148</v>
      </c>
      <c r="P341" t="s">
        <v>1148</v>
      </c>
      <c r="Q341">
        <v>1</v>
      </c>
      <c r="X341">
        <v>0.01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2</v>
      </c>
      <c r="AF341" t="s">
        <v>6</v>
      </c>
      <c r="AG341">
        <v>0.01</v>
      </c>
      <c r="AH341">
        <v>2</v>
      </c>
      <c r="AI341">
        <v>16631899</v>
      </c>
      <c r="AJ341">
        <v>335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ROW(Source!A165)</f>
        <v>165</v>
      </c>
      <c r="B342">
        <v>16631903</v>
      </c>
      <c r="C342">
        <v>16631897</v>
      </c>
      <c r="D342">
        <v>15247974</v>
      </c>
      <c r="E342">
        <v>1</v>
      </c>
      <c r="F342">
        <v>1</v>
      </c>
      <c r="G342">
        <v>1</v>
      </c>
      <c r="H342">
        <v>2</v>
      </c>
      <c r="I342" t="s">
        <v>1151</v>
      </c>
      <c r="J342" t="s">
        <v>1152</v>
      </c>
      <c r="K342" t="s">
        <v>1153</v>
      </c>
      <c r="L342">
        <v>1368</v>
      </c>
      <c r="N342">
        <v>1011</v>
      </c>
      <c r="O342" t="s">
        <v>1154</v>
      </c>
      <c r="P342" t="s">
        <v>1154</v>
      </c>
      <c r="Q342">
        <v>1</v>
      </c>
      <c r="X342">
        <v>0.01</v>
      </c>
      <c r="Y342">
        <v>0</v>
      </c>
      <c r="Z342">
        <v>31.26</v>
      </c>
      <c r="AA342">
        <v>13.5</v>
      </c>
      <c r="AB342">
        <v>0</v>
      </c>
      <c r="AC342">
        <v>0</v>
      </c>
      <c r="AD342">
        <v>1</v>
      </c>
      <c r="AE342">
        <v>0</v>
      </c>
      <c r="AF342" t="s">
        <v>6</v>
      </c>
      <c r="AG342">
        <v>0.01</v>
      </c>
      <c r="AH342">
        <v>2</v>
      </c>
      <c r="AI342">
        <v>16631900</v>
      </c>
      <c r="AJ342">
        <v>336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ROW(Source!A166)</f>
        <v>166</v>
      </c>
      <c r="B343">
        <v>16631908</v>
      </c>
      <c r="C343">
        <v>16631904</v>
      </c>
      <c r="D343">
        <v>15430517</v>
      </c>
      <c r="E343">
        <v>1</v>
      </c>
      <c r="F343">
        <v>1</v>
      </c>
      <c r="G343">
        <v>1</v>
      </c>
      <c r="H343">
        <v>1</v>
      </c>
      <c r="I343" t="s">
        <v>1169</v>
      </c>
      <c r="J343" t="s">
        <v>6</v>
      </c>
      <c r="K343" t="s">
        <v>1170</v>
      </c>
      <c r="L343">
        <v>1191</v>
      </c>
      <c r="N343">
        <v>1013</v>
      </c>
      <c r="O343" t="s">
        <v>1148</v>
      </c>
      <c r="P343" t="s">
        <v>1148</v>
      </c>
      <c r="Q343">
        <v>1</v>
      </c>
      <c r="X343">
        <v>6.32</v>
      </c>
      <c r="Y343">
        <v>0</v>
      </c>
      <c r="Z343">
        <v>0</v>
      </c>
      <c r="AA343">
        <v>0</v>
      </c>
      <c r="AB343">
        <v>7.8</v>
      </c>
      <c r="AC343">
        <v>0</v>
      </c>
      <c r="AD343">
        <v>1</v>
      </c>
      <c r="AE343">
        <v>1</v>
      </c>
      <c r="AF343" t="s">
        <v>6</v>
      </c>
      <c r="AG343">
        <v>6.32</v>
      </c>
      <c r="AH343">
        <v>2</v>
      </c>
      <c r="AI343">
        <v>16631905</v>
      </c>
      <c r="AJ343">
        <v>337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ROW(Source!A166)</f>
        <v>166</v>
      </c>
      <c r="B344">
        <v>16631909</v>
      </c>
      <c r="C344">
        <v>16631904</v>
      </c>
      <c r="D344">
        <v>15430395</v>
      </c>
      <c r="E344">
        <v>1</v>
      </c>
      <c r="F344">
        <v>1</v>
      </c>
      <c r="G344">
        <v>1</v>
      </c>
      <c r="H344">
        <v>1</v>
      </c>
      <c r="I344" t="s">
        <v>1149</v>
      </c>
      <c r="J344" t="s">
        <v>6</v>
      </c>
      <c r="K344" t="s">
        <v>1150</v>
      </c>
      <c r="L344">
        <v>1191</v>
      </c>
      <c r="N344">
        <v>1013</v>
      </c>
      <c r="O344" t="s">
        <v>1148</v>
      </c>
      <c r="P344" t="s">
        <v>1148</v>
      </c>
      <c r="Q344">
        <v>1</v>
      </c>
      <c r="X344">
        <v>0.03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2</v>
      </c>
      <c r="AF344" t="s">
        <v>6</v>
      </c>
      <c r="AG344">
        <v>0.03</v>
      </c>
      <c r="AH344">
        <v>2</v>
      </c>
      <c r="AI344">
        <v>16631906</v>
      </c>
      <c r="AJ344">
        <v>338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ROW(Source!A166)</f>
        <v>166</v>
      </c>
      <c r="B345">
        <v>16631910</v>
      </c>
      <c r="C345">
        <v>16631904</v>
      </c>
      <c r="D345">
        <v>15247974</v>
      </c>
      <c r="E345">
        <v>1</v>
      </c>
      <c r="F345">
        <v>1</v>
      </c>
      <c r="G345">
        <v>1</v>
      </c>
      <c r="H345">
        <v>2</v>
      </c>
      <c r="I345" t="s">
        <v>1151</v>
      </c>
      <c r="J345" t="s">
        <v>1152</v>
      </c>
      <c r="K345" t="s">
        <v>1153</v>
      </c>
      <c r="L345">
        <v>1368</v>
      </c>
      <c r="N345">
        <v>1011</v>
      </c>
      <c r="O345" t="s">
        <v>1154</v>
      </c>
      <c r="P345" t="s">
        <v>1154</v>
      </c>
      <c r="Q345">
        <v>1</v>
      </c>
      <c r="X345">
        <v>0.03</v>
      </c>
      <c r="Y345">
        <v>0</v>
      </c>
      <c r="Z345">
        <v>31.26</v>
      </c>
      <c r="AA345">
        <v>13.5</v>
      </c>
      <c r="AB345">
        <v>0</v>
      </c>
      <c r="AC345">
        <v>0</v>
      </c>
      <c r="AD345">
        <v>1</v>
      </c>
      <c r="AE345">
        <v>0</v>
      </c>
      <c r="AF345" t="s">
        <v>6</v>
      </c>
      <c r="AG345">
        <v>0.03</v>
      </c>
      <c r="AH345">
        <v>2</v>
      </c>
      <c r="AI345">
        <v>16631907</v>
      </c>
      <c r="AJ345">
        <v>339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ROW(Source!A167)</f>
        <v>167</v>
      </c>
      <c r="B346">
        <v>16631915</v>
      </c>
      <c r="C346">
        <v>16631911</v>
      </c>
      <c r="D346">
        <v>15432010</v>
      </c>
      <c r="E346">
        <v>1</v>
      </c>
      <c r="F346">
        <v>1</v>
      </c>
      <c r="G346">
        <v>1</v>
      </c>
      <c r="H346">
        <v>1</v>
      </c>
      <c r="I346" t="s">
        <v>1155</v>
      </c>
      <c r="J346" t="s">
        <v>6</v>
      </c>
      <c r="K346" t="s">
        <v>1156</v>
      </c>
      <c r="L346">
        <v>1191</v>
      </c>
      <c r="N346">
        <v>1013</v>
      </c>
      <c r="O346" t="s">
        <v>1148</v>
      </c>
      <c r="P346" t="s">
        <v>1148</v>
      </c>
      <c r="Q346">
        <v>1</v>
      </c>
      <c r="X346">
        <v>17.89</v>
      </c>
      <c r="Y346">
        <v>0</v>
      </c>
      <c r="Z346">
        <v>0</v>
      </c>
      <c r="AA346">
        <v>0</v>
      </c>
      <c r="AB346">
        <v>8.02</v>
      </c>
      <c r="AC346">
        <v>0</v>
      </c>
      <c r="AD346">
        <v>1</v>
      </c>
      <c r="AE346">
        <v>1</v>
      </c>
      <c r="AF346" t="s">
        <v>6</v>
      </c>
      <c r="AG346">
        <v>17.89</v>
      </c>
      <c r="AH346">
        <v>2</v>
      </c>
      <c r="AI346">
        <v>16631912</v>
      </c>
      <c r="AJ346">
        <v>340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ROW(Source!A167)</f>
        <v>167</v>
      </c>
      <c r="B347">
        <v>16631916</v>
      </c>
      <c r="C347">
        <v>16631911</v>
      </c>
      <c r="D347">
        <v>15430395</v>
      </c>
      <c r="E347">
        <v>1</v>
      </c>
      <c r="F347">
        <v>1</v>
      </c>
      <c r="G347">
        <v>1</v>
      </c>
      <c r="H347">
        <v>1</v>
      </c>
      <c r="I347" t="s">
        <v>1149</v>
      </c>
      <c r="J347" t="s">
        <v>6</v>
      </c>
      <c r="K347" t="s">
        <v>1150</v>
      </c>
      <c r="L347">
        <v>1191</v>
      </c>
      <c r="N347">
        <v>1013</v>
      </c>
      <c r="O347" t="s">
        <v>1148</v>
      </c>
      <c r="P347" t="s">
        <v>1148</v>
      </c>
      <c r="Q347">
        <v>1</v>
      </c>
      <c r="X347">
        <v>0.08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2</v>
      </c>
      <c r="AF347" t="s">
        <v>6</v>
      </c>
      <c r="AG347">
        <v>0.08</v>
      </c>
      <c r="AH347">
        <v>2</v>
      </c>
      <c r="AI347">
        <v>16631913</v>
      </c>
      <c r="AJ347">
        <v>341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ROW(Source!A167)</f>
        <v>167</v>
      </c>
      <c r="B348">
        <v>16631917</v>
      </c>
      <c r="C348">
        <v>16631911</v>
      </c>
      <c r="D348">
        <v>15247974</v>
      </c>
      <c r="E348">
        <v>1</v>
      </c>
      <c r="F348">
        <v>1</v>
      </c>
      <c r="G348">
        <v>1</v>
      </c>
      <c r="H348">
        <v>2</v>
      </c>
      <c r="I348" t="s">
        <v>1151</v>
      </c>
      <c r="J348" t="s">
        <v>1152</v>
      </c>
      <c r="K348" t="s">
        <v>1153</v>
      </c>
      <c r="L348">
        <v>1368</v>
      </c>
      <c r="N348">
        <v>1011</v>
      </c>
      <c r="O348" t="s">
        <v>1154</v>
      </c>
      <c r="P348" t="s">
        <v>1154</v>
      </c>
      <c r="Q348">
        <v>1</v>
      </c>
      <c r="X348">
        <v>0.08</v>
      </c>
      <c r="Y348">
        <v>0</v>
      </c>
      <c r="Z348">
        <v>31.26</v>
      </c>
      <c r="AA348">
        <v>13.5</v>
      </c>
      <c r="AB348">
        <v>0</v>
      </c>
      <c r="AC348">
        <v>0</v>
      </c>
      <c r="AD348">
        <v>1</v>
      </c>
      <c r="AE348">
        <v>0</v>
      </c>
      <c r="AF348" t="s">
        <v>6</v>
      </c>
      <c r="AG348">
        <v>0.08</v>
      </c>
      <c r="AH348">
        <v>2</v>
      </c>
      <c r="AI348">
        <v>16631914</v>
      </c>
      <c r="AJ348">
        <v>342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ROW(Source!A168)</f>
        <v>168</v>
      </c>
      <c r="B349">
        <v>16631928</v>
      </c>
      <c r="C349">
        <v>16631918</v>
      </c>
      <c r="D349">
        <v>15446300</v>
      </c>
      <c r="E349">
        <v>1</v>
      </c>
      <c r="F349">
        <v>1</v>
      </c>
      <c r="G349">
        <v>1</v>
      </c>
      <c r="H349">
        <v>1</v>
      </c>
      <c r="I349" t="s">
        <v>1220</v>
      </c>
      <c r="J349" t="s">
        <v>6</v>
      </c>
      <c r="K349" t="s">
        <v>1221</v>
      </c>
      <c r="L349">
        <v>1191</v>
      </c>
      <c r="N349">
        <v>1013</v>
      </c>
      <c r="O349" t="s">
        <v>1148</v>
      </c>
      <c r="P349" t="s">
        <v>1148</v>
      </c>
      <c r="Q349">
        <v>1</v>
      </c>
      <c r="X349">
        <v>118.4</v>
      </c>
      <c r="Y349">
        <v>0</v>
      </c>
      <c r="Z349">
        <v>0</v>
      </c>
      <c r="AA349">
        <v>0</v>
      </c>
      <c r="AB349">
        <v>9.92</v>
      </c>
      <c r="AC349">
        <v>0</v>
      </c>
      <c r="AD349">
        <v>1</v>
      </c>
      <c r="AE349">
        <v>1</v>
      </c>
      <c r="AF349" t="s">
        <v>6</v>
      </c>
      <c r="AG349">
        <v>118.4</v>
      </c>
      <c r="AH349">
        <v>2</v>
      </c>
      <c r="AI349">
        <v>16631919</v>
      </c>
      <c r="AJ349">
        <v>343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ROW(Source!A168)</f>
        <v>168</v>
      </c>
      <c r="B350">
        <v>16631929</v>
      </c>
      <c r="C350">
        <v>16631918</v>
      </c>
      <c r="D350">
        <v>15430395</v>
      </c>
      <c r="E350">
        <v>1</v>
      </c>
      <c r="F350">
        <v>1</v>
      </c>
      <c r="G350">
        <v>1</v>
      </c>
      <c r="H350">
        <v>1</v>
      </c>
      <c r="I350" t="s">
        <v>1149</v>
      </c>
      <c r="J350" t="s">
        <v>6</v>
      </c>
      <c r="K350" t="s">
        <v>1150</v>
      </c>
      <c r="L350">
        <v>1191</v>
      </c>
      <c r="N350">
        <v>1013</v>
      </c>
      <c r="O350" t="s">
        <v>1148</v>
      </c>
      <c r="P350" t="s">
        <v>1148</v>
      </c>
      <c r="Q350">
        <v>1</v>
      </c>
      <c r="X350">
        <v>0.6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2</v>
      </c>
      <c r="AF350" t="s">
        <v>6</v>
      </c>
      <c r="AG350">
        <v>0.6</v>
      </c>
      <c r="AH350">
        <v>2</v>
      </c>
      <c r="AI350">
        <v>16631920</v>
      </c>
      <c r="AJ350">
        <v>344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ROW(Source!A168)</f>
        <v>168</v>
      </c>
      <c r="B351">
        <v>16631930</v>
      </c>
      <c r="C351">
        <v>16631918</v>
      </c>
      <c r="D351">
        <v>15247680</v>
      </c>
      <c r="E351">
        <v>1</v>
      </c>
      <c r="F351">
        <v>1</v>
      </c>
      <c r="G351">
        <v>1</v>
      </c>
      <c r="H351">
        <v>2</v>
      </c>
      <c r="I351" t="s">
        <v>1419</v>
      </c>
      <c r="J351" t="s">
        <v>1420</v>
      </c>
      <c r="K351" t="s">
        <v>1421</v>
      </c>
      <c r="L351">
        <v>1368</v>
      </c>
      <c r="N351">
        <v>1011</v>
      </c>
      <c r="O351" t="s">
        <v>1154</v>
      </c>
      <c r="P351" t="s">
        <v>1154</v>
      </c>
      <c r="Q351">
        <v>1</v>
      </c>
      <c r="X351">
        <v>0.3</v>
      </c>
      <c r="Y351">
        <v>0</v>
      </c>
      <c r="Z351">
        <v>111.99</v>
      </c>
      <c r="AA351">
        <v>13.5</v>
      </c>
      <c r="AB351">
        <v>0</v>
      </c>
      <c r="AC351">
        <v>0</v>
      </c>
      <c r="AD351">
        <v>1</v>
      </c>
      <c r="AE351">
        <v>0</v>
      </c>
      <c r="AF351" t="s">
        <v>6</v>
      </c>
      <c r="AG351">
        <v>0.3</v>
      </c>
      <c r="AH351">
        <v>2</v>
      </c>
      <c r="AI351">
        <v>16631921</v>
      </c>
      <c r="AJ351">
        <v>345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ROW(Source!A168)</f>
        <v>168</v>
      </c>
      <c r="B352">
        <v>16631931</v>
      </c>
      <c r="C352">
        <v>16631918</v>
      </c>
      <c r="D352">
        <v>15249073</v>
      </c>
      <c r="E352">
        <v>1</v>
      </c>
      <c r="F352">
        <v>1</v>
      </c>
      <c r="G352">
        <v>1</v>
      </c>
      <c r="H352">
        <v>2</v>
      </c>
      <c r="I352" t="s">
        <v>1157</v>
      </c>
      <c r="J352" t="s">
        <v>1158</v>
      </c>
      <c r="K352" t="s">
        <v>1159</v>
      </c>
      <c r="L352">
        <v>1368</v>
      </c>
      <c r="N352">
        <v>1011</v>
      </c>
      <c r="O352" t="s">
        <v>1154</v>
      </c>
      <c r="P352" t="s">
        <v>1154</v>
      </c>
      <c r="Q352">
        <v>1</v>
      </c>
      <c r="X352">
        <v>0.3</v>
      </c>
      <c r="Y352">
        <v>0</v>
      </c>
      <c r="Z352">
        <v>65.709999999999994</v>
      </c>
      <c r="AA352">
        <v>11.6</v>
      </c>
      <c r="AB352">
        <v>0</v>
      </c>
      <c r="AC352">
        <v>0</v>
      </c>
      <c r="AD352">
        <v>1</v>
      </c>
      <c r="AE352">
        <v>0</v>
      </c>
      <c r="AF352" t="s">
        <v>6</v>
      </c>
      <c r="AG352">
        <v>0.3</v>
      </c>
      <c r="AH352">
        <v>2</v>
      </c>
      <c r="AI352">
        <v>16631922</v>
      </c>
      <c r="AJ352">
        <v>346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ROW(Source!A168)</f>
        <v>168</v>
      </c>
      <c r="B353">
        <v>16631932</v>
      </c>
      <c r="C353">
        <v>16631918</v>
      </c>
      <c r="D353">
        <v>15171982</v>
      </c>
      <c r="E353">
        <v>1</v>
      </c>
      <c r="F353">
        <v>1</v>
      </c>
      <c r="G353">
        <v>1</v>
      </c>
      <c r="H353">
        <v>3</v>
      </c>
      <c r="I353" t="s">
        <v>1364</v>
      </c>
      <c r="J353" t="s">
        <v>1365</v>
      </c>
      <c r="K353" t="s">
        <v>1366</v>
      </c>
      <c r="L353">
        <v>1348</v>
      </c>
      <c r="N353">
        <v>1009</v>
      </c>
      <c r="O353" t="s">
        <v>98</v>
      </c>
      <c r="P353" t="s">
        <v>98</v>
      </c>
      <c r="Q353">
        <v>1000</v>
      </c>
      <c r="X353">
        <v>3.15E-3</v>
      </c>
      <c r="Y353">
        <v>729.98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6</v>
      </c>
      <c r="AG353">
        <v>3.15E-3</v>
      </c>
      <c r="AH353">
        <v>2</v>
      </c>
      <c r="AI353">
        <v>16631923</v>
      </c>
      <c r="AJ353">
        <v>347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ROW(Source!A168)</f>
        <v>168</v>
      </c>
      <c r="B354">
        <v>16631933</v>
      </c>
      <c r="C354">
        <v>16631918</v>
      </c>
      <c r="D354">
        <v>15233312</v>
      </c>
      <c r="E354">
        <v>1</v>
      </c>
      <c r="F354">
        <v>1</v>
      </c>
      <c r="G354">
        <v>1</v>
      </c>
      <c r="H354">
        <v>3</v>
      </c>
      <c r="I354" t="s">
        <v>1472</v>
      </c>
      <c r="J354" t="s">
        <v>1473</v>
      </c>
      <c r="K354" t="s">
        <v>1474</v>
      </c>
      <c r="L354">
        <v>1346</v>
      </c>
      <c r="N354">
        <v>1009</v>
      </c>
      <c r="O354" t="s">
        <v>102</v>
      </c>
      <c r="P354" t="s">
        <v>102</v>
      </c>
      <c r="Q354">
        <v>1</v>
      </c>
      <c r="X354">
        <v>3.09</v>
      </c>
      <c r="Y354">
        <v>35.700000000000003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6</v>
      </c>
      <c r="AG354">
        <v>3.09</v>
      </c>
      <c r="AH354">
        <v>2</v>
      </c>
      <c r="AI354">
        <v>16631924</v>
      </c>
      <c r="AJ354">
        <v>350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ROW(Source!A168)</f>
        <v>168</v>
      </c>
      <c r="B355">
        <v>16631934</v>
      </c>
      <c r="C355">
        <v>16631918</v>
      </c>
      <c r="D355">
        <v>15164559</v>
      </c>
      <c r="E355">
        <v>17</v>
      </c>
      <c r="F355">
        <v>1</v>
      </c>
      <c r="G355">
        <v>1</v>
      </c>
      <c r="H355">
        <v>3</v>
      </c>
      <c r="I355" t="s">
        <v>1431</v>
      </c>
      <c r="J355" t="s">
        <v>6</v>
      </c>
      <c r="K355" t="s">
        <v>1432</v>
      </c>
      <c r="L355">
        <v>1374</v>
      </c>
      <c r="N355">
        <v>1013</v>
      </c>
      <c r="O355" t="s">
        <v>1433</v>
      </c>
      <c r="P355" t="s">
        <v>1433</v>
      </c>
      <c r="Q355">
        <v>1</v>
      </c>
      <c r="X355">
        <v>23.49</v>
      </c>
      <c r="Y355">
        <v>1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6</v>
      </c>
      <c r="AG355">
        <v>23.49</v>
      </c>
      <c r="AH355">
        <v>2</v>
      </c>
      <c r="AI355">
        <v>16631925</v>
      </c>
      <c r="AJ355">
        <v>351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ROW(Source!A171)</f>
        <v>171</v>
      </c>
      <c r="B356">
        <v>16631946</v>
      </c>
      <c r="C356">
        <v>16631937</v>
      </c>
      <c r="D356">
        <v>15446300</v>
      </c>
      <c r="E356">
        <v>1</v>
      </c>
      <c r="F356">
        <v>1</v>
      </c>
      <c r="G356">
        <v>1</v>
      </c>
      <c r="H356">
        <v>1</v>
      </c>
      <c r="I356" t="s">
        <v>1220</v>
      </c>
      <c r="J356" t="s">
        <v>6</v>
      </c>
      <c r="K356" t="s">
        <v>1221</v>
      </c>
      <c r="L356">
        <v>1191</v>
      </c>
      <c r="N356">
        <v>1013</v>
      </c>
      <c r="O356" t="s">
        <v>1148</v>
      </c>
      <c r="P356" t="s">
        <v>1148</v>
      </c>
      <c r="Q356">
        <v>1</v>
      </c>
      <c r="X356">
        <v>148</v>
      </c>
      <c r="Y356">
        <v>0</v>
      </c>
      <c r="Z356">
        <v>0</v>
      </c>
      <c r="AA356">
        <v>0</v>
      </c>
      <c r="AB356">
        <v>9.92</v>
      </c>
      <c r="AC356">
        <v>0</v>
      </c>
      <c r="AD356">
        <v>1</v>
      </c>
      <c r="AE356">
        <v>1</v>
      </c>
      <c r="AF356" t="s">
        <v>6</v>
      </c>
      <c r="AG356">
        <v>148</v>
      </c>
      <c r="AH356">
        <v>2</v>
      </c>
      <c r="AI356">
        <v>16631938</v>
      </c>
      <c r="AJ356">
        <v>352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ROW(Source!A171)</f>
        <v>171</v>
      </c>
      <c r="B357">
        <v>16631947</v>
      </c>
      <c r="C357">
        <v>16631937</v>
      </c>
      <c r="D357">
        <v>15430395</v>
      </c>
      <c r="E357">
        <v>1</v>
      </c>
      <c r="F357">
        <v>1</v>
      </c>
      <c r="G357">
        <v>1</v>
      </c>
      <c r="H357">
        <v>1</v>
      </c>
      <c r="I357" t="s">
        <v>1149</v>
      </c>
      <c r="J357" t="s">
        <v>6</v>
      </c>
      <c r="K357" t="s">
        <v>1150</v>
      </c>
      <c r="L357">
        <v>1191</v>
      </c>
      <c r="N357">
        <v>1013</v>
      </c>
      <c r="O357" t="s">
        <v>1148</v>
      </c>
      <c r="P357" t="s">
        <v>1148</v>
      </c>
      <c r="Q357">
        <v>1</v>
      </c>
      <c r="X357">
        <v>0.6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2</v>
      </c>
      <c r="AF357" t="s">
        <v>6</v>
      </c>
      <c r="AG357">
        <v>0.6</v>
      </c>
      <c r="AH357">
        <v>2</v>
      </c>
      <c r="AI357">
        <v>16631939</v>
      </c>
      <c r="AJ357">
        <v>353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ROW(Source!A171)</f>
        <v>171</v>
      </c>
      <c r="B358">
        <v>16631948</v>
      </c>
      <c r="C358">
        <v>16631937</v>
      </c>
      <c r="D358">
        <v>15247680</v>
      </c>
      <c r="E358">
        <v>1</v>
      </c>
      <c r="F358">
        <v>1</v>
      </c>
      <c r="G358">
        <v>1</v>
      </c>
      <c r="H358">
        <v>2</v>
      </c>
      <c r="I358" t="s">
        <v>1419</v>
      </c>
      <c r="J358" t="s">
        <v>1420</v>
      </c>
      <c r="K358" t="s">
        <v>1421</v>
      </c>
      <c r="L358">
        <v>1368</v>
      </c>
      <c r="N358">
        <v>1011</v>
      </c>
      <c r="O358" t="s">
        <v>1154</v>
      </c>
      <c r="P358" t="s">
        <v>1154</v>
      </c>
      <c r="Q358">
        <v>1</v>
      </c>
      <c r="X358">
        <v>0.3</v>
      </c>
      <c r="Y358">
        <v>0</v>
      </c>
      <c r="Z358">
        <v>111.99</v>
      </c>
      <c r="AA358">
        <v>13.5</v>
      </c>
      <c r="AB358">
        <v>0</v>
      </c>
      <c r="AC358">
        <v>0</v>
      </c>
      <c r="AD358">
        <v>1</v>
      </c>
      <c r="AE358">
        <v>0</v>
      </c>
      <c r="AF358" t="s">
        <v>6</v>
      </c>
      <c r="AG358">
        <v>0.3</v>
      </c>
      <c r="AH358">
        <v>2</v>
      </c>
      <c r="AI358">
        <v>16631940</v>
      </c>
      <c r="AJ358">
        <v>354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ROW(Source!A171)</f>
        <v>171</v>
      </c>
      <c r="B359">
        <v>16631949</v>
      </c>
      <c r="C359">
        <v>16631937</v>
      </c>
      <c r="D359">
        <v>15249073</v>
      </c>
      <c r="E359">
        <v>1</v>
      </c>
      <c r="F359">
        <v>1</v>
      </c>
      <c r="G359">
        <v>1</v>
      </c>
      <c r="H359">
        <v>2</v>
      </c>
      <c r="I359" t="s">
        <v>1157</v>
      </c>
      <c r="J359" t="s">
        <v>1158</v>
      </c>
      <c r="K359" t="s">
        <v>1159</v>
      </c>
      <c r="L359">
        <v>1368</v>
      </c>
      <c r="N359">
        <v>1011</v>
      </c>
      <c r="O359" t="s">
        <v>1154</v>
      </c>
      <c r="P359" t="s">
        <v>1154</v>
      </c>
      <c r="Q359">
        <v>1</v>
      </c>
      <c r="X359">
        <v>0.3</v>
      </c>
      <c r="Y359">
        <v>0</v>
      </c>
      <c r="Z359">
        <v>65.709999999999994</v>
      </c>
      <c r="AA359">
        <v>11.6</v>
      </c>
      <c r="AB359">
        <v>0</v>
      </c>
      <c r="AC359">
        <v>0</v>
      </c>
      <c r="AD359">
        <v>1</v>
      </c>
      <c r="AE359">
        <v>0</v>
      </c>
      <c r="AF359" t="s">
        <v>6</v>
      </c>
      <c r="AG359">
        <v>0.3</v>
      </c>
      <c r="AH359">
        <v>2</v>
      </c>
      <c r="AI359">
        <v>16631941</v>
      </c>
      <c r="AJ359">
        <v>355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ROW(Source!A171)</f>
        <v>171</v>
      </c>
      <c r="B360">
        <v>16631950</v>
      </c>
      <c r="C360">
        <v>16631937</v>
      </c>
      <c r="D360">
        <v>15171982</v>
      </c>
      <c r="E360">
        <v>1</v>
      </c>
      <c r="F360">
        <v>1</v>
      </c>
      <c r="G360">
        <v>1</v>
      </c>
      <c r="H360">
        <v>3</v>
      </c>
      <c r="I360" t="s">
        <v>1364</v>
      </c>
      <c r="J360" t="s">
        <v>1365</v>
      </c>
      <c r="K360" t="s">
        <v>1366</v>
      </c>
      <c r="L360">
        <v>1348</v>
      </c>
      <c r="N360">
        <v>1009</v>
      </c>
      <c r="O360" t="s">
        <v>98</v>
      </c>
      <c r="P360" t="s">
        <v>98</v>
      </c>
      <c r="Q360">
        <v>1000</v>
      </c>
      <c r="X360">
        <v>3.15E-3</v>
      </c>
      <c r="Y360">
        <v>729.98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6</v>
      </c>
      <c r="AG360">
        <v>3.15E-3</v>
      </c>
      <c r="AH360">
        <v>2</v>
      </c>
      <c r="AI360">
        <v>16631942</v>
      </c>
      <c r="AJ360">
        <v>356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ROW(Source!A171)</f>
        <v>171</v>
      </c>
      <c r="B361">
        <v>16631951</v>
      </c>
      <c r="C361">
        <v>16631937</v>
      </c>
      <c r="D361">
        <v>15233312</v>
      </c>
      <c r="E361">
        <v>1</v>
      </c>
      <c r="F361">
        <v>1</v>
      </c>
      <c r="G361">
        <v>1</v>
      </c>
      <c r="H361">
        <v>3</v>
      </c>
      <c r="I361" t="s">
        <v>1472</v>
      </c>
      <c r="J361" t="s">
        <v>1473</v>
      </c>
      <c r="K361" t="s">
        <v>1474</v>
      </c>
      <c r="L361">
        <v>1346</v>
      </c>
      <c r="N361">
        <v>1009</v>
      </c>
      <c r="O361" t="s">
        <v>102</v>
      </c>
      <c r="P361" t="s">
        <v>102</v>
      </c>
      <c r="Q361">
        <v>1</v>
      </c>
      <c r="X361">
        <v>3.09</v>
      </c>
      <c r="Y361">
        <v>35.700000000000003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6</v>
      </c>
      <c r="AG361">
        <v>3.09</v>
      </c>
      <c r="AH361">
        <v>2</v>
      </c>
      <c r="AI361">
        <v>16631943</v>
      </c>
      <c r="AJ361">
        <v>358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ROW(Source!A171)</f>
        <v>171</v>
      </c>
      <c r="B362">
        <v>16631952</v>
      </c>
      <c r="C362">
        <v>16631937</v>
      </c>
      <c r="D362">
        <v>15164559</v>
      </c>
      <c r="E362">
        <v>17</v>
      </c>
      <c r="F362">
        <v>1</v>
      </c>
      <c r="G362">
        <v>1</v>
      </c>
      <c r="H362">
        <v>3</v>
      </c>
      <c r="I362" t="s">
        <v>1431</v>
      </c>
      <c r="J362" t="s">
        <v>6</v>
      </c>
      <c r="K362" t="s">
        <v>1432</v>
      </c>
      <c r="L362">
        <v>1374</v>
      </c>
      <c r="N362">
        <v>1013</v>
      </c>
      <c r="O362" t="s">
        <v>1433</v>
      </c>
      <c r="P362" t="s">
        <v>1433</v>
      </c>
      <c r="Q362">
        <v>1</v>
      </c>
      <c r="X362">
        <v>29.36</v>
      </c>
      <c r="Y362">
        <v>1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6</v>
      </c>
      <c r="AG362">
        <v>29.36</v>
      </c>
      <c r="AH362">
        <v>2</v>
      </c>
      <c r="AI362">
        <v>16631944</v>
      </c>
      <c r="AJ362">
        <v>359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ROW(Source!A173)</f>
        <v>173</v>
      </c>
      <c r="B363">
        <v>16631964</v>
      </c>
      <c r="C363">
        <v>16631954</v>
      </c>
      <c r="D363">
        <v>15446300</v>
      </c>
      <c r="E363">
        <v>1</v>
      </c>
      <c r="F363">
        <v>1</v>
      </c>
      <c r="G363">
        <v>1</v>
      </c>
      <c r="H363">
        <v>1</v>
      </c>
      <c r="I363" t="s">
        <v>1220</v>
      </c>
      <c r="J363" t="s">
        <v>6</v>
      </c>
      <c r="K363" t="s">
        <v>1221</v>
      </c>
      <c r="L363">
        <v>1191</v>
      </c>
      <c r="N363">
        <v>1013</v>
      </c>
      <c r="O363" t="s">
        <v>1148</v>
      </c>
      <c r="P363" t="s">
        <v>1148</v>
      </c>
      <c r="Q363">
        <v>1</v>
      </c>
      <c r="X363">
        <v>78.56</v>
      </c>
      <c r="Y363">
        <v>0</v>
      </c>
      <c r="Z363">
        <v>0</v>
      </c>
      <c r="AA363">
        <v>0</v>
      </c>
      <c r="AB363">
        <v>9.92</v>
      </c>
      <c r="AC363">
        <v>0</v>
      </c>
      <c r="AD363">
        <v>1</v>
      </c>
      <c r="AE363">
        <v>1</v>
      </c>
      <c r="AF363" t="s">
        <v>6</v>
      </c>
      <c r="AG363">
        <v>78.56</v>
      </c>
      <c r="AH363">
        <v>2</v>
      </c>
      <c r="AI363">
        <v>16631955</v>
      </c>
      <c r="AJ363">
        <v>360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ROW(Source!A173)</f>
        <v>173</v>
      </c>
      <c r="B364">
        <v>16631965</v>
      </c>
      <c r="C364">
        <v>16631954</v>
      </c>
      <c r="D364">
        <v>15430395</v>
      </c>
      <c r="E364">
        <v>1</v>
      </c>
      <c r="F364">
        <v>1</v>
      </c>
      <c r="G364">
        <v>1</v>
      </c>
      <c r="H364">
        <v>1</v>
      </c>
      <c r="I364" t="s">
        <v>1149</v>
      </c>
      <c r="J364" t="s">
        <v>6</v>
      </c>
      <c r="K364" t="s">
        <v>1150</v>
      </c>
      <c r="L364">
        <v>1191</v>
      </c>
      <c r="N364">
        <v>1013</v>
      </c>
      <c r="O364" t="s">
        <v>1148</v>
      </c>
      <c r="P364" t="s">
        <v>1148</v>
      </c>
      <c r="Q364">
        <v>1</v>
      </c>
      <c r="X364">
        <v>0.4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2</v>
      </c>
      <c r="AF364" t="s">
        <v>6</v>
      </c>
      <c r="AG364">
        <v>0.4</v>
      </c>
      <c r="AH364">
        <v>2</v>
      </c>
      <c r="AI364">
        <v>16631956</v>
      </c>
      <c r="AJ364">
        <v>361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ROW(Source!A173)</f>
        <v>173</v>
      </c>
      <c r="B365">
        <v>16631966</v>
      </c>
      <c r="C365">
        <v>16631954</v>
      </c>
      <c r="D365">
        <v>15247680</v>
      </c>
      <c r="E365">
        <v>1</v>
      </c>
      <c r="F365">
        <v>1</v>
      </c>
      <c r="G365">
        <v>1</v>
      </c>
      <c r="H365">
        <v>2</v>
      </c>
      <c r="I365" t="s">
        <v>1419</v>
      </c>
      <c r="J365" t="s">
        <v>1420</v>
      </c>
      <c r="K365" t="s">
        <v>1421</v>
      </c>
      <c r="L365">
        <v>1368</v>
      </c>
      <c r="N365">
        <v>1011</v>
      </c>
      <c r="O365" t="s">
        <v>1154</v>
      </c>
      <c r="P365" t="s">
        <v>1154</v>
      </c>
      <c r="Q365">
        <v>1</v>
      </c>
      <c r="X365">
        <v>0.2</v>
      </c>
      <c r="Y365">
        <v>0</v>
      </c>
      <c r="Z365">
        <v>111.99</v>
      </c>
      <c r="AA365">
        <v>13.5</v>
      </c>
      <c r="AB365">
        <v>0</v>
      </c>
      <c r="AC365">
        <v>0</v>
      </c>
      <c r="AD365">
        <v>1</v>
      </c>
      <c r="AE365">
        <v>0</v>
      </c>
      <c r="AF365" t="s">
        <v>6</v>
      </c>
      <c r="AG365">
        <v>0.2</v>
      </c>
      <c r="AH365">
        <v>2</v>
      </c>
      <c r="AI365">
        <v>16631957</v>
      </c>
      <c r="AJ365">
        <v>362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ROW(Source!A173)</f>
        <v>173</v>
      </c>
      <c r="B366">
        <v>16631967</v>
      </c>
      <c r="C366">
        <v>16631954</v>
      </c>
      <c r="D366">
        <v>15249073</v>
      </c>
      <c r="E366">
        <v>1</v>
      </c>
      <c r="F366">
        <v>1</v>
      </c>
      <c r="G366">
        <v>1</v>
      </c>
      <c r="H366">
        <v>2</v>
      </c>
      <c r="I366" t="s">
        <v>1157</v>
      </c>
      <c r="J366" t="s">
        <v>1158</v>
      </c>
      <c r="K366" t="s">
        <v>1159</v>
      </c>
      <c r="L366">
        <v>1368</v>
      </c>
      <c r="N366">
        <v>1011</v>
      </c>
      <c r="O366" t="s">
        <v>1154</v>
      </c>
      <c r="P366" t="s">
        <v>1154</v>
      </c>
      <c r="Q366">
        <v>1</v>
      </c>
      <c r="X366">
        <v>0.2</v>
      </c>
      <c r="Y366">
        <v>0</v>
      </c>
      <c r="Z366">
        <v>65.709999999999994</v>
      </c>
      <c r="AA366">
        <v>11.6</v>
      </c>
      <c r="AB366">
        <v>0</v>
      </c>
      <c r="AC366">
        <v>0</v>
      </c>
      <c r="AD366">
        <v>1</v>
      </c>
      <c r="AE366">
        <v>0</v>
      </c>
      <c r="AF366" t="s">
        <v>6</v>
      </c>
      <c r="AG366">
        <v>0.2</v>
      </c>
      <c r="AH366">
        <v>2</v>
      </c>
      <c r="AI366">
        <v>16631958</v>
      </c>
      <c r="AJ366">
        <v>363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ROW(Source!A173)</f>
        <v>173</v>
      </c>
      <c r="B367">
        <v>16631968</v>
      </c>
      <c r="C367">
        <v>16631954</v>
      </c>
      <c r="D367">
        <v>15167588</v>
      </c>
      <c r="E367">
        <v>1</v>
      </c>
      <c r="F367">
        <v>1</v>
      </c>
      <c r="G367">
        <v>1</v>
      </c>
      <c r="H367">
        <v>3</v>
      </c>
      <c r="I367" t="s">
        <v>1422</v>
      </c>
      <c r="J367" t="s">
        <v>1423</v>
      </c>
      <c r="K367" t="s">
        <v>1424</v>
      </c>
      <c r="L367">
        <v>1346</v>
      </c>
      <c r="N367">
        <v>1009</v>
      </c>
      <c r="O367" t="s">
        <v>102</v>
      </c>
      <c r="P367" t="s">
        <v>102</v>
      </c>
      <c r="Q367">
        <v>1</v>
      </c>
      <c r="X367">
        <v>0.21</v>
      </c>
      <c r="Y367">
        <v>30.4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6</v>
      </c>
      <c r="AG367">
        <v>0.21</v>
      </c>
      <c r="AH367">
        <v>2</v>
      </c>
      <c r="AI367">
        <v>16631959</v>
      </c>
      <c r="AJ367">
        <v>364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ROW(Source!A173)</f>
        <v>173</v>
      </c>
      <c r="B368">
        <v>16631969</v>
      </c>
      <c r="C368">
        <v>16631954</v>
      </c>
      <c r="D368">
        <v>15170074</v>
      </c>
      <c r="E368">
        <v>1</v>
      </c>
      <c r="F368">
        <v>1</v>
      </c>
      <c r="G368">
        <v>1</v>
      </c>
      <c r="H368">
        <v>3</v>
      </c>
      <c r="I368" t="s">
        <v>1443</v>
      </c>
      <c r="J368" t="s">
        <v>1444</v>
      </c>
      <c r="K368" t="s">
        <v>1445</v>
      </c>
      <c r="L368">
        <v>1355</v>
      </c>
      <c r="N368">
        <v>1010</v>
      </c>
      <c r="O368" t="s">
        <v>243</v>
      </c>
      <c r="P368" t="s">
        <v>243</v>
      </c>
      <c r="Q368">
        <v>100</v>
      </c>
      <c r="X368">
        <v>4.08</v>
      </c>
      <c r="Y368">
        <v>86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6</v>
      </c>
      <c r="AG368">
        <v>4.08</v>
      </c>
      <c r="AH368">
        <v>2</v>
      </c>
      <c r="AI368">
        <v>16631960</v>
      </c>
      <c r="AJ368">
        <v>365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ROW(Source!A173)</f>
        <v>173</v>
      </c>
      <c r="B369">
        <v>16631970</v>
      </c>
      <c r="C369">
        <v>16631954</v>
      </c>
      <c r="D369">
        <v>15225218</v>
      </c>
      <c r="E369">
        <v>1</v>
      </c>
      <c r="F369">
        <v>1</v>
      </c>
      <c r="G369">
        <v>1</v>
      </c>
      <c r="H369">
        <v>3</v>
      </c>
      <c r="I369" t="s">
        <v>1475</v>
      </c>
      <c r="J369" t="s">
        <v>1476</v>
      </c>
      <c r="K369" t="s">
        <v>1477</v>
      </c>
      <c r="L369">
        <v>1348</v>
      </c>
      <c r="N369">
        <v>1009</v>
      </c>
      <c r="O369" t="s">
        <v>98</v>
      </c>
      <c r="P369" t="s">
        <v>98</v>
      </c>
      <c r="Q369">
        <v>1000</v>
      </c>
      <c r="X369">
        <v>1.5299999999999999E-3</v>
      </c>
      <c r="Y369">
        <v>96440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0</v>
      </c>
      <c r="AF369" t="s">
        <v>6</v>
      </c>
      <c r="AG369">
        <v>1.5299999999999999E-3</v>
      </c>
      <c r="AH369">
        <v>2</v>
      </c>
      <c r="AI369">
        <v>16631961</v>
      </c>
      <c r="AJ369">
        <v>367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ROW(Source!A173)</f>
        <v>173</v>
      </c>
      <c r="B370">
        <v>16631971</v>
      </c>
      <c r="C370">
        <v>16631954</v>
      </c>
      <c r="D370">
        <v>15164559</v>
      </c>
      <c r="E370">
        <v>17</v>
      </c>
      <c r="F370">
        <v>1</v>
      </c>
      <c r="G370">
        <v>1</v>
      </c>
      <c r="H370">
        <v>3</v>
      </c>
      <c r="I370" t="s">
        <v>1431</v>
      </c>
      <c r="J370" t="s">
        <v>6</v>
      </c>
      <c r="K370" t="s">
        <v>1432</v>
      </c>
      <c r="L370">
        <v>1374</v>
      </c>
      <c r="N370">
        <v>1013</v>
      </c>
      <c r="O370" t="s">
        <v>1433</v>
      </c>
      <c r="P370" t="s">
        <v>1433</v>
      </c>
      <c r="Q370">
        <v>1</v>
      </c>
      <c r="X370">
        <v>15.59</v>
      </c>
      <c r="Y370">
        <v>1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6</v>
      </c>
      <c r="AG370">
        <v>15.59</v>
      </c>
      <c r="AH370">
        <v>2</v>
      </c>
      <c r="AI370">
        <v>16631962</v>
      </c>
      <c r="AJ370">
        <v>368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ROW(Source!A175)</f>
        <v>175</v>
      </c>
      <c r="B371">
        <v>16631986</v>
      </c>
      <c r="C371">
        <v>16631973</v>
      </c>
      <c r="D371">
        <v>15446300</v>
      </c>
      <c r="E371">
        <v>1</v>
      </c>
      <c r="F371">
        <v>1</v>
      </c>
      <c r="G371">
        <v>1</v>
      </c>
      <c r="H371">
        <v>1</v>
      </c>
      <c r="I371" t="s">
        <v>1220</v>
      </c>
      <c r="J371" t="s">
        <v>6</v>
      </c>
      <c r="K371" t="s">
        <v>1221</v>
      </c>
      <c r="L371">
        <v>1191</v>
      </c>
      <c r="N371">
        <v>1013</v>
      </c>
      <c r="O371" t="s">
        <v>1148</v>
      </c>
      <c r="P371" t="s">
        <v>1148</v>
      </c>
      <c r="Q371">
        <v>1</v>
      </c>
      <c r="X371">
        <v>34.56</v>
      </c>
      <c r="Y371">
        <v>0</v>
      </c>
      <c r="Z371">
        <v>0</v>
      </c>
      <c r="AA371">
        <v>0</v>
      </c>
      <c r="AB371">
        <v>9.92</v>
      </c>
      <c r="AC371">
        <v>0</v>
      </c>
      <c r="AD371">
        <v>1</v>
      </c>
      <c r="AE371">
        <v>1</v>
      </c>
      <c r="AF371" t="s">
        <v>6</v>
      </c>
      <c r="AG371">
        <v>34.56</v>
      </c>
      <c r="AH371">
        <v>2</v>
      </c>
      <c r="AI371">
        <v>16631974</v>
      </c>
      <c r="AJ371">
        <v>369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ROW(Source!A175)</f>
        <v>175</v>
      </c>
      <c r="B372">
        <v>16631987</v>
      </c>
      <c r="C372">
        <v>16631973</v>
      </c>
      <c r="D372">
        <v>15430395</v>
      </c>
      <c r="E372">
        <v>1</v>
      </c>
      <c r="F372">
        <v>1</v>
      </c>
      <c r="G372">
        <v>1</v>
      </c>
      <c r="H372">
        <v>1</v>
      </c>
      <c r="I372" t="s">
        <v>1149</v>
      </c>
      <c r="J372" t="s">
        <v>6</v>
      </c>
      <c r="K372" t="s">
        <v>1150</v>
      </c>
      <c r="L372">
        <v>1191</v>
      </c>
      <c r="N372">
        <v>1013</v>
      </c>
      <c r="O372" t="s">
        <v>1148</v>
      </c>
      <c r="P372" t="s">
        <v>1148</v>
      </c>
      <c r="Q372">
        <v>1</v>
      </c>
      <c r="X372">
        <v>0.05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2</v>
      </c>
      <c r="AF372" t="s">
        <v>6</v>
      </c>
      <c r="AG372">
        <v>0.05</v>
      </c>
      <c r="AH372">
        <v>2</v>
      </c>
      <c r="AI372">
        <v>16631975</v>
      </c>
      <c r="AJ372">
        <v>370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ROW(Source!A175)</f>
        <v>175</v>
      </c>
      <c r="B373">
        <v>16631988</v>
      </c>
      <c r="C373">
        <v>16631973</v>
      </c>
      <c r="D373">
        <v>15247680</v>
      </c>
      <c r="E373">
        <v>1</v>
      </c>
      <c r="F373">
        <v>1</v>
      </c>
      <c r="G373">
        <v>1</v>
      </c>
      <c r="H373">
        <v>2</v>
      </c>
      <c r="I373" t="s">
        <v>1419</v>
      </c>
      <c r="J373" t="s">
        <v>1420</v>
      </c>
      <c r="K373" t="s">
        <v>1421</v>
      </c>
      <c r="L373">
        <v>1368</v>
      </c>
      <c r="N373">
        <v>1011</v>
      </c>
      <c r="O373" t="s">
        <v>1154</v>
      </c>
      <c r="P373" t="s">
        <v>1154</v>
      </c>
      <c r="Q373">
        <v>1</v>
      </c>
      <c r="X373">
        <v>0.03</v>
      </c>
      <c r="Y373">
        <v>0</v>
      </c>
      <c r="Z373">
        <v>111.99</v>
      </c>
      <c r="AA373">
        <v>13.5</v>
      </c>
      <c r="AB373">
        <v>0</v>
      </c>
      <c r="AC373">
        <v>0</v>
      </c>
      <c r="AD373">
        <v>1</v>
      </c>
      <c r="AE373">
        <v>0</v>
      </c>
      <c r="AF373" t="s">
        <v>6</v>
      </c>
      <c r="AG373">
        <v>0.03</v>
      </c>
      <c r="AH373">
        <v>2</v>
      </c>
      <c r="AI373">
        <v>16631976</v>
      </c>
      <c r="AJ373">
        <v>371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ROW(Source!A175)</f>
        <v>175</v>
      </c>
      <c r="B374">
        <v>16631989</v>
      </c>
      <c r="C374">
        <v>16631973</v>
      </c>
      <c r="D374">
        <v>15249073</v>
      </c>
      <c r="E374">
        <v>1</v>
      </c>
      <c r="F374">
        <v>1</v>
      </c>
      <c r="G374">
        <v>1</v>
      </c>
      <c r="H374">
        <v>2</v>
      </c>
      <c r="I374" t="s">
        <v>1157</v>
      </c>
      <c r="J374" t="s">
        <v>1158</v>
      </c>
      <c r="K374" t="s">
        <v>1159</v>
      </c>
      <c r="L374">
        <v>1368</v>
      </c>
      <c r="N374">
        <v>1011</v>
      </c>
      <c r="O374" t="s">
        <v>1154</v>
      </c>
      <c r="P374" t="s">
        <v>1154</v>
      </c>
      <c r="Q374">
        <v>1</v>
      </c>
      <c r="X374">
        <v>0.02</v>
      </c>
      <c r="Y374">
        <v>0</v>
      </c>
      <c r="Z374">
        <v>65.709999999999994</v>
      </c>
      <c r="AA374">
        <v>11.6</v>
      </c>
      <c r="AB374">
        <v>0</v>
      </c>
      <c r="AC374">
        <v>0</v>
      </c>
      <c r="AD374">
        <v>1</v>
      </c>
      <c r="AE374">
        <v>0</v>
      </c>
      <c r="AF374" t="s">
        <v>6</v>
      </c>
      <c r="AG374">
        <v>0.02</v>
      </c>
      <c r="AH374">
        <v>2</v>
      </c>
      <c r="AI374">
        <v>16631977</v>
      </c>
      <c r="AJ374">
        <v>372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ROW(Source!A175)</f>
        <v>175</v>
      </c>
      <c r="B375">
        <v>16631990</v>
      </c>
      <c r="C375">
        <v>16631973</v>
      </c>
      <c r="D375">
        <v>15167588</v>
      </c>
      <c r="E375">
        <v>1</v>
      </c>
      <c r="F375">
        <v>1</v>
      </c>
      <c r="G375">
        <v>1</v>
      </c>
      <c r="H375">
        <v>3</v>
      </c>
      <c r="I375" t="s">
        <v>1422</v>
      </c>
      <c r="J375" t="s">
        <v>1423</v>
      </c>
      <c r="K375" t="s">
        <v>1424</v>
      </c>
      <c r="L375">
        <v>1346</v>
      </c>
      <c r="N375">
        <v>1009</v>
      </c>
      <c r="O375" t="s">
        <v>102</v>
      </c>
      <c r="P375" t="s">
        <v>102</v>
      </c>
      <c r="Q375">
        <v>1</v>
      </c>
      <c r="X375">
        <v>0.11</v>
      </c>
      <c r="Y375">
        <v>30.4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6</v>
      </c>
      <c r="AG375">
        <v>0.11</v>
      </c>
      <c r="AH375">
        <v>2</v>
      </c>
      <c r="AI375">
        <v>16631978</v>
      </c>
      <c r="AJ375">
        <v>373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ROW(Source!A175)</f>
        <v>175</v>
      </c>
      <c r="B376">
        <v>16631991</v>
      </c>
      <c r="C376">
        <v>16631973</v>
      </c>
      <c r="D376">
        <v>15170074</v>
      </c>
      <c r="E376">
        <v>1</v>
      </c>
      <c r="F376">
        <v>1</v>
      </c>
      <c r="G376">
        <v>1</v>
      </c>
      <c r="H376">
        <v>3</v>
      </c>
      <c r="I376" t="s">
        <v>1443</v>
      </c>
      <c r="J376" t="s">
        <v>1444</v>
      </c>
      <c r="K376" t="s">
        <v>1445</v>
      </c>
      <c r="L376">
        <v>1355</v>
      </c>
      <c r="N376">
        <v>1010</v>
      </c>
      <c r="O376" t="s">
        <v>243</v>
      </c>
      <c r="P376" t="s">
        <v>243</v>
      </c>
      <c r="Q376">
        <v>100</v>
      </c>
      <c r="X376">
        <v>1.02</v>
      </c>
      <c r="Y376">
        <v>86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6</v>
      </c>
      <c r="AG376">
        <v>1.02</v>
      </c>
      <c r="AH376">
        <v>2</v>
      </c>
      <c r="AI376">
        <v>16631979</v>
      </c>
      <c r="AJ376">
        <v>374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ROW(Source!A175)</f>
        <v>175</v>
      </c>
      <c r="B377">
        <v>16631992</v>
      </c>
      <c r="C377">
        <v>16631973</v>
      </c>
      <c r="D377">
        <v>15170434</v>
      </c>
      <c r="E377">
        <v>1</v>
      </c>
      <c r="F377">
        <v>1</v>
      </c>
      <c r="G377">
        <v>1</v>
      </c>
      <c r="H377">
        <v>3</v>
      </c>
      <c r="I377" t="s">
        <v>1478</v>
      </c>
      <c r="J377" t="s">
        <v>1479</v>
      </c>
      <c r="K377" t="s">
        <v>1480</v>
      </c>
      <c r="L377">
        <v>1348</v>
      </c>
      <c r="N377">
        <v>1009</v>
      </c>
      <c r="O377" t="s">
        <v>98</v>
      </c>
      <c r="P377" t="s">
        <v>98</v>
      </c>
      <c r="Q377">
        <v>1000</v>
      </c>
      <c r="X377">
        <v>1.6000000000000001E-4</v>
      </c>
      <c r="Y377">
        <v>29800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6</v>
      </c>
      <c r="AG377">
        <v>1.6000000000000001E-4</v>
      </c>
      <c r="AH377">
        <v>2</v>
      </c>
      <c r="AI377">
        <v>16631980</v>
      </c>
      <c r="AJ377">
        <v>375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ROW(Source!A175)</f>
        <v>175</v>
      </c>
      <c r="B378">
        <v>16631993</v>
      </c>
      <c r="C378">
        <v>16631973</v>
      </c>
      <c r="D378">
        <v>15170438</v>
      </c>
      <c r="E378">
        <v>1</v>
      </c>
      <c r="F378">
        <v>1</v>
      </c>
      <c r="G378">
        <v>1</v>
      </c>
      <c r="H378">
        <v>3</v>
      </c>
      <c r="I378" t="s">
        <v>1481</v>
      </c>
      <c r="J378" t="s">
        <v>1482</v>
      </c>
      <c r="K378" t="s">
        <v>1483</v>
      </c>
      <c r="L378">
        <v>1348</v>
      </c>
      <c r="N378">
        <v>1009</v>
      </c>
      <c r="O378" t="s">
        <v>98</v>
      </c>
      <c r="P378" t="s">
        <v>98</v>
      </c>
      <c r="Q378">
        <v>1000</v>
      </c>
      <c r="X378">
        <v>2.9999999999999997E-4</v>
      </c>
      <c r="Y378">
        <v>12430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6</v>
      </c>
      <c r="AG378">
        <v>2.9999999999999997E-4</v>
      </c>
      <c r="AH378">
        <v>2</v>
      </c>
      <c r="AI378">
        <v>16631981</v>
      </c>
      <c r="AJ378">
        <v>376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ROW(Source!A175)</f>
        <v>175</v>
      </c>
      <c r="B379">
        <v>16631994</v>
      </c>
      <c r="C379">
        <v>16631973</v>
      </c>
      <c r="D379">
        <v>15164559</v>
      </c>
      <c r="E379">
        <v>17</v>
      </c>
      <c r="F379">
        <v>1</v>
      </c>
      <c r="G379">
        <v>1</v>
      </c>
      <c r="H379">
        <v>3</v>
      </c>
      <c r="I379" t="s">
        <v>1431</v>
      </c>
      <c r="J379" t="s">
        <v>6</v>
      </c>
      <c r="K379" t="s">
        <v>1432</v>
      </c>
      <c r="L379">
        <v>1374</v>
      </c>
      <c r="N379">
        <v>1013</v>
      </c>
      <c r="O379" t="s">
        <v>1433</v>
      </c>
      <c r="P379" t="s">
        <v>1433</v>
      </c>
      <c r="Q379">
        <v>1</v>
      </c>
      <c r="X379">
        <v>6.86</v>
      </c>
      <c r="Y379">
        <v>1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0</v>
      </c>
      <c r="AF379" t="s">
        <v>6</v>
      </c>
      <c r="AG379">
        <v>6.86</v>
      </c>
      <c r="AH379">
        <v>2</v>
      </c>
      <c r="AI379">
        <v>16631982</v>
      </c>
      <c r="AJ379">
        <v>380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ROW(Source!A179)</f>
        <v>179</v>
      </c>
      <c r="B380">
        <v>16632007</v>
      </c>
      <c r="C380">
        <v>16631998</v>
      </c>
      <c r="D380">
        <v>15435721</v>
      </c>
      <c r="E380">
        <v>1</v>
      </c>
      <c r="F380">
        <v>1</v>
      </c>
      <c r="G380">
        <v>1</v>
      </c>
      <c r="H380">
        <v>1</v>
      </c>
      <c r="I380" t="s">
        <v>1311</v>
      </c>
      <c r="J380" t="s">
        <v>6</v>
      </c>
      <c r="K380" t="s">
        <v>1312</v>
      </c>
      <c r="L380">
        <v>1191</v>
      </c>
      <c r="N380">
        <v>1013</v>
      </c>
      <c r="O380" t="s">
        <v>1148</v>
      </c>
      <c r="P380" t="s">
        <v>1148</v>
      </c>
      <c r="Q380">
        <v>1</v>
      </c>
      <c r="X380">
        <v>16.29</v>
      </c>
      <c r="Y380">
        <v>0</v>
      </c>
      <c r="Z380">
        <v>0</v>
      </c>
      <c r="AA380">
        <v>0</v>
      </c>
      <c r="AB380">
        <v>9.51</v>
      </c>
      <c r="AC380">
        <v>0</v>
      </c>
      <c r="AD380">
        <v>1</v>
      </c>
      <c r="AE380">
        <v>1</v>
      </c>
      <c r="AF380" t="s">
        <v>6</v>
      </c>
      <c r="AG380">
        <v>16.29</v>
      </c>
      <c r="AH380">
        <v>2</v>
      </c>
      <c r="AI380">
        <v>16631999</v>
      </c>
      <c r="AJ380">
        <v>381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ROW(Source!A179)</f>
        <v>179</v>
      </c>
      <c r="B381">
        <v>16632008</v>
      </c>
      <c r="C381">
        <v>16631998</v>
      </c>
      <c r="D381">
        <v>15430395</v>
      </c>
      <c r="E381">
        <v>1</v>
      </c>
      <c r="F381">
        <v>1</v>
      </c>
      <c r="G381">
        <v>1</v>
      </c>
      <c r="H381">
        <v>1</v>
      </c>
      <c r="I381" t="s">
        <v>1149</v>
      </c>
      <c r="J381" t="s">
        <v>6</v>
      </c>
      <c r="K381" t="s">
        <v>1150</v>
      </c>
      <c r="L381">
        <v>1191</v>
      </c>
      <c r="N381">
        <v>1013</v>
      </c>
      <c r="O381" t="s">
        <v>1148</v>
      </c>
      <c r="P381" t="s">
        <v>1148</v>
      </c>
      <c r="Q381">
        <v>1</v>
      </c>
      <c r="X381">
        <v>0.01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2</v>
      </c>
      <c r="AF381" t="s">
        <v>6</v>
      </c>
      <c r="AG381">
        <v>0.01</v>
      </c>
      <c r="AH381">
        <v>2</v>
      </c>
      <c r="AI381">
        <v>16632000</v>
      </c>
      <c r="AJ381">
        <v>382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ROW(Source!A179)</f>
        <v>179</v>
      </c>
      <c r="B382">
        <v>16632009</v>
      </c>
      <c r="C382">
        <v>16631998</v>
      </c>
      <c r="D382">
        <v>15247974</v>
      </c>
      <c r="E382">
        <v>1</v>
      </c>
      <c r="F382">
        <v>1</v>
      </c>
      <c r="G382">
        <v>1</v>
      </c>
      <c r="H382">
        <v>2</v>
      </c>
      <c r="I382" t="s">
        <v>1151</v>
      </c>
      <c r="J382" t="s">
        <v>1152</v>
      </c>
      <c r="K382" t="s">
        <v>1153</v>
      </c>
      <c r="L382">
        <v>1368</v>
      </c>
      <c r="N382">
        <v>1011</v>
      </c>
      <c r="O382" t="s">
        <v>1154</v>
      </c>
      <c r="P382" t="s">
        <v>1154</v>
      </c>
      <c r="Q382">
        <v>1</v>
      </c>
      <c r="X382">
        <v>0.01</v>
      </c>
      <c r="Y382">
        <v>0</v>
      </c>
      <c r="Z382">
        <v>31.26</v>
      </c>
      <c r="AA382">
        <v>13.5</v>
      </c>
      <c r="AB382">
        <v>0</v>
      </c>
      <c r="AC382">
        <v>0</v>
      </c>
      <c r="AD382">
        <v>1</v>
      </c>
      <c r="AE382">
        <v>0</v>
      </c>
      <c r="AF382" t="s">
        <v>6</v>
      </c>
      <c r="AG382">
        <v>0.01</v>
      </c>
      <c r="AH382">
        <v>2</v>
      </c>
      <c r="AI382">
        <v>16632001</v>
      </c>
      <c r="AJ382">
        <v>383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ROW(Source!A179)</f>
        <v>179</v>
      </c>
      <c r="B383">
        <v>16632010</v>
      </c>
      <c r="C383">
        <v>16631998</v>
      </c>
      <c r="D383">
        <v>15170076</v>
      </c>
      <c r="E383">
        <v>1</v>
      </c>
      <c r="F383">
        <v>1</v>
      </c>
      <c r="G383">
        <v>1</v>
      </c>
      <c r="H383">
        <v>3</v>
      </c>
      <c r="I383" t="s">
        <v>1484</v>
      </c>
      <c r="J383" t="s">
        <v>1485</v>
      </c>
      <c r="K383" t="s">
        <v>1486</v>
      </c>
      <c r="L383">
        <v>1356</v>
      </c>
      <c r="N383">
        <v>1010</v>
      </c>
      <c r="O383" t="s">
        <v>278</v>
      </c>
      <c r="P383" t="s">
        <v>278</v>
      </c>
      <c r="Q383">
        <v>1000</v>
      </c>
      <c r="X383">
        <v>0.2</v>
      </c>
      <c r="Y383">
        <v>180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6</v>
      </c>
      <c r="AG383">
        <v>0.2</v>
      </c>
      <c r="AH383">
        <v>2</v>
      </c>
      <c r="AI383">
        <v>16632002</v>
      </c>
      <c r="AJ383">
        <v>384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ROW(Source!A179)</f>
        <v>179</v>
      </c>
      <c r="B384">
        <v>16632011</v>
      </c>
      <c r="C384">
        <v>16631998</v>
      </c>
      <c r="D384">
        <v>15170438</v>
      </c>
      <c r="E384">
        <v>1</v>
      </c>
      <c r="F384">
        <v>1</v>
      </c>
      <c r="G384">
        <v>1</v>
      </c>
      <c r="H384">
        <v>3</v>
      </c>
      <c r="I384" t="s">
        <v>1481</v>
      </c>
      <c r="J384" t="s">
        <v>1482</v>
      </c>
      <c r="K384" t="s">
        <v>1483</v>
      </c>
      <c r="L384">
        <v>1348</v>
      </c>
      <c r="N384">
        <v>1009</v>
      </c>
      <c r="O384" t="s">
        <v>98</v>
      </c>
      <c r="P384" t="s">
        <v>98</v>
      </c>
      <c r="Q384">
        <v>1000</v>
      </c>
      <c r="X384">
        <v>1E-3</v>
      </c>
      <c r="Y384">
        <v>12430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6</v>
      </c>
      <c r="AG384">
        <v>1E-3</v>
      </c>
      <c r="AH384">
        <v>2</v>
      </c>
      <c r="AI384">
        <v>16632003</v>
      </c>
      <c r="AJ384">
        <v>385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ROW(Source!A179)</f>
        <v>179</v>
      </c>
      <c r="B385">
        <v>16632012</v>
      </c>
      <c r="C385">
        <v>16631998</v>
      </c>
      <c r="D385">
        <v>15164559</v>
      </c>
      <c r="E385">
        <v>17</v>
      </c>
      <c r="F385">
        <v>1</v>
      </c>
      <c r="G385">
        <v>1</v>
      </c>
      <c r="H385">
        <v>3</v>
      </c>
      <c r="I385" t="s">
        <v>1431</v>
      </c>
      <c r="J385" t="s">
        <v>6</v>
      </c>
      <c r="K385" t="s">
        <v>1432</v>
      </c>
      <c r="L385">
        <v>1374</v>
      </c>
      <c r="N385">
        <v>1013</v>
      </c>
      <c r="O385" t="s">
        <v>1433</v>
      </c>
      <c r="P385" t="s">
        <v>1433</v>
      </c>
      <c r="Q385">
        <v>1</v>
      </c>
      <c r="X385">
        <v>3.1</v>
      </c>
      <c r="Y385">
        <v>1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 t="s">
        <v>6</v>
      </c>
      <c r="AG385">
        <v>3.1</v>
      </c>
      <c r="AH385">
        <v>2</v>
      </c>
      <c r="AI385">
        <v>16632004</v>
      </c>
      <c r="AJ385">
        <v>388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ROW(Source!A182)</f>
        <v>182</v>
      </c>
      <c r="B386">
        <v>16632017</v>
      </c>
      <c r="C386">
        <v>16632015</v>
      </c>
      <c r="D386">
        <v>15430767</v>
      </c>
      <c r="E386">
        <v>1</v>
      </c>
      <c r="F386">
        <v>1</v>
      </c>
      <c r="G386">
        <v>1</v>
      </c>
      <c r="H386">
        <v>1</v>
      </c>
      <c r="I386" t="s">
        <v>1171</v>
      </c>
      <c r="J386" t="s">
        <v>6</v>
      </c>
      <c r="K386" t="s">
        <v>1172</v>
      </c>
      <c r="L386">
        <v>1191</v>
      </c>
      <c r="N386">
        <v>1013</v>
      </c>
      <c r="O386" t="s">
        <v>1148</v>
      </c>
      <c r="P386" t="s">
        <v>1148</v>
      </c>
      <c r="Q386">
        <v>1</v>
      </c>
      <c r="X386">
        <v>5.49</v>
      </c>
      <c r="Y386">
        <v>0</v>
      </c>
      <c r="Z386">
        <v>0</v>
      </c>
      <c r="AA386">
        <v>0</v>
      </c>
      <c r="AB386">
        <v>8.5299999999999994</v>
      </c>
      <c r="AC386">
        <v>0</v>
      </c>
      <c r="AD386">
        <v>1</v>
      </c>
      <c r="AE386">
        <v>1</v>
      </c>
      <c r="AF386" t="s">
        <v>6</v>
      </c>
      <c r="AG386">
        <v>5.49</v>
      </c>
      <c r="AH386">
        <v>2</v>
      </c>
      <c r="AI386">
        <v>16632016</v>
      </c>
      <c r="AJ386">
        <v>389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ROW(Source!A182)</f>
        <v>182</v>
      </c>
      <c r="B387">
        <v>16632018</v>
      </c>
      <c r="C387">
        <v>16632015</v>
      </c>
      <c r="D387">
        <v>15164566</v>
      </c>
      <c r="E387">
        <v>17</v>
      </c>
      <c r="F387">
        <v>1</v>
      </c>
      <c r="G387">
        <v>1</v>
      </c>
      <c r="H387">
        <v>3</v>
      </c>
      <c r="I387" t="s">
        <v>1670</v>
      </c>
      <c r="J387" t="s">
        <v>6</v>
      </c>
      <c r="K387" t="s">
        <v>1671</v>
      </c>
      <c r="L387">
        <v>1348</v>
      </c>
      <c r="N387">
        <v>1009</v>
      </c>
      <c r="O387" t="s">
        <v>98</v>
      </c>
      <c r="P387" t="s">
        <v>98</v>
      </c>
      <c r="Q387">
        <v>1000</v>
      </c>
      <c r="X387">
        <v>6.0000000000000001E-3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 t="s">
        <v>6</v>
      </c>
      <c r="AG387">
        <v>6.0000000000000001E-3</v>
      </c>
      <c r="AH387">
        <v>3</v>
      </c>
      <c r="AI387">
        <v>-1</v>
      </c>
      <c r="AJ387" t="s">
        <v>6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ROW(Source!A183)</f>
        <v>183</v>
      </c>
      <c r="B388">
        <v>16632031</v>
      </c>
      <c r="C388">
        <v>16632019</v>
      </c>
      <c r="D388">
        <v>15430397</v>
      </c>
      <c r="E388">
        <v>1</v>
      </c>
      <c r="F388">
        <v>1</v>
      </c>
      <c r="G388">
        <v>1</v>
      </c>
      <c r="H388">
        <v>1</v>
      </c>
      <c r="I388" t="s">
        <v>1356</v>
      </c>
      <c r="J388" t="s">
        <v>6</v>
      </c>
      <c r="K388" t="s">
        <v>1357</v>
      </c>
      <c r="L388">
        <v>1191</v>
      </c>
      <c r="N388">
        <v>1013</v>
      </c>
      <c r="O388" t="s">
        <v>1148</v>
      </c>
      <c r="P388" t="s">
        <v>1148</v>
      </c>
      <c r="Q388">
        <v>1</v>
      </c>
      <c r="X388">
        <v>13.36</v>
      </c>
      <c r="Y388">
        <v>0</v>
      </c>
      <c r="Z388">
        <v>0</v>
      </c>
      <c r="AA388">
        <v>0</v>
      </c>
      <c r="AB388">
        <v>9.4</v>
      </c>
      <c r="AC388">
        <v>0</v>
      </c>
      <c r="AD388">
        <v>1</v>
      </c>
      <c r="AE388">
        <v>1</v>
      </c>
      <c r="AF388" t="s">
        <v>6</v>
      </c>
      <c r="AG388">
        <v>13.36</v>
      </c>
      <c r="AH388">
        <v>2</v>
      </c>
      <c r="AI388">
        <v>16632020</v>
      </c>
      <c r="AJ388">
        <v>390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ROW(Source!A183)</f>
        <v>183</v>
      </c>
      <c r="B389">
        <v>16632032</v>
      </c>
      <c r="C389">
        <v>16632019</v>
      </c>
      <c r="D389">
        <v>15430395</v>
      </c>
      <c r="E389">
        <v>1</v>
      </c>
      <c r="F389">
        <v>1</v>
      </c>
      <c r="G389">
        <v>1</v>
      </c>
      <c r="H389">
        <v>1</v>
      </c>
      <c r="I389" t="s">
        <v>1149</v>
      </c>
      <c r="J389" t="s">
        <v>6</v>
      </c>
      <c r="K389" t="s">
        <v>1150</v>
      </c>
      <c r="L389">
        <v>1191</v>
      </c>
      <c r="N389">
        <v>1013</v>
      </c>
      <c r="O389" t="s">
        <v>1148</v>
      </c>
      <c r="P389" t="s">
        <v>1148</v>
      </c>
      <c r="Q389">
        <v>1</v>
      </c>
      <c r="X389">
        <v>0.18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2</v>
      </c>
      <c r="AF389" t="s">
        <v>6</v>
      </c>
      <c r="AG389">
        <v>0.18</v>
      </c>
      <c r="AH389">
        <v>2</v>
      </c>
      <c r="AI389">
        <v>16632021</v>
      </c>
      <c r="AJ389">
        <v>391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ROW(Source!A183)</f>
        <v>183</v>
      </c>
      <c r="B390">
        <v>16632033</v>
      </c>
      <c r="C390">
        <v>16632019</v>
      </c>
      <c r="D390">
        <v>15247680</v>
      </c>
      <c r="E390">
        <v>1</v>
      </c>
      <c r="F390">
        <v>1</v>
      </c>
      <c r="G390">
        <v>1</v>
      </c>
      <c r="H390">
        <v>2</v>
      </c>
      <c r="I390" t="s">
        <v>1419</v>
      </c>
      <c r="J390" t="s">
        <v>1420</v>
      </c>
      <c r="K390" t="s">
        <v>1421</v>
      </c>
      <c r="L390">
        <v>1368</v>
      </c>
      <c r="N390">
        <v>1011</v>
      </c>
      <c r="O390" t="s">
        <v>1154</v>
      </c>
      <c r="P390" t="s">
        <v>1154</v>
      </c>
      <c r="Q390">
        <v>1</v>
      </c>
      <c r="X390">
        <v>0.09</v>
      </c>
      <c r="Y390">
        <v>0</v>
      </c>
      <c r="Z390">
        <v>111.99</v>
      </c>
      <c r="AA390">
        <v>13.5</v>
      </c>
      <c r="AB390">
        <v>0</v>
      </c>
      <c r="AC390">
        <v>0</v>
      </c>
      <c r="AD390">
        <v>1</v>
      </c>
      <c r="AE390">
        <v>0</v>
      </c>
      <c r="AF390" t="s">
        <v>6</v>
      </c>
      <c r="AG390">
        <v>0.09</v>
      </c>
      <c r="AH390">
        <v>2</v>
      </c>
      <c r="AI390">
        <v>16632022</v>
      </c>
      <c r="AJ390">
        <v>392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ROW(Source!A183)</f>
        <v>183</v>
      </c>
      <c r="B391">
        <v>16632034</v>
      </c>
      <c r="C391">
        <v>16632019</v>
      </c>
      <c r="D391">
        <v>15249073</v>
      </c>
      <c r="E391">
        <v>1</v>
      </c>
      <c r="F391">
        <v>1</v>
      </c>
      <c r="G391">
        <v>1</v>
      </c>
      <c r="H391">
        <v>2</v>
      </c>
      <c r="I391" t="s">
        <v>1157</v>
      </c>
      <c r="J391" t="s">
        <v>1158</v>
      </c>
      <c r="K391" t="s">
        <v>1159</v>
      </c>
      <c r="L391">
        <v>1368</v>
      </c>
      <c r="N391">
        <v>1011</v>
      </c>
      <c r="O391" t="s">
        <v>1154</v>
      </c>
      <c r="P391" t="s">
        <v>1154</v>
      </c>
      <c r="Q391">
        <v>1</v>
      </c>
      <c r="X391">
        <v>0.09</v>
      </c>
      <c r="Y391">
        <v>0</v>
      </c>
      <c r="Z391">
        <v>65.709999999999994</v>
      </c>
      <c r="AA391">
        <v>11.6</v>
      </c>
      <c r="AB391">
        <v>0</v>
      </c>
      <c r="AC391">
        <v>0</v>
      </c>
      <c r="AD391">
        <v>1</v>
      </c>
      <c r="AE391">
        <v>0</v>
      </c>
      <c r="AF391" t="s">
        <v>6</v>
      </c>
      <c r="AG391">
        <v>0.09</v>
      </c>
      <c r="AH391">
        <v>2</v>
      </c>
      <c r="AI391">
        <v>16632023</v>
      </c>
      <c r="AJ391">
        <v>393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ROW(Source!A183)</f>
        <v>183</v>
      </c>
      <c r="B392">
        <v>16632035</v>
      </c>
      <c r="C392">
        <v>16632019</v>
      </c>
      <c r="D392">
        <v>15172838</v>
      </c>
      <c r="E392">
        <v>1</v>
      </c>
      <c r="F392">
        <v>1</v>
      </c>
      <c r="G392">
        <v>1</v>
      </c>
      <c r="H392">
        <v>3</v>
      </c>
      <c r="I392" t="s">
        <v>1487</v>
      </c>
      <c r="J392" t="s">
        <v>1488</v>
      </c>
      <c r="K392" t="s">
        <v>1489</v>
      </c>
      <c r="L392">
        <v>1339</v>
      </c>
      <c r="N392">
        <v>1007</v>
      </c>
      <c r="O392" t="s">
        <v>203</v>
      </c>
      <c r="P392" t="s">
        <v>203</v>
      </c>
      <c r="Q392">
        <v>1</v>
      </c>
      <c r="X392">
        <v>2.1000000000000001E-2</v>
      </c>
      <c r="Y392">
        <v>600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6</v>
      </c>
      <c r="AG392">
        <v>2.1000000000000001E-2</v>
      </c>
      <c r="AH392">
        <v>2</v>
      </c>
      <c r="AI392">
        <v>16632024</v>
      </c>
      <c r="AJ392">
        <v>394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ROW(Source!A183)</f>
        <v>183</v>
      </c>
      <c r="B393">
        <v>16632036</v>
      </c>
      <c r="C393">
        <v>16632019</v>
      </c>
      <c r="D393">
        <v>15202442</v>
      </c>
      <c r="E393">
        <v>1</v>
      </c>
      <c r="F393">
        <v>1</v>
      </c>
      <c r="G393">
        <v>1</v>
      </c>
      <c r="H393">
        <v>3</v>
      </c>
      <c r="I393" t="s">
        <v>1490</v>
      </c>
      <c r="J393" t="s">
        <v>1491</v>
      </c>
      <c r="K393" t="s">
        <v>1492</v>
      </c>
      <c r="L393">
        <v>1346</v>
      </c>
      <c r="N393">
        <v>1009</v>
      </c>
      <c r="O393" t="s">
        <v>102</v>
      </c>
      <c r="P393" t="s">
        <v>102</v>
      </c>
      <c r="Q393">
        <v>1</v>
      </c>
      <c r="X393">
        <v>0.2</v>
      </c>
      <c r="Y393">
        <v>25.8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6</v>
      </c>
      <c r="AG393">
        <v>0.2</v>
      </c>
      <c r="AH393">
        <v>2</v>
      </c>
      <c r="AI393">
        <v>16632025</v>
      </c>
      <c r="AJ393">
        <v>395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ROW(Source!A183)</f>
        <v>183</v>
      </c>
      <c r="B394">
        <v>16632037</v>
      </c>
      <c r="C394">
        <v>16632019</v>
      </c>
      <c r="D394">
        <v>15217585</v>
      </c>
      <c r="E394">
        <v>1</v>
      </c>
      <c r="F394">
        <v>1</v>
      </c>
      <c r="G394">
        <v>1</v>
      </c>
      <c r="H394">
        <v>3</v>
      </c>
      <c r="I394" t="s">
        <v>1493</v>
      </c>
      <c r="J394" t="s">
        <v>1494</v>
      </c>
      <c r="K394" t="s">
        <v>1495</v>
      </c>
      <c r="L394">
        <v>1356</v>
      </c>
      <c r="N394">
        <v>1010</v>
      </c>
      <c r="O394" t="s">
        <v>278</v>
      </c>
      <c r="P394" t="s">
        <v>278</v>
      </c>
      <c r="Q394">
        <v>1000</v>
      </c>
      <c r="X394">
        <v>3.2000000000000001E-2</v>
      </c>
      <c r="Y394">
        <v>270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6</v>
      </c>
      <c r="AG394">
        <v>3.2000000000000001E-2</v>
      </c>
      <c r="AH394">
        <v>2</v>
      </c>
      <c r="AI394">
        <v>16632026</v>
      </c>
      <c r="AJ394">
        <v>396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ROW(Source!A183)</f>
        <v>183</v>
      </c>
      <c r="B395">
        <v>16632038</v>
      </c>
      <c r="C395">
        <v>16632019</v>
      </c>
      <c r="D395">
        <v>15217593</v>
      </c>
      <c r="E395">
        <v>1</v>
      </c>
      <c r="F395">
        <v>1</v>
      </c>
      <c r="G395">
        <v>1</v>
      </c>
      <c r="H395">
        <v>3</v>
      </c>
      <c r="I395" t="s">
        <v>1496</v>
      </c>
      <c r="J395" t="s">
        <v>1497</v>
      </c>
      <c r="K395" t="s">
        <v>1498</v>
      </c>
      <c r="L395">
        <v>1358</v>
      </c>
      <c r="N395">
        <v>1010</v>
      </c>
      <c r="O395" t="s">
        <v>616</v>
      </c>
      <c r="P395" t="s">
        <v>616</v>
      </c>
      <c r="Q395">
        <v>10</v>
      </c>
      <c r="X395">
        <v>1</v>
      </c>
      <c r="Y395">
        <v>19.899999999999999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6</v>
      </c>
      <c r="AG395">
        <v>1</v>
      </c>
      <c r="AH395">
        <v>2</v>
      </c>
      <c r="AI395">
        <v>16632027</v>
      </c>
      <c r="AJ395">
        <v>397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ROW(Source!A183)</f>
        <v>183</v>
      </c>
      <c r="B396">
        <v>16632039</v>
      </c>
      <c r="C396">
        <v>16632019</v>
      </c>
      <c r="D396">
        <v>15218939</v>
      </c>
      <c r="E396">
        <v>1</v>
      </c>
      <c r="F396">
        <v>1</v>
      </c>
      <c r="G396">
        <v>1</v>
      </c>
      <c r="H396">
        <v>3</v>
      </c>
      <c r="I396" t="s">
        <v>1499</v>
      </c>
      <c r="J396" t="s">
        <v>1500</v>
      </c>
      <c r="K396" t="s">
        <v>1501</v>
      </c>
      <c r="L396">
        <v>1354</v>
      </c>
      <c r="N396">
        <v>1010</v>
      </c>
      <c r="O396" t="s">
        <v>132</v>
      </c>
      <c r="P396" t="s">
        <v>132</v>
      </c>
      <c r="Q396">
        <v>1</v>
      </c>
      <c r="X396">
        <v>0.5</v>
      </c>
      <c r="Y396">
        <v>66.819999999999993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6</v>
      </c>
      <c r="AG396">
        <v>0.5</v>
      </c>
      <c r="AH396">
        <v>2</v>
      </c>
      <c r="AI396">
        <v>16632028</v>
      </c>
      <c r="AJ396">
        <v>398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ROW(Source!A183)</f>
        <v>183</v>
      </c>
      <c r="B397">
        <v>16632040</v>
      </c>
      <c r="C397">
        <v>16632019</v>
      </c>
      <c r="D397">
        <v>15164559</v>
      </c>
      <c r="E397">
        <v>17</v>
      </c>
      <c r="F397">
        <v>1</v>
      </c>
      <c r="G397">
        <v>1</v>
      </c>
      <c r="H397">
        <v>3</v>
      </c>
      <c r="I397" t="s">
        <v>1431</v>
      </c>
      <c r="J397" t="s">
        <v>6</v>
      </c>
      <c r="K397" t="s">
        <v>1432</v>
      </c>
      <c r="L397">
        <v>1374</v>
      </c>
      <c r="N397">
        <v>1013</v>
      </c>
      <c r="O397" t="s">
        <v>1433</v>
      </c>
      <c r="P397" t="s">
        <v>1433</v>
      </c>
      <c r="Q397">
        <v>1</v>
      </c>
      <c r="X397">
        <v>2.5099999999999998</v>
      </c>
      <c r="Y397">
        <v>1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6</v>
      </c>
      <c r="AG397">
        <v>2.5099999999999998</v>
      </c>
      <c r="AH397">
        <v>2</v>
      </c>
      <c r="AI397">
        <v>16632029</v>
      </c>
      <c r="AJ397">
        <v>400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ROW(Source!A185)</f>
        <v>185</v>
      </c>
      <c r="B398">
        <v>16632054</v>
      </c>
      <c r="C398">
        <v>16632042</v>
      </c>
      <c r="D398">
        <v>15430397</v>
      </c>
      <c r="E398">
        <v>1</v>
      </c>
      <c r="F398">
        <v>1</v>
      </c>
      <c r="G398">
        <v>1</v>
      </c>
      <c r="H398">
        <v>1</v>
      </c>
      <c r="I398" t="s">
        <v>1356</v>
      </c>
      <c r="J398" t="s">
        <v>6</v>
      </c>
      <c r="K398" t="s">
        <v>1357</v>
      </c>
      <c r="L398">
        <v>1191</v>
      </c>
      <c r="N398">
        <v>1013</v>
      </c>
      <c r="O398" t="s">
        <v>1148</v>
      </c>
      <c r="P398" t="s">
        <v>1148</v>
      </c>
      <c r="Q398">
        <v>1</v>
      </c>
      <c r="X398">
        <v>15.28</v>
      </c>
      <c r="Y398">
        <v>0</v>
      </c>
      <c r="Z398">
        <v>0</v>
      </c>
      <c r="AA398">
        <v>0</v>
      </c>
      <c r="AB398">
        <v>9.4</v>
      </c>
      <c r="AC398">
        <v>0</v>
      </c>
      <c r="AD398">
        <v>1</v>
      </c>
      <c r="AE398">
        <v>1</v>
      </c>
      <c r="AF398" t="s">
        <v>6</v>
      </c>
      <c r="AG398">
        <v>15.28</v>
      </c>
      <c r="AH398">
        <v>2</v>
      </c>
      <c r="AI398">
        <v>16632043</v>
      </c>
      <c r="AJ398">
        <v>401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ROW(Source!A185)</f>
        <v>185</v>
      </c>
      <c r="B399">
        <v>16632055</v>
      </c>
      <c r="C399">
        <v>16632042</v>
      </c>
      <c r="D399">
        <v>15430395</v>
      </c>
      <c r="E399">
        <v>1</v>
      </c>
      <c r="F399">
        <v>1</v>
      </c>
      <c r="G399">
        <v>1</v>
      </c>
      <c r="H399">
        <v>1</v>
      </c>
      <c r="I399" t="s">
        <v>1149</v>
      </c>
      <c r="J399" t="s">
        <v>6</v>
      </c>
      <c r="K399" t="s">
        <v>1150</v>
      </c>
      <c r="L399">
        <v>1191</v>
      </c>
      <c r="N399">
        <v>1013</v>
      </c>
      <c r="O399" t="s">
        <v>1148</v>
      </c>
      <c r="P399" t="s">
        <v>1148</v>
      </c>
      <c r="Q399">
        <v>1</v>
      </c>
      <c r="X399">
        <v>0.22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2</v>
      </c>
      <c r="AF399" t="s">
        <v>6</v>
      </c>
      <c r="AG399">
        <v>0.22</v>
      </c>
      <c r="AH399">
        <v>2</v>
      </c>
      <c r="AI399">
        <v>16632044</v>
      </c>
      <c r="AJ399">
        <v>402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ROW(Source!A185)</f>
        <v>185</v>
      </c>
      <c r="B400">
        <v>16632056</v>
      </c>
      <c r="C400">
        <v>16632042</v>
      </c>
      <c r="D400">
        <v>15247680</v>
      </c>
      <c r="E400">
        <v>1</v>
      </c>
      <c r="F400">
        <v>1</v>
      </c>
      <c r="G400">
        <v>1</v>
      </c>
      <c r="H400">
        <v>2</v>
      </c>
      <c r="I400" t="s">
        <v>1419</v>
      </c>
      <c r="J400" t="s">
        <v>1420</v>
      </c>
      <c r="K400" t="s">
        <v>1421</v>
      </c>
      <c r="L400">
        <v>1368</v>
      </c>
      <c r="N400">
        <v>1011</v>
      </c>
      <c r="O400" t="s">
        <v>1154</v>
      </c>
      <c r="P400" t="s">
        <v>1154</v>
      </c>
      <c r="Q400">
        <v>1</v>
      </c>
      <c r="X400">
        <v>0.11</v>
      </c>
      <c r="Y400">
        <v>0</v>
      </c>
      <c r="Z400">
        <v>111.99</v>
      </c>
      <c r="AA400">
        <v>13.5</v>
      </c>
      <c r="AB400">
        <v>0</v>
      </c>
      <c r="AC400">
        <v>0</v>
      </c>
      <c r="AD400">
        <v>1</v>
      </c>
      <c r="AE400">
        <v>0</v>
      </c>
      <c r="AF400" t="s">
        <v>6</v>
      </c>
      <c r="AG400">
        <v>0.11</v>
      </c>
      <c r="AH400">
        <v>2</v>
      </c>
      <c r="AI400">
        <v>16632045</v>
      </c>
      <c r="AJ400">
        <v>403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ROW(Source!A185)</f>
        <v>185</v>
      </c>
      <c r="B401">
        <v>16632057</v>
      </c>
      <c r="C401">
        <v>16632042</v>
      </c>
      <c r="D401">
        <v>15249073</v>
      </c>
      <c r="E401">
        <v>1</v>
      </c>
      <c r="F401">
        <v>1</v>
      </c>
      <c r="G401">
        <v>1</v>
      </c>
      <c r="H401">
        <v>2</v>
      </c>
      <c r="I401" t="s">
        <v>1157</v>
      </c>
      <c r="J401" t="s">
        <v>1158</v>
      </c>
      <c r="K401" t="s">
        <v>1159</v>
      </c>
      <c r="L401">
        <v>1368</v>
      </c>
      <c r="N401">
        <v>1011</v>
      </c>
      <c r="O401" t="s">
        <v>1154</v>
      </c>
      <c r="P401" t="s">
        <v>1154</v>
      </c>
      <c r="Q401">
        <v>1</v>
      </c>
      <c r="X401">
        <v>0.11</v>
      </c>
      <c r="Y401">
        <v>0</v>
      </c>
      <c r="Z401">
        <v>65.709999999999994</v>
      </c>
      <c r="AA401">
        <v>11.6</v>
      </c>
      <c r="AB401">
        <v>0</v>
      </c>
      <c r="AC401">
        <v>0</v>
      </c>
      <c r="AD401">
        <v>1</v>
      </c>
      <c r="AE401">
        <v>0</v>
      </c>
      <c r="AF401" t="s">
        <v>6</v>
      </c>
      <c r="AG401">
        <v>0.11</v>
      </c>
      <c r="AH401">
        <v>2</v>
      </c>
      <c r="AI401">
        <v>16632046</v>
      </c>
      <c r="AJ401">
        <v>404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ROW(Source!A185)</f>
        <v>185</v>
      </c>
      <c r="B402">
        <v>16632058</v>
      </c>
      <c r="C402">
        <v>16632042</v>
      </c>
      <c r="D402">
        <v>15172838</v>
      </c>
      <c r="E402">
        <v>1</v>
      </c>
      <c r="F402">
        <v>1</v>
      </c>
      <c r="G402">
        <v>1</v>
      </c>
      <c r="H402">
        <v>3</v>
      </c>
      <c r="I402" t="s">
        <v>1487</v>
      </c>
      <c r="J402" t="s">
        <v>1488</v>
      </c>
      <c r="K402" t="s">
        <v>1489</v>
      </c>
      <c r="L402">
        <v>1339</v>
      </c>
      <c r="N402">
        <v>1007</v>
      </c>
      <c r="O402" t="s">
        <v>203</v>
      </c>
      <c r="P402" t="s">
        <v>203</v>
      </c>
      <c r="Q402">
        <v>1</v>
      </c>
      <c r="X402">
        <v>2.1000000000000001E-2</v>
      </c>
      <c r="Y402">
        <v>600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6</v>
      </c>
      <c r="AG402">
        <v>2.1000000000000001E-2</v>
      </c>
      <c r="AH402">
        <v>2</v>
      </c>
      <c r="AI402">
        <v>16632047</v>
      </c>
      <c r="AJ402">
        <v>405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ROW(Source!A185)</f>
        <v>185</v>
      </c>
      <c r="B403">
        <v>16632059</v>
      </c>
      <c r="C403">
        <v>16632042</v>
      </c>
      <c r="D403">
        <v>15202442</v>
      </c>
      <c r="E403">
        <v>1</v>
      </c>
      <c r="F403">
        <v>1</v>
      </c>
      <c r="G403">
        <v>1</v>
      </c>
      <c r="H403">
        <v>3</v>
      </c>
      <c r="I403" t="s">
        <v>1490</v>
      </c>
      <c r="J403" t="s">
        <v>1491</v>
      </c>
      <c r="K403" t="s">
        <v>1492</v>
      </c>
      <c r="L403">
        <v>1346</v>
      </c>
      <c r="N403">
        <v>1009</v>
      </c>
      <c r="O403" t="s">
        <v>102</v>
      </c>
      <c r="P403" t="s">
        <v>102</v>
      </c>
      <c r="Q403">
        <v>1</v>
      </c>
      <c r="X403">
        <v>0.4</v>
      </c>
      <c r="Y403">
        <v>25.8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6</v>
      </c>
      <c r="AG403">
        <v>0.4</v>
      </c>
      <c r="AH403">
        <v>2</v>
      </c>
      <c r="AI403">
        <v>16632048</v>
      </c>
      <c r="AJ403">
        <v>406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ROW(Source!A185)</f>
        <v>185</v>
      </c>
      <c r="B404">
        <v>16632060</v>
      </c>
      <c r="C404">
        <v>16632042</v>
      </c>
      <c r="D404">
        <v>15217585</v>
      </c>
      <c r="E404">
        <v>1</v>
      </c>
      <c r="F404">
        <v>1</v>
      </c>
      <c r="G404">
        <v>1</v>
      </c>
      <c r="H404">
        <v>3</v>
      </c>
      <c r="I404" t="s">
        <v>1493</v>
      </c>
      <c r="J404" t="s">
        <v>1494</v>
      </c>
      <c r="K404" t="s">
        <v>1495</v>
      </c>
      <c r="L404">
        <v>1356</v>
      </c>
      <c r="N404">
        <v>1010</v>
      </c>
      <c r="O404" t="s">
        <v>278</v>
      </c>
      <c r="P404" t="s">
        <v>278</v>
      </c>
      <c r="Q404">
        <v>1000</v>
      </c>
      <c r="X404">
        <v>3.2000000000000001E-2</v>
      </c>
      <c r="Y404">
        <v>270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6</v>
      </c>
      <c r="AG404">
        <v>3.2000000000000001E-2</v>
      </c>
      <c r="AH404">
        <v>2</v>
      </c>
      <c r="AI404">
        <v>16632049</v>
      </c>
      <c r="AJ404">
        <v>407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ROW(Source!A185)</f>
        <v>185</v>
      </c>
      <c r="B405">
        <v>16632061</v>
      </c>
      <c r="C405">
        <v>16632042</v>
      </c>
      <c r="D405">
        <v>15217593</v>
      </c>
      <c r="E405">
        <v>1</v>
      </c>
      <c r="F405">
        <v>1</v>
      </c>
      <c r="G405">
        <v>1</v>
      </c>
      <c r="H405">
        <v>3</v>
      </c>
      <c r="I405" t="s">
        <v>1496</v>
      </c>
      <c r="J405" t="s">
        <v>1497</v>
      </c>
      <c r="K405" t="s">
        <v>1498</v>
      </c>
      <c r="L405">
        <v>1358</v>
      </c>
      <c r="N405">
        <v>1010</v>
      </c>
      <c r="O405" t="s">
        <v>616</v>
      </c>
      <c r="P405" t="s">
        <v>616</v>
      </c>
      <c r="Q405">
        <v>10</v>
      </c>
      <c r="X405">
        <v>1</v>
      </c>
      <c r="Y405">
        <v>19.899999999999999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6</v>
      </c>
      <c r="AG405">
        <v>1</v>
      </c>
      <c r="AH405">
        <v>2</v>
      </c>
      <c r="AI405">
        <v>16632050</v>
      </c>
      <c r="AJ405">
        <v>408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ROW(Source!A185)</f>
        <v>185</v>
      </c>
      <c r="B406">
        <v>16632062</v>
      </c>
      <c r="C406">
        <v>16632042</v>
      </c>
      <c r="D406">
        <v>15218939</v>
      </c>
      <c r="E406">
        <v>1</v>
      </c>
      <c r="F406">
        <v>1</v>
      </c>
      <c r="G406">
        <v>1</v>
      </c>
      <c r="H406">
        <v>3</v>
      </c>
      <c r="I406" t="s">
        <v>1499</v>
      </c>
      <c r="J406" t="s">
        <v>1500</v>
      </c>
      <c r="K406" t="s">
        <v>1501</v>
      </c>
      <c r="L406">
        <v>1354</v>
      </c>
      <c r="N406">
        <v>1010</v>
      </c>
      <c r="O406" t="s">
        <v>132</v>
      </c>
      <c r="P406" t="s">
        <v>132</v>
      </c>
      <c r="Q406">
        <v>1</v>
      </c>
      <c r="X406">
        <v>0.5</v>
      </c>
      <c r="Y406">
        <v>66.819999999999993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6</v>
      </c>
      <c r="AG406">
        <v>0.5</v>
      </c>
      <c r="AH406">
        <v>2</v>
      </c>
      <c r="AI406">
        <v>16632051</v>
      </c>
      <c r="AJ406">
        <v>409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ROW(Source!A185)</f>
        <v>185</v>
      </c>
      <c r="B407">
        <v>16632063</v>
      </c>
      <c r="C407">
        <v>16632042</v>
      </c>
      <c r="D407">
        <v>15164559</v>
      </c>
      <c r="E407">
        <v>17</v>
      </c>
      <c r="F407">
        <v>1</v>
      </c>
      <c r="G407">
        <v>1</v>
      </c>
      <c r="H407">
        <v>3</v>
      </c>
      <c r="I407" t="s">
        <v>1431</v>
      </c>
      <c r="J407" t="s">
        <v>6</v>
      </c>
      <c r="K407" t="s">
        <v>1432</v>
      </c>
      <c r="L407">
        <v>1374</v>
      </c>
      <c r="N407">
        <v>1013</v>
      </c>
      <c r="O407" t="s">
        <v>1433</v>
      </c>
      <c r="P407" t="s">
        <v>1433</v>
      </c>
      <c r="Q407">
        <v>1</v>
      </c>
      <c r="X407">
        <v>2.87</v>
      </c>
      <c r="Y407">
        <v>1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6</v>
      </c>
      <c r="AG407">
        <v>2.87</v>
      </c>
      <c r="AH407">
        <v>2</v>
      </c>
      <c r="AI407">
        <v>16632052</v>
      </c>
      <c r="AJ407">
        <v>411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ROW(Source!A187)</f>
        <v>187</v>
      </c>
      <c r="B408">
        <v>16632072</v>
      </c>
      <c r="C408">
        <v>16632065</v>
      </c>
      <c r="D408">
        <v>15447742</v>
      </c>
      <c r="E408">
        <v>1</v>
      </c>
      <c r="F408">
        <v>1</v>
      </c>
      <c r="G408">
        <v>1</v>
      </c>
      <c r="H408">
        <v>1</v>
      </c>
      <c r="I408" t="s">
        <v>1502</v>
      </c>
      <c r="J408" t="s">
        <v>6</v>
      </c>
      <c r="K408" t="s">
        <v>1503</v>
      </c>
      <c r="L408">
        <v>1191</v>
      </c>
      <c r="N408">
        <v>1013</v>
      </c>
      <c r="O408" t="s">
        <v>1148</v>
      </c>
      <c r="P408" t="s">
        <v>1148</v>
      </c>
      <c r="Q408">
        <v>1</v>
      </c>
      <c r="X408">
        <v>0.5</v>
      </c>
      <c r="Y408">
        <v>0</v>
      </c>
      <c r="Z408">
        <v>0</v>
      </c>
      <c r="AA408">
        <v>0</v>
      </c>
      <c r="AB408">
        <v>9.76</v>
      </c>
      <c r="AC408">
        <v>0</v>
      </c>
      <c r="AD408">
        <v>1</v>
      </c>
      <c r="AE408">
        <v>1</v>
      </c>
      <c r="AF408" t="s">
        <v>6</v>
      </c>
      <c r="AG408">
        <v>0.5</v>
      </c>
      <c r="AH408">
        <v>2</v>
      </c>
      <c r="AI408">
        <v>16632066</v>
      </c>
      <c r="AJ408">
        <v>412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ROW(Source!A187)</f>
        <v>187</v>
      </c>
      <c r="B409">
        <v>16632073</v>
      </c>
      <c r="C409">
        <v>16632065</v>
      </c>
      <c r="D409">
        <v>15170438</v>
      </c>
      <c r="E409">
        <v>1</v>
      </c>
      <c r="F409">
        <v>1</v>
      </c>
      <c r="G409">
        <v>1</v>
      </c>
      <c r="H409">
        <v>3</v>
      </c>
      <c r="I409" t="s">
        <v>1481</v>
      </c>
      <c r="J409" t="s">
        <v>1482</v>
      </c>
      <c r="K409" t="s">
        <v>1483</v>
      </c>
      <c r="L409">
        <v>1348</v>
      </c>
      <c r="N409">
        <v>1009</v>
      </c>
      <c r="O409" t="s">
        <v>98</v>
      </c>
      <c r="P409" t="s">
        <v>98</v>
      </c>
      <c r="Q409">
        <v>1000</v>
      </c>
      <c r="X409">
        <v>1.0000000000000001E-5</v>
      </c>
      <c r="Y409">
        <v>12430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0</v>
      </c>
      <c r="AF409" t="s">
        <v>6</v>
      </c>
      <c r="AG409">
        <v>1.0000000000000001E-5</v>
      </c>
      <c r="AH409">
        <v>2</v>
      </c>
      <c r="AI409">
        <v>16632067</v>
      </c>
      <c r="AJ409">
        <v>413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ROW(Source!A187)</f>
        <v>187</v>
      </c>
      <c r="B410">
        <v>16632074</v>
      </c>
      <c r="C410">
        <v>16632065</v>
      </c>
      <c r="D410">
        <v>15171982</v>
      </c>
      <c r="E410">
        <v>1</v>
      </c>
      <c r="F410">
        <v>1</v>
      </c>
      <c r="G410">
        <v>1</v>
      </c>
      <c r="H410">
        <v>3</v>
      </c>
      <c r="I410" t="s">
        <v>1364</v>
      </c>
      <c r="J410" t="s">
        <v>1365</v>
      </c>
      <c r="K410" t="s">
        <v>1366</v>
      </c>
      <c r="L410">
        <v>1348</v>
      </c>
      <c r="N410">
        <v>1009</v>
      </c>
      <c r="O410" t="s">
        <v>98</v>
      </c>
      <c r="P410" t="s">
        <v>98</v>
      </c>
      <c r="Q410">
        <v>1000</v>
      </c>
      <c r="X410">
        <v>5.0000000000000002E-5</v>
      </c>
      <c r="Y410">
        <v>729.98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0</v>
      </c>
      <c r="AF410" t="s">
        <v>6</v>
      </c>
      <c r="AG410">
        <v>5.0000000000000002E-5</v>
      </c>
      <c r="AH410">
        <v>2</v>
      </c>
      <c r="AI410">
        <v>16632068</v>
      </c>
      <c r="AJ410">
        <v>414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ROW(Source!A187)</f>
        <v>187</v>
      </c>
      <c r="B411">
        <v>16632075</v>
      </c>
      <c r="C411">
        <v>16632065</v>
      </c>
      <c r="D411">
        <v>15191144</v>
      </c>
      <c r="E411">
        <v>1</v>
      </c>
      <c r="F411">
        <v>1</v>
      </c>
      <c r="G411">
        <v>1</v>
      </c>
      <c r="H411">
        <v>3</v>
      </c>
      <c r="I411" t="s">
        <v>1504</v>
      </c>
      <c r="J411" t="s">
        <v>1505</v>
      </c>
      <c r="K411" t="s">
        <v>1506</v>
      </c>
      <c r="L411">
        <v>1348</v>
      </c>
      <c r="N411">
        <v>1009</v>
      </c>
      <c r="O411" t="s">
        <v>98</v>
      </c>
      <c r="P411" t="s">
        <v>98</v>
      </c>
      <c r="Q411">
        <v>1000</v>
      </c>
      <c r="X411">
        <v>1.0000000000000001E-5</v>
      </c>
      <c r="Y411">
        <v>14690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6</v>
      </c>
      <c r="AG411">
        <v>1.0000000000000001E-5</v>
      </c>
      <c r="AH411">
        <v>2</v>
      </c>
      <c r="AI411">
        <v>16632069</v>
      </c>
      <c r="AJ411">
        <v>415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ROW(Source!A187)</f>
        <v>187</v>
      </c>
      <c r="B412">
        <v>16632076</v>
      </c>
      <c r="C412">
        <v>16632065</v>
      </c>
      <c r="D412">
        <v>15164559</v>
      </c>
      <c r="E412">
        <v>17</v>
      </c>
      <c r="F412">
        <v>1</v>
      </c>
      <c r="G412">
        <v>1</v>
      </c>
      <c r="H412">
        <v>3</v>
      </c>
      <c r="I412" t="s">
        <v>1431</v>
      </c>
      <c r="J412" t="s">
        <v>6</v>
      </c>
      <c r="K412" t="s">
        <v>1432</v>
      </c>
      <c r="L412">
        <v>1374</v>
      </c>
      <c r="N412">
        <v>1013</v>
      </c>
      <c r="O412" t="s">
        <v>1433</v>
      </c>
      <c r="P412" t="s">
        <v>1433</v>
      </c>
      <c r="Q412">
        <v>1</v>
      </c>
      <c r="X412">
        <v>0.1</v>
      </c>
      <c r="Y412">
        <v>1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6</v>
      </c>
      <c r="AG412">
        <v>0.1</v>
      </c>
      <c r="AH412">
        <v>2</v>
      </c>
      <c r="AI412">
        <v>16632070</v>
      </c>
      <c r="AJ412">
        <v>417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ROW(Source!A189)</f>
        <v>189</v>
      </c>
      <c r="B413">
        <v>16632090</v>
      </c>
      <c r="C413">
        <v>16632078</v>
      </c>
      <c r="D413">
        <v>15430397</v>
      </c>
      <c r="E413">
        <v>1</v>
      </c>
      <c r="F413">
        <v>1</v>
      </c>
      <c r="G413">
        <v>1</v>
      </c>
      <c r="H413">
        <v>1</v>
      </c>
      <c r="I413" t="s">
        <v>1356</v>
      </c>
      <c r="J413" t="s">
        <v>6</v>
      </c>
      <c r="K413" t="s">
        <v>1357</v>
      </c>
      <c r="L413">
        <v>1191</v>
      </c>
      <c r="N413">
        <v>1013</v>
      </c>
      <c r="O413" t="s">
        <v>1148</v>
      </c>
      <c r="P413" t="s">
        <v>1148</v>
      </c>
      <c r="Q413">
        <v>1</v>
      </c>
      <c r="X413">
        <v>3.76</v>
      </c>
      <c r="Y413">
        <v>0</v>
      </c>
      <c r="Z413">
        <v>0</v>
      </c>
      <c r="AA413">
        <v>0</v>
      </c>
      <c r="AB413">
        <v>9.4</v>
      </c>
      <c r="AC413">
        <v>0</v>
      </c>
      <c r="AD413">
        <v>1</v>
      </c>
      <c r="AE413">
        <v>1</v>
      </c>
      <c r="AF413" t="s">
        <v>6</v>
      </c>
      <c r="AG413">
        <v>3.76</v>
      </c>
      <c r="AH413">
        <v>2</v>
      </c>
      <c r="AI413">
        <v>16632079</v>
      </c>
      <c r="AJ413">
        <v>418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ROW(Source!A189)</f>
        <v>189</v>
      </c>
      <c r="B414">
        <v>16632091</v>
      </c>
      <c r="C414">
        <v>16632078</v>
      </c>
      <c r="D414">
        <v>15430395</v>
      </c>
      <c r="E414">
        <v>1</v>
      </c>
      <c r="F414">
        <v>1</v>
      </c>
      <c r="G414">
        <v>1</v>
      </c>
      <c r="H414">
        <v>1</v>
      </c>
      <c r="I414" t="s">
        <v>1149</v>
      </c>
      <c r="J414" t="s">
        <v>6</v>
      </c>
      <c r="K414" t="s">
        <v>1150</v>
      </c>
      <c r="L414">
        <v>1191</v>
      </c>
      <c r="N414">
        <v>1013</v>
      </c>
      <c r="O414" t="s">
        <v>1148</v>
      </c>
      <c r="P414" t="s">
        <v>1148</v>
      </c>
      <c r="Q414">
        <v>1</v>
      </c>
      <c r="X414">
        <v>0.02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2</v>
      </c>
      <c r="AF414" t="s">
        <v>6</v>
      </c>
      <c r="AG414">
        <v>0.02</v>
      </c>
      <c r="AH414">
        <v>2</v>
      </c>
      <c r="AI414">
        <v>16632080</v>
      </c>
      <c r="AJ414">
        <v>419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ROW(Source!A189)</f>
        <v>189</v>
      </c>
      <c r="B415">
        <v>16632092</v>
      </c>
      <c r="C415">
        <v>16632078</v>
      </c>
      <c r="D415">
        <v>15247680</v>
      </c>
      <c r="E415">
        <v>1</v>
      </c>
      <c r="F415">
        <v>1</v>
      </c>
      <c r="G415">
        <v>1</v>
      </c>
      <c r="H415">
        <v>2</v>
      </c>
      <c r="I415" t="s">
        <v>1419</v>
      </c>
      <c r="J415" t="s">
        <v>1420</v>
      </c>
      <c r="K415" t="s">
        <v>1421</v>
      </c>
      <c r="L415">
        <v>1368</v>
      </c>
      <c r="N415">
        <v>1011</v>
      </c>
      <c r="O415" t="s">
        <v>1154</v>
      </c>
      <c r="P415" t="s">
        <v>1154</v>
      </c>
      <c r="Q415">
        <v>1</v>
      </c>
      <c r="X415">
        <v>0.01</v>
      </c>
      <c r="Y415">
        <v>0</v>
      </c>
      <c r="Z415">
        <v>111.99</v>
      </c>
      <c r="AA415">
        <v>13.5</v>
      </c>
      <c r="AB415">
        <v>0</v>
      </c>
      <c r="AC415">
        <v>0</v>
      </c>
      <c r="AD415">
        <v>1</v>
      </c>
      <c r="AE415">
        <v>0</v>
      </c>
      <c r="AF415" t="s">
        <v>6</v>
      </c>
      <c r="AG415">
        <v>0.01</v>
      </c>
      <c r="AH415">
        <v>2</v>
      </c>
      <c r="AI415">
        <v>16632081</v>
      </c>
      <c r="AJ415">
        <v>420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ROW(Source!A189)</f>
        <v>189</v>
      </c>
      <c r="B416">
        <v>16632093</v>
      </c>
      <c r="C416">
        <v>16632078</v>
      </c>
      <c r="D416">
        <v>15249073</v>
      </c>
      <c r="E416">
        <v>1</v>
      </c>
      <c r="F416">
        <v>1</v>
      </c>
      <c r="G416">
        <v>1</v>
      </c>
      <c r="H416">
        <v>2</v>
      </c>
      <c r="I416" t="s">
        <v>1157</v>
      </c>
      <c r="J416" t="s">
        <v>1158</v>
      </c>
      <c r="K416" t="s">
        <v>1159</v>
      </c>
      <c r="L416">
        <v>1368</v>
      </c>
      <c r="N416">
        <v>1011</v>
      </c>
      <c r="O416" t="s">
        <v>1154</v>
      </c>
      <c r="P416" t="s">
        <v>1154</v>
      </c>
      <c r="Q416">
        <v>1</v>
      </c>
      <c r="X416">
        <v>0.01</v>
      </c>
      <c r="Y416">
        <v>0</v>
      </c>
      <c r="Z416">
        <v>65.709999999999994</v>
      </c>
      <c r="AA416">
        <v>11.6</v>
      </c>
      <c r="AB416">
        <v>0</v>
      </c>
      <c r="AC416">
        <v>0</v>
      </c>
      <c r="AD416">
        <v>1</v>
      </c>
      <c r="AE416">
        <v>0</v>
      </c>
      <c r="AF416" t="s">
        <v>6</v>
      </c>
      <c r="AG416">
        <v>0.01</v>
      </c>
      <c r="AH416">
        <v>2</v>
      </c>
      <c r="AI416">
        <v>16632082</v>
      </c>
      <c r="AJ416">
        <v>421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ROW(Source!A189)</f>
        <v>189</v>
      </c>
      <c r="B417">
        <v>16632094</v>
      </c>
      <c r="C417">
        <v>16632078</v>
      </c>
      <c r="D417">
        <v>15167588</v>
      </c>
      <c r="E417">
        <v>1</v>
      </c>
      <c r="F417">
        <v>1</v>
      </c>
      <c r="G417">
        <v>1</v>
      </c>
      <c r="H417">
        <v>3</v>
      </c>
      <c r="I417" t="s">
        <v>1422</v>
      </c>
      <c r="J417" t="s">
        <v>1423</v>
      </c>
      <c r="K417" t="s">
        <v>1424</v>
      </c>
      <c r="L417">
        <v>1346</v>
      </c>
      <c r="N417">
        <v>1009</v>
      </c>
      <c r="O417" t="s">
        <v>102</v>
      </c>
      <c r="P417" t="s">
        <v>102</v>
      </c>
      <c r="Q417">
        <v>1</v>
      </c>
      <c r="X417">
        <v>0.16</v>
      </c>
      <c r="Y417">
        <v>30.4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6</v>
      </c>
      <c r="AG417">
        <v>0.16</v>
      </c>
      <c r="AH417">
        <v>2</v>
      </c>
      <c r="AI417">
        <v>16632083</v>
      </c>
      <c r="AJ417">
        <v>422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ROW(Source!A189)</f>
        <v>189</v>
      </c>
      <c r="B418">
        <v>16632095</v>
      </c>
      <c r="C418">
        <v>16632078</v>
      </c>
      <c r="D418">
        <v>15167600</v>
      </c>
      <c r="E418">
        <v>1</v>
      </c>
      <c r="F418">
        <v>1</v>
      </c>
      <c r="G418">
        <v>1</v>
      </c>
      <c r="H418">
        <v>3</v>
      </c>
      <c r="I418" t="s">
        <v>1507</v>
      </c>
      <c r="J418" t="s">
        <v>1508</v>
      </c>
      <c r="K418" t="s">
        <v>1509</v>
      </c>
      <c r="L418">
        <v>1308</v>
      </c>
      <c r="N418">
        <v>1003</v>
      </c>
      <c r="O418" t="s">
        <v>57</v>
      </c>
      <c r="P418" t="s">
        <v>57</v>
      </c>
      <c r="Q418">
        <v>100</v>
      </c>
      <c r="X418">
        <v>5.5E-2</v>
      </c>
      <c r="Y418">
        <v>120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6</v>
      </c>
      <c r="AG418">
        <v>5.5E-2</v>
      </c>
      <c r="AH418">
        <v>2</v>
      </c>
      <c r="AI418">
        <v>16632084</v>
      </c>
      <c r="AJ418">
        <v>423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ROW(Source!A189)</f>
        <v>189</v>
      </c>
      <c r="B419">
        <v>16632096</v>
      </c>
      <c r="C419">
        <v>16632078</v>
      </c>
      <c r="D419">
        <v>15203834</v>
      </c>
      <c r="E419">
        <v>1</v>
      </c>
      <c r="F419">
        <v>1</v>
      </c>
      <c r="G419">
        <v>1</v>
      </c>
      <c r="H419">
        <v>3</v>
      </c>
      <c r="I419" t="s">
        <v>1452</v>
      </c>
      <c r="J419" t="s">
        <v>1453</v>
      </c>
      <c r="K419" t="s">
        <v>1454</v>
      </c>
      <c r="L419">
        <v>1346</v>
      </c>
      <c r="N419">
        <v>1009</v>
      </c>
      <c r="O419" t="s">
        <v>102</v>
      </c>
      <c r="P419" t="s">
        <v>102</v>
      </c>
      <c r="Q419">
        <v>1</v>
      </c>
      <c r="X419">
        <v>0.05</v>
      </c>
      <c r="Y419">
        <v>28.6</v>
      </c>
      <c r="Z419">
        <v>0</v>
      </c>
      <c r="AA419">
        <v>0</v>
      </c>
      <c r="AB419">
        <v>0</v>
      </c>
      <c r="AC419">
        <v>0</v>
      </c>
      <c r="AD419">
        <v>1</v>
      </c>
      <c r="AE419">
        <v>0</v>
      </c>
      <c r="AF419" t="s">
        <v>6</v>
      </c>
      <c r="AG419">
        <v>0.05</v>
      </c>
      <c r="AH419">
        <v>2</v>
      </c>
      <c r="AI419">
        <v>16632085</v>
      </c>
      <c r="AJ419">
        <v>424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ROW(Source!A189)</f>
        <v>189</v>
      </c>
      <c r="B420">
        <v>16632097</v>
      </c>
      <c r="C420">
        <v>16632078</v>
      </c>
      <c r="D420">
        <v>15164559</v>
      </c>
      <c r="E420">
        <v>17</v>
      </c>
      <c r="F420">
        <v>1</v>
      </c>
      <c r="G420">
        <v>1</v>
      </c>
      <c r="H420">
        <v>3</v>
      </c>
      <c r="I420" t="s">
        <v>1431</v>
      </c>
      <c r="J420" t="s">
        <v>6</v>
      </c>
      <c r="K420" t="s">
        <v>1432</v>
      </c>
      <c r="L420">
        <v>1374</v>
      </c>
      <c r="N420">
        <v>1013</v>
      </c>
      <c r="O420" t="s">
        <v>1433</v>
      </c>
      <c r="P420" t="s">
        <v>1433</v>
      </c>
      <c r="Q420">
        <v>1</v>
      </c>
      <c r="X420">
        <v>0.71</v>
      </c>
      <c r="Y420">
        <v>1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6</v>
      </c>
      <c r="AG420">
        <v>0.71</v>
      </c>
      <c r="AH420">
        <v>2</v>
      </c>
      <c r="AI420">
        <v>16632086</v>
      </c>
      <c r="AJ420">
        <v>428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ROW(Source!A193)</f>
        <v>193</v>
      </c>
      <c r="B421">
        <v>16632111</v>
      </c>
      <c r="C421">
        <v>16632101</v>
      </c>
      <c r="D421">
        <v>15430397</v>
      </c>
      <c r="E421">
        <v>1</v>
      </c>
      <c r="F421">
        <v>1</v>
      </c>
      <c r="G421">
        <v>1</v>
      </c>
      <c r="H421">
        <v>1</v>
      </c>
      <c r="I421" t="s">
        <v>1356</v>
      </c>
      <c r="J421" t="s">
        <v>6</v>
      </c>
      <c r="K421" t="s">
        <v>1357</v>
      </c>
      <c r="L421">
        <v>1191</v>
      </c>
      <c r="N421">
        <v>1013</v>
      </c>
      <c r="O421" t="s">
        <v>1148</v>
      </c>
      <c r="P421" t="s">
        <v>1148</v>
      </c>
      <c r="Q421">
        <v>1</v>
      </c>
      <c r="X421">
        <v>2.82</v>
      </c>
      <c r="Y421">
        <v>0</v>
      </c>
      <c r="Z421">
        <v>0</v>
      </c>
      <c r="AA421">
        <v>0</v>
      </c>
      <c r="AB421">
        <v>9.4</v>
      </c>
      <c r="AC421">
        <v>0</v>
      </c>
      <c r="AD421">
        <v>1</v>
      </c>
      <c r="AE421">
        <v>1</v>
      </c>
      <c r="AF421" t="s">
        <v>6</v>
      </c>
      <c r="AG421">
        <v>2.82</v>
      </c>
      <c r="AH421">
        <v>2</v>
      </c>
      <c r="AI421">
        <v>16632102</v>
      </c>
      <c r="AJ421">
        <v>429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ROW(Source!A193)</f>
        <v>193</v>
      </c>
      <c r="B422">
        <v>16632112</v>
      </c>
      <c r="C422">
        <v>16632101</v>
      </c>
      <c r="D422">
        <v>15430395</v>
      </c>
      <c r="E422">
        <v>1</v>
      </c>
      <c r="F422">
        <v>1</v>
      </c>
      <c r="G422">
        <v>1</v>
      </c>
      <c r="H422">
        <v>1</v>
      </c>
      <c r="I422" t="s">
        <v>1149</v>
      </c>
      <c r="J422" t="s">
        <v>6</v>
      </c>
      <c r="K422" t="s">
        <v>1150</v>
      </c>
      <c r="L422">
        <v>1191</v>
      </c>
      <c r="N422">
        <v>1013</v>
      </c>
      <c r="O422" t="s">
        <v>1148</v>
      </c>
      <c r="P422" t="s">
        <v>1148</v>
      </c>
      <c r="Q422">
        <v>1</v>
      </c>
      <c r="X422">
        <v>0.02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1</v>
      </c>
      <c r="AE422">
        <v>2</v>
      </c>
      <c r="AF422" t="s">
        <v>6</v>
      </c>
      <c r="AG422">
        <v>0.02</v>
      </c>
      <c r="AH422">
        <v>2</v>
      </c>
      <c r="AI422">
        <v>16632103</v>
      </c>
      <c r="AJ422">
        <v>430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ROW(Source!A193)</f>
        <v>193</v>
      </c>
      <c r="B423">
        <v>16632113</v>
      </c>
      <c r="C423">
        <v>16632101</v>
      </c>
      <c r="D423">
        <v>15247680</v>
      </c>
      <c r="E423">
        <v>1</v>
      </c>
      <c r="F423">
        <v>1</v>
      </c>
      <c r="G423">
        <v>1</v>
      </c>
      <c r="H423">
        <v>2</v>
      </c>
      <c r="I423" t="s">
        <v>1419</v>
      </c>
      <c r="J423" t="s">
        <v>1420</v>
      </c>
      <c r="K423" t="s">
        <v>1421</v>
      </c>
      <c r="L423">
        <v>1368</v>
      </c>
      <c r="N423">
        <v>1011</v>
      </c>
      <c r="O423" t="s">
        <v>1154</v>
      </c>
      <c r="P423" t="s">
        <v>1154</v>
      </c>
      <c r="Q423">
        <v>1</v>
      </c>
      <c r="X423">
        <v>0.01</v>
      </c>
      <c r="Y423">
        <v>0</v>
      </c>
      <c r="Z423">
        <v>111.99</v>
      </c>
      <c r="AA423">
        <v>13.5</v>
      </c>
      <c r="AB423">
        <v>0</v>
      </c>
      <c r="AC423">
        <v>0</v>
      </c>
      <c r="AD423">
        <v>1</v>
      </c>
      <c r="AE423">
        <v>0</v>
      </c>
      <c r="AF423" t="s">
        <v>6</v>
      </c>
      <c r="AG423">
        <v>0.01</v>
      </c>
      <c r="AH423">
        <v>2</v>
      </c>
      <c r="AI423">
        <v>16632104</v>
      </c>
      <c r="AJ423">
        <v>431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ROW(Source!A193)</f>
        <v>193</v>
      </c>
      <c r="B424">
        <v>16632114</v>
      </c>
      <c r="C424">
        <v>16632101</v>
      </c>
      <c r="D424">
        <v>15249073</v>
      </c>
      <c r="E424">
        <v>1</v>
      </c>
      <c r="F424">
        <v>1</v>
      </c>
      <c r="G424">
        <v>1</v>
      </c>
      <c r="H424">
        <v>2</v>
      </c>
      <c r="I424" t="s">
        <v>1157</v>
      </c>
      <c r="J424" t="s">
        <v>1158</v>
      </c>
      <c r="K424" t="s">
        <v>1159</v>
      </c>
      <c r="L424">
        <v>1368</v>
      </c>
      <c r="N424">
        <v>1011</v>
      </c>
      <c r="O424" t="s">
        <v>1154</v>
      </c>
      <c r="P424" t="s">
        <v>1154</v>
      </c>
      <c r="Q424">
        <v>1</v>
      </c>
      <c r="X424">
        <v>0.01</v>
      </c>
      <c r="Y424">
        <v>0</v>
      </c>
      <c r="Z424">
        <v>65.709999999999994</v>
      </c>
      <c r="AA424">
        <v>11.6</v>
      </c>
      <c r="AB424">
        <v>0</v>
      </c>
      <c r="AC424">
        <v>0</v>
      </c>
      <c r="AD424">
        <v>1</v>
      </c>
      <c r="AE424">
        <v>0</v>
      </c>
      <c r="AF424" t="s">
        <v>6</v>
      </c>
      <c r="AG424">
        <v>0.01</v>
      </c>
      <c r="AH424">
        <v>2</v>
      </c>
      <c r="AI424">
        <v>16632105</v>
      </c>
      <c r="AJ424">
        <v>432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ROW(Source!A193)</f>
        <v>193</v>
      </c>
      <c r="B425">
        <v>16632115</v>
      </c>
      <c r="C425">
        <v>16632101</v>
      </c>
      <c r="D425">
        <v>15167588</v>
      </c>
      <c r="E425">
        <v>1</v>
      </c>
      <c r="F425">
        <v>1</v>
      </c>
      <c r="G425">
        <v>1</v>
      </c>
      <c r="H425">
        <v>3</v>
      </c>
      <c r="I425" t="s">
        <v>1422</v>
      </c>
      <c r="J425" t="s">
        <v>1423</v>
      </c>
      <c r="K425" t="s">
        <v>1424</v>
      </c>
      <c r="L425">
        <v>1346</v>
      </c>
      <c r="N425">
        <v>1009</v>
      </c>
      <c r="O425" t="s">
        <v>102</v>
      </c>
      <c r="P425" t="s">
        <v>102</v>
      </c>
      <c r="Q425">
        <v>1</v>
      </c>
      <c r="X425">
        <v>0.16</v>
      </c>
      <c r="Y425">
        <v>30.4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6</v>
      </c>
      <c r="AG425">
        <v>0.16</v>
      </c>
      <c r="AH425">
        <v>2</v>
      </c>
      <c r="AI425">
        <v>16632106</v>
      </c>
      <c r="AJ425">
        <v>433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ROW(Source!A193)</f>
        <v>193</v>
      </c>
      <c r="B426">
        <v>16632116</v>
      </c>
      <c r="C426">
        <v>16632101</v>
      </c>
      <c r="D426">
        <v>15167600</v>
      </c>
      <c r="E426">
        <v>1</v>
      </c>
      <c r="F426">
        <v>1</v>
      </c>
      <c r="G426">
        <v>1</v>
      </c>
      <c r="H426">
        <v>3</v>
      </c>
      <c r="I426" t="s">
        <v>1507</v>
      </c>
      <c r="J426" t="s">
        <v>1508</v>
      </c>
      <c r="K426" t="s">
        <v>1509</v>
      </c>
      <c r="L426">
        <v>1308</v>
      </c>
      <c r="N426">
        <v>1003</v>
      </c>
      <c r="O426" t="s">
        <v>57</v>
      </c>
      <c r="P426" t="s">
        <v>57</v>
      </c>
      <c r="Q426">
        <v>100</v>
      </c>
      <c r="X426">
        <v>0.05</v>
      </c>
      <c r="Y426">
        <v>120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6</v>
      </c>
      <c r="AG426">
        <v>0.05</v>
      </c>
      <c r="AH426">
        <v>2</v>
      </c>
      <c r="AI426">
        <v>16632107</v>
      </c>
      <c r="AJ426">
        <v>434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ROW(Source!A193)</f>
        <v>193</v>
      </c>
      <c r="B427">
        <v>16632117</v>
      </c>
      <c r="C427">
        <v>16632101</v>
      </c>
      <c r="D427">
        <v>15203834</v>
      </c>
      <c r="E427">
        <v>1</v>
      </c>
      <c r="F427">
        <v>1</v>
      </c>
      <c r="G427">
        <v>1</v>
      </c>
      <c r="H427">
        <v>3</v>
      </c>
      <c r="I427" t="s">
        <v>1452</v>
      </c>
      <c r="J427" t="s">
        <v>1453</v>
      </c>
      <c r="K427" t="s">
        <v>1454</v>
      </c>
      <c r="L427">
        <v>1346</v>
      </c>
      <c r="N427">
        <v>1009</v>
      </c>
      <c r="O427" t="s">
        <v>102</v>
      </c>
      <c r="P427" t="s">
        <v>102</v>
      </c>
      <c r="Q427">
        <v>1</v>
      </c>
      <c r="X427">
        <v>0.05</v>
      </c>
      <c r="Y427">
        <v>28.6</v>
      </c>
      <c r="Z427">
        <v>0</v>
      </c>
      <c r="AA427">
        <v>0</v>
      </c>
      <c r="AB427">
        <v>0</v>
      </c>
      <c r="AC427">
        <v>0</v>
      </c>
      <c r="AD427">
        <v>1</v>
      </c>
      <c r="AE427">
        <v>0</v>
      </c>
      <c r="AF427" t="s">
        <v>6</v>
      </c>
      <c r="AG427">
        <v>0.05</v>
      </c>
      <c r="AH427">
        <v>2</v>
      </c>
      <c r="AI427">
        <v>16632108</v>
      </c>
      <c r="AJ427">
        <v>435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ROW(Source!A193)</f>
        <v>193</v>
      </c>
      <c r="B428">
        <v>16632118</v>
      </c>
      <c r="C428">
        <v>16632101</v>
      </c>
      <c r="D428">
        <v>15164559</v>
      </c>
      <c r="E428">
        <v>17</v>
      </c>
      <c r="F428">
        <v>1</v>
      </c>
      <c r="G428">
        <v>1</v>
      </c>
      <c r="H428">
        <v>3</v>
      </c>
      <c r="I428" t="s">
        <v>1431</v>
      </c>
      <c r="J428" t="s">
        <v>6</v>
      </c>
      <c r="K428" t="s">
        <v>1432</v>
      </c>
      <c r="L428">
        <v>1374</v>
      </c>
      <c r="N428">
        <v>1013</v>
      </c>
      <c r="O428" t="s">
        <v>1433</v>
      </c>
      <c r="P428" t="s">
        <v>1433</v>
      </c>
      <c r="Q428">
        <v>1</v>
      </c>
      <c r="X428">
        <v>0.53</v>
      </c>
      <c r="Y428">
        <v>1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0</v>
      </c>
      <c r="AF428" t="s">
        <v>6</v>
      </c>
      <c r="AG428">
        <v>0.53</v>
      </c>
      <c r="AH428">
        <v>2</v>
      </c>
      <c r="AI428">
        <v>16632109</v>
      </c>
      <c r="AJ428">
        <v>437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ROW(Source!A195)</f>
        <v>195</v>
      </c>
      <c r="B429">
        <v>16632131</v>
      </c>
      <c r="C429">
        <v>16632120</v>
      </c>
      <c r="D429">
        <v>15446300</v>
      </c>
      <c r="E429">
        <v>1</v>
      </c>
      <c r="F429">
        <v>1</v>
      </c>
      <c r="G429">
        <v>1</v>
      </c>
      <c r="H429">
        <v>1</v>
      </c>
      <c r="I429" t="s">
        <v>1220</v>
      </c>
      <c r="J429" t="s">
        <v>6</v>
      </c>
      <c r="K429" t="s">
        <v>1221</v>
      </c>
      <c r="L429">
        <v>1191</v>
      </c>
      <c r="N429">
        <v>1013</v>
      </c>
      <c r="O429" t="s">
        <v>1148</v>
      </c>
      <c r="P429" t="s">
        <v>1148</v>
      </c>
      <c r="Q429">
        <v>1</v>
      </c>
      <c r="X429">
        <v>31.6</v>
      </c>
      <c r="Y429">
        <v>0</v>
      </c>
      <c r="Z429">
        <v>0</v>
      </c>
      <c r="AA429">
        <v>0</v>
      </c>
      <c r="AB429">
        <v>9.92</v>
      </c>
      <c r="AC429">
        <v>0</v>
      </c>
      <c r="AD429">
        <v>1</v>
      </c>
      <c r="AE429">
        <v>1</v>
      </c>
      <c r="AF429" t="s">
        <v>6</v>
      </c>
      <c r="AG429">
        <v>31.6</v>
      </c>
      <c r="AH429">
        <v>2</v>
      </c>
      <c r="AI429">
        <v>16632121</v>
      </c>
      <c r="AJ429">
        <v>438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ROW(Source!A195)</f>
        <v>195</v>
      </c>
      <c r="B430">
        <v>16632132</v>
      </c>
      <c r="C430">
        <v>16632120</v>
      </c>
      <c r="D430">
        <v>15430395</v>
      </c>
      <c r="E430">
        <v>1</v>
      </c>
      <c r="F430">
        <v>1</v>
      </c>
      <c r="G430">
        <v>1</v>
      </c>
      <c r="H430">
        <v>1</v>
      </c>
      <c r="I430" t="s">
        <v>1149</v>
      </c>
      <c r="J430" t="s">
        <v>6</v>
      </c>
      <c r="K430" t="s">
        <v>1150</v>
      </c>
      <c r="L430">
        <v>1191</v>
      </c>
      <c r="N430">
        <v>1013</v>
      </c>
      <c r="O430" t="s">
        <v>1148</v>
      </c>
      <c r="P430" t="s">
        <v>1148</v>
      </c>
      <c r="Q430">
        <v>1</v>
      </c>
      <c r="X430">
        <v>0.05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2</v>
      </c>
      <c r="AF430" t="s">
        <v>6</v>
      </c>
      <c r="AG430">
        <v>0.05</v>
      </c>
      <c r="AH430">
        <v>2</v>
      </c>
      <c r="AI430">
        <v>16632122</v>
      </c>
      <c r="AJ430">
        <v>439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ROW(Source!A195)</f>
        <v>195</v>
      </c>
      <c r="B431">
        <v>16632133</v>
      </c>
      <c r="C431">
        <v>16632120</v>
      </c>
      <c r="D431">
        <v>15247680</v>
      </c>
      <c r="E431">
        <v>1</v>
      </c>
      <c r="F431">
        <v>1</v>
      </c>
      <c r="G431">
        <v>1</v>
      </c>
      <c r="H431">
        <v>2</v>
      </c>
      <c r="I431" t="s">
        <v>1419</v>
      </c>
      <c r="J431" t="s">
        <v>1420</v>
      </c>
      <c r="K431" t="s">
        <v>1421</v>
      </c>
      <c r="L431">
        <v>1368</v>
      </c>
      <c r="N431">
        <v>1011</v>
      </c>
      <c r="O431" t="s">
        <v>1154</v>
      </c>
      <c r="P431" t="s">
        <v>1154</v>
      </c>
      <c r="Q431">
        <v>1</v>
      </c>
      <c r="X431">
        <v>0.03</v>
      </c>
      <c r="Y431">
        <v>0</v>
      </c>
      <c r="Z431">
        <v>111.99</v>
      </c>
      <c r="AA431">
        <v>13.5</v>
      </c>
      <c r="AB431">
        <v>0</v>
      </c>
      <c r="AC431">
        <v>0</v>
      </c>
      <c r="AD431">
        <v>1</v>
      </c>
      <c r="AE431">
        <v>0</v>
      </c>
      <c r="AF431" t="s">
        <v>6</v>
      </c>
      <c r="AG431">
        <v>0.03</v>
      </c>
      <c r="AH431">
        <v>2</v>
      </c>
      <c r="AI431">
        <v>16632123</v>
      </c>
      <c r="AJ431">
        <v>440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ROW(Source!A195)</f>
        <v>195</v>
      </c>
      <c r="B432">
        <v>16632134</v>
      </c>
      <c r="C432">
        <v>16632120</v>
      </c>
      <c r="D432">
        <v>15249073</v>
      </c>
      <c r="E432">
        <v>1</v>
      </c>
      <c r="F432">
        <v>1</v>
      </c>
      <c r="G432">
        <v>1</v>
      </c>
      <c r="H432">
        <v>2</v>
      </c>
      <c r="I432" t="s">
        <v>1157</v>
      </c>
      <c r="J432" t="s">
        <v>1158</v>
      </c>
      <c r="K432" t="s">
        <v>1159</v>
      </c>
      <c r="L432">
        <v>1368</v>
      </c>
      <c r="N432">
        <v>1011</v>
      </c>
      <c r="O432" t="s">
        <v>1154</v>
      </c>
      <c r="P432" t="s">
        <v>1154</v>
      </c>
      <c r="Q432">
        <v>1</v>
      </c>
      <c r="X432">
        <v>0.02</v>
      </c>
      <c r="Y432">
        <v>0</v>
      </c>
      <c r="Z432">
        <v>65.709999999999994</v>
      </c>
      <c r="AA432">
        <v>11.6</v>
      </c>
      <c r="AB432">
        <v>0</v>
      </c>
      <c r="AC432">
        <v>0</v>
      </c>
      <c r="AD432">
        <v>1</v>
      </c>
      <c r="AE432">
        <v>0</v>
      </c>
      <c r="AF432" t="s">
        <v>6</v>
      </c>
      <c r="AG432">
        <v>0.02</v>
      </c>
      <c r="AH432">
        <v>2</v>
      </c>
      <c r="AI432">
        <v>16632124</v>
      </c>
      <c r="AJ432">
        <v>441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ROW(Source!A195)</f>
        <v>195</v>
      </c>
      <c r="B433">
        <v>16632135</v>
      </c>
      <c r="C433">
        <v>16632120</v>
      </c>
      <c r="D433">
        <v>15167588</v>
      </c>
      <c r="E433">
        <v>1</v>
      </c>
      <c r="F433">
        <v>1</v>
      </c>
      <c r="G433">
        <v>1</v>
      </c>
      <c r="H433">
        <v>3</v>
      </c>
      <c r="I433" t="s">
        <v>1422</v>
      </c>
      <c r="J433" t="s">
        <v>1423</v>
      </c>
      <c r="K433" t="s">
        <v>1424</v>
      </c>
      <c r="L433">
        <v>1346</v>
      </c>
      <c r="N433">
        <v>1009</v>
      </c>
      <c r="O433" t="s">
        <v>102</v>
      </c>
      <c r="P433" t="s">
        <v>102</v>
      </c>
      <c r="Q433">
        <v>1</v>
      </c>
      <c r="X433">
        <v>0.11</v>
      </c>
      <c r="Y433">
        <v>30.4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0</v>
      </c>
      <c r="AF433" t="s">
        <v>6</v>
      </c>
      <c r="AG433">
        <v>0.11</v>
      </c>
      <c r="AH433">
        <v>2</v>
      </c>
      <c r="AI433">
        <v>16632125</v>
      </c>
      <c r="AJ433">
        <v>442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ROW(Source!A195)</f>
        <v>195</v>
      </c>
      <c r="B434">
        <v>16632136</v>
      </c>
      <c r="C434">
        <v>16632120</v>
      </c>
      <c r="D434">
        <v>15170074</v>
      </c>
      <c r="E434">
        <v>1</v>
      </c>
      <c r="F434">
        <v>1</v>
      </c>
      <c r="G434">
        <v>1</v>
      </c>
      <c r="H434">
        <v>3</v>
      </c>
      <c r="I434" t="s">
        <v>1443</v>
      </c>
      <c r="J434" t="s">
        <v>1444</v>
      </c>
      <c r="K434" t="s">
        <v>1445</v>
      </c>
      <c r="L434">
        <v>1355</v>
      </c>
      <c r="N434">
        <v>1010</v>
      </c>
      <c r="O434" t="s">
        <v>243</v>
      </c>
      <c r="P434" t="s">
        <v>243</v>
      </c>
      <c r="Q434">
        <v>100</v>
      </c>
      <c r="X434">
        <v>1.02</v>
      </c>
      <c r="Y434">
        <v>86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6</v>
      </c>
      <c r="AG434">
        <v>1.02</v>
      </c>
      <c r="AH434">
        <v>2</v>
      </c>
      <c r="AI434">
        <v>16632126</v>
      </c>
      <c r="AJ434">
        <v>443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ROW(Source!A195)</f>
        <v>195</v>
      </c>
      <c r="B435">
        <v>16632137</v>
      </c>
      <c r="C435">
        <v>16632120</v>
      </c>
      <c r="D435">
        <v>15170434</v>
      </c>
      <c r="E435">
        <v>1</v>
      </c>
      <c r="F435">
        <v>1</v>
      </c>
      <c r="G435">
        <v>1</v>
      </c>
      <c r="H435">
        <v>3</v>
      </c>
      <c r="I435" t="s">
        <v>1478</v>
      </c>
      <c r="J435" t="s">
        <v>1479</v>
      </c>
      <c r="K435" t="s">
        <v>1480</v>
      </c>
      <c r="L435">
        <v>1348</v>
      </c>
      <c r="N435">
        <v>1009</v>
      </c>
      <c r="O435" t="s">
        <v>98</v>
      </c>
      <c r="P435" t="s">
        <v>98</v>
      </c>
      <c r="Q435">
        <v>1000</v>
      </c>
      <c r="X435">
        <v>1.6000000000000001E-4</v>
      </c>
      <c r="Y435">
        <v>29800</v>
      </c>
      <c r="Z435">
        <v>0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6</v>
      </c>
      <c r="AG435">
        <v>1.6000000000000001E-4</v>
      </c>
      <c r="AH435">
        <v>2</v>
      </c>
      <c r="AI435">
        <v>16632127</v>
      </c>
      <c r="AJ435">
        <v>444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ROW(Source!A195)</f>
        <v>195</v>
      </c>
      <c r="B436">
        <v>16632138</v>
      </c>
      <c r="C436">
        <v>16632120</v>
      </c>
      <c r="D436">
        <v>15170438</v>
      </c>
      <c r="E436">
        <v>1</v>
      </c>
      <c r="F436">
        <v>1</v>
      </c>
      <c r="G436">
        <v>1</v>
      </c>
      <c r="H436">
        <v>3</v>
      </c>
      <c r="I436" t="s">
        <v>1481</v>
      </c>
      <c r="J436" t="s">
        <v>1482</v>
      </c>
      <c r="K436" t="s">
        <v>1483</v>
      </c>
      <c r="L436">
        <v>1348</v>
      </c>
      <c r="N436">
        <v>1009</v>
      </c>
      <c r="O436" t="s">
        <v>98</v>
      </c>
      <c r="P436" t="s">
        <v>98</v>
      </c>
      <c r="Q436">
        <v>1000</v>
      </c>
      <c r="X436">
        <v>2.9999999999999997E-4</v>
      </c>
      <c r="Y436">
        <v>12430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6</v>
      </c>
      <c r="AG436">
        <v>2.9999999999999997E-4</v>
      </c>
      <c r="AH436">
        <v>2</v>
      </c>
      <c r="AI436">
        <v>16632128</v>
      </c>
      <c r="AJ436">
        <v>445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ROW(Source!A195)</f>
        <v>195</v>
      </c>
      <c r="B437">
        <v>16632139</v>
      </c>
      <c r="C437">
        <v>16632120</v>
      </c>
      <c r="D437">
        <v>15164559</v>
      </c>
      <c r="E437">
        <v>17</v>
      </c>
      <c r="F437">
        <v>1</v>
      </c>
      <c r="G437">
        <v>1</v>
      </c>
      <c r="H437">
        <v>3</v>
      </c>
      <c r="I437" t="s">
        <v>1431</v>
      </c>
      <c r="J437" t="s">
        <v>6</v>
      </c>
      <c r="K437" t="s">
        <v>1432</v>
      </c>
      <c r="L437">
        <v>1374</v>
      </c>
      <c r="N437">
        <v>1013</v>
      </c>
      <c r="O437" t="s">
        <v>1433</v>
      </c>
      <c r="P437" t="s">
        <v>1433</v>
      </c>
      <c r="Q437">
        <v>1</v>
      </c>
      <c r="X437">
        <v>6.27</v>
      </c>
      <c r="Y437">
        <v>1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6</v>
      </c>
      <c r="AG437">
        <v>6.27</v>
      </c>
      <c r="AH437">
        <v>2</v>
      </c>
      <c r="AI437">
        <v>16632129</v>
      </c>
      <c r="AJ437">
        <v>447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ROW(Source!A197)</f>
        <v>197</v>
      </c>
      <c r="B438">
        <v>16632151</v>
      </c>
      <c r="C438">
        <v>16632141</v>
      </c>
      <c r="D438">
        <v>15442878</v>
      </c>
      <c r="E438">
        <v>1</v>
      </c>
      <c r="F438">
        <v>1</v>
      </c>
      <c r="G438">
        <v>1</v>
      </c>
      <c r="H438">
        <v>1</v>
      </c>
      <c r="I438" t="s">
        <v>1417</v>
      </c>
      <c r="J438" t="s">
        <v>6</v>
      </c>
      <c r="K438" t="s">
        <v>1418</v>
      </c>
      <c r="L438">
        <v>1191</v>
      </c>
      <c r="N438">
        <v>1013</v>
      </c>
      <c r="O438" t="s">
        <v>1148</v>
      </c>
      <c r="P438" t="s">
        <v>1148</v>
      </c>
      <c r="Q438">
        <v>1</v>
      </c>
      <c r="X438">
        <v>0.9</v>
      </c>
      <c r="Y438">
        <v>0</v>
      </c>
      <c r="Z438">
        <v>0</v>
      </c>
      <c r="AA438">
        <v>0</v>
      </c>
      <c r="AB438">
        <v>10.5</v>
      </c>
      <c r="AC438">
        <v>0</v>
      </c>
      <c r="AD438">
        <v>1</v>
      </c>
      <c r="AE438">
        <v>1</v>
      </c>
      <c r="AF438" t="s">
        <v>6</v>
      </c>
      <c r="AG438">
        <v>0.9</v>
      </c>
      <c r="AH438">
        <v>2</v>
      </c>
      <c r="AI438">
        <v>16632142</v>
      </c>
      <c r="AJ438">
        <v>448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ROW(Source!A197)</f>
        <v>197</v>
      </c>
      <c r="B439">
        <v>16632152</v>
      </c>
      <c r="C439">
        <v>16632141</v>
      </c>
      <c r="D439">
        <v>15430395</v>
      </c>
      <c r="E439">
        <v>1</v>
      </c>
      <c r="F439">
        <v>1</v>
      </c>
      <c r="G439">
        <v>1</v>
      </c>
      <c r="H439">
        <v>1</v>
      </c>
      <c r="I439" t="s">
        <v>1149</v>
      </c>
      <c r="J439" t="s">
        <v>6</v>
      </c>
      <c r="K439" t="s">
        <v>1150</v>
      </c>
      <c r="L439">
        <v>1191</v>
      </c>
      <c r="N439">
        <v>1013</v>
      </c>
      <c r="O439" t="s">
        <v>1148</v>
      </c>
      <c r="P439" t="s">
        <v>1148</v>
      </c>
      <c r="Q439">
        <v>1</v>
      </c>
      <c r="X439">
        <v>0.2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2</v>
      </c>
      <c r="AF439" t="s">
        <v>6</v>
      </c>
      <c r="AG439">
        <v>0.2</v>
      </c>
      <c r="AH439">
        <v>2</v>
      </c>
      <c r="AI439">
        <v>16632143</v>
      </c>
      <c r="AJ439">
        <v>449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ROW(Source!A197)</f>
        <v>197</v>
      </c>
      <c r="B440">
        <v>16632153</v>
      </c>
      <c r="C440">
        <v>16632141</v>
      </c>
      <c r="D440">
        <v>15247680</v>
      </c>
      <c r="E440">
        <v>1</v>
      </c>
      <c r="F440">
        <v>1</v>
      </c>
      <c r="G440">
        <v>1</v>
      </c>
      <c r="H440">
        <v>2</v>
      </c>
      <c r="I440" t="s">
        <v>1419</v>
      </c>
      <c r="J440" t="s">
        <v>1420</v>
      </c>
      <c r="K440" t="s">
        <v>1421</v>
      </c>
      <c r="L440">
        <v>1368</v>
      </c>
      <c r="N440">
        <v>1011</v>
      </c>
      <c r="O440" t="s">
        <v>1154</v>
      </c>
      <c r="P440" t="s">
        <v>1154</v>
      </c>
      <c r="Q440">
        <v>1</v>
      </c>
      <c r="X440">
        <v>0.1</v>
      </c>
      <c r="Y440">
        <v>0</v>
      </c>
      <c r="Z440">
        <v>111.99</v>
      </c>
      <c r="AA440">
        <v>13.5</v>
      </c>
      <c r="AB440">
        <v>0</v>
      </c>
      <c r="AC440">
        <v>0</v>
      </c>
      <c r="AD440">
        <v>1</v>
      </c>
      <c r="AE440">
        <v>0</v>
      </c>
      <c r="AF440" t="s">
        <v>6</v>
      </c>
      <c r="AG440">
        <v>0.1</v>
      </c>
      <c r="AH440">
        <v>2</v>
      </c>
      <c r="AI440">
        <v>16632144</v>
      </c>
      <c r="AJ440">
        <v>450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ROW(Source!A197)</f>
        <v>197</v>
      </c>
      <c r="B441">
        <v>16632154</v>
      </c>
      <c r="C441">
        <v>16632141</v>
      </c>
      <c r="D441">
        <v>15249073</v>
      </c>
      <c r="E441">
        <v>1</v>
      </c>
      <c r="F441">
        <v>1</v>
      </c>
      <c r="G441">
        <v>1</v>
      </c>
      <c r="H441">
        <v>2</v>
      </c>
      <c r="I441" t="s">
        <v>1157</v>
      </c>
      <c r="J441" t="s">
        <v>1158</v>
      </c>
      <c r="K441" t="s">
        <v>1159</v>
      </c>
      <c r="L441">
        <v>1368</v>
      </c>
      <c r="N441">
        <v>1011</v>
      </c>
      <c r="O441" t="s">
        <v>1154</v>
      </c>
      <c r="P441" t="s">
        <v>1154</v>
      </c>
      <c r="Q441">
        <v>1</v>
      </c>
      <c r="X441">
        <v>0.1</v>
      </c>
      <c r="Y441">
        <v>0</v>
      </c>
      <c r="Z441">
        <v>65.709999999999994</v>
      </c>
      <c r="AA441">
        <v>11.6</v>
      </c>
      <c r="AB441">
        <v>0</v>
      </c>
      <c r="AC441">
        <v>0</v>
      </c>
      <c r="AD441">
        <v>1</v>
      </c>
      <c r="AE441">
        <v>0</v>
      </c>
      <c r="AF441" t="s">
        <v>6</v>
      </c>
      <c r="AG441">
        <v>0.1</v>
      </c>
      <c r="AH441">
        <v>2</v>
      </c>
      <c r="AI441">
        <v>16632145</v>
      </c>
      <c r="AJ441">
        <v>451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ROW(Source!A197)</f>
        <v>197</v>
      </c>
      <c r="B442">
        <v>16632155</v>
      </c>
      <c r="C442">
        <v>16632141</v>
      </c>
      <c r="D442">
        <v>15167588</v>
      </c>
      <c r="E442">
        <v>1</v>
      </c>
      <c r="F442">
        <v>1</v>
      </c>
      <c r="G442">
        <v>1</v>
      </c>
      <c r="H442">
        <v>3</v>
      </c>
      <c r="I442" t="s">
        <v>1422</v>
      </c>
      <c r="J442" t="s">
        <v>1423</v>
      </c>
      <c r="K442" t="s">
        <v>1424</v>
      </c>
      <c r="L442">
        <v>1346</v>
      </c>
      <c r="N442">
        <v>1009</v>
      </c>
      <c r="O442" t="s">
        <v>102</v>
      </c>
      <c r="P442" t="s">
        <v>102</v>
      </c>
      <c r="Q442">
        <v>1</v>
      </c>
      <c r="X442">
        <v>0.01</v>
      </c>
      <c r="Y442">
        <v>30.4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0</v>
      </c>
      <c r="AF442" t="s">
        <v>6</v>
      </c>
      <c r="AG442">
        <v>0.01</v>
      </c>
      <c r="AH442">
        <v>2</v>
      </c>
      <c r="AI442">
        <v>16632146</v>
      </c>
      <c r="AJ442">
        <v>452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ROW(Source!A197)</f>
        <v>197</v>
      </c>
      <c r="B443">
        <v>16632156</v>
      </c>
      <c r="C443">
        <v>16632141</v>
      </c>
      <c r="D443">
        <v>15169942</v>
      </c>
      <c r="E443">
        <v>1</v>
      </c>
      <c r="F443">
        <v>1</v>
      </c>
      <c r="G443">
        <v>1</v>
      </c>
      <c r="H443">
        <v>3</v>
      </c>
      <c r="I443" t="s">
        <v>1425</v>
      </c>
      <c r="J443" t="s">
        <v>1426</v>
      </c>
      <c r="K443" t="s">
        <v>1427</v>
      </c>
      <c r="L443">
        <v>1346</v>
      </c>
      <c r="N443">
        <v>1009</v>
      </c>
      <c r="O443" t="s">
        <v>102</v>
      </c>
      <c r="P443" t="s">
        <v>102</v>
      </c>
      <c r="Q443">
        <v>1</v>
      </c>
      <c r="X443">
        <v>0.3</v>
      </c>
      <c r="Y443">
        <v>9.0399999999999991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6</v>
      </c>
      <c r="AG443">
        <v>0.3</v>
      </c>
      <c r="AH443">
        <v>2</v>
      </c>
      <c r="AI443">
        <v>16632147</v>
      </c>
      <c r="AJ443">
        <v>453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ROW(Source!A197)</f>
        <v>197</v>
      </c>
      <c r="B444">
        <v>16632157</v>
      </c>
      <c r="C444">
        <v>16632141</v>
      </c>
      <c r="D444">
        <v>15191488</v>
      </c>
      <c r="E444">
        <v>1</v>
      </c>
      <c r="F444">
        <v>1</v>
      </c>
      <c r="G444">
        <v>1</v>
      </c>
      <c r="H444">
        <v>3</v>
      </c>
      <c r="I444" t="s">
        <v>1428</v>
      </c>
      <c r="J444" t="s">
        <v>1429</v>
      </c>
      <c r="K444" t="s">
        <v>1430</v>
      </c>
      <c r="L444">
        <v>1348</v>
      </c>
      <c r="N444">
        <v>1009</v>
      </c>
      <c r="O444" t="s">
        <v>98</v>
      </c>
      <c r="P444" t="s">
        <v>98</v>
      </c>
      <c r="Q444">
        <v>1000</v>
      </c>
      <c r="X444">
        <v>5.9999999999999995E-4</v>
      </c>
      <c r="Y444">
        <v>5000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6</v>
      </c>
      <c r="AG444">
        <v>5.9999999999999995E-4</v>
      </c>
      <c r="AH444">
        <v>2</v>
      </c>
      <c r="AI444">
        <v>16632148</v>
      </c>
      <c r="AJ444">
        <v>454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ROW(Source!A197)</f>
        <v>197</v>
      </c>
      <c r="B445">
        <v>16632158</v>
      </c>
      <c r="C445">
        <v>16632141</v>
      </c>
      <c r="D445">
        <v>15164559</v>
      </c>
      <c r="E445">
        <v>17</v>
      </c>
      <c r="F445">
        <v>1</v>
      </c>
      <c r="G445">
        <v>1</v>
      </c>
      <c r="H445">
        <v>3</v>
      </c>
      <c r="I445" t="s">
        <v>1431</v>
      </c>
      <c r="J445" t="s">
        <v>6</v>
      </c>
      <c r="K445" t="s">
        <v>1432</v>
      </c>
      <c r="L445">
        <v>1374</v>
      </c>
      <c r="N445">
        <v>1013</v>
      </c>
      <c r="O445" t="s">
        <v>1433</v>
      </c>
      <c r="P445" t="s">
        <v>1433</v>
      </c>
      <c r="Q445">
        <v>1</v>
      </c>
      <c r="X445">
        <v>0.19</v>
      </c>
      <c r="Y445">
        <v>1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6</v>
      </c>
      <c r="AG445">
        <v>0.19</v>
      </c>
      <c r="AH445">
        <v>2</v>
      </c>
      <c r="AI445">
        <v>16632149</v>
      </c>
      <c r="AJ445">
        <v>456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ROW(Source!A199)</f>
        <v>199</v>
      </c>
      <c r="B446">
        <v>16632178</v>
      </c>
      <c r="C446">
        <v>16632160</v>
      </c>
      <c r="D446">
        <v>15435721</v>
      </c>
      <c r="E446">
        <v>1</v>
      </c>
      <c r="F446">
        <v>1</v>
      </c>
      <c r="G446">
        <v>1</v>
      </c>
      <c r="H446">
        <v>1</v>
      </c>
      <c r="I446" t="s">
        <v>1311</v>
      </c>
      <c r="J446" t="s">
        <v>6</v>
      </c>
      <c r="K446" t="s">
        <v>1312</v>
      </c>
      <c r="L446">
        <v>1191</v>
      </c>
      <c r="N446">
        <v>1013</v>
      </c>
      <c r="O446" t="s">
        <v>1148</v>
      </c>
      <c r="P446" t="s">
        <v>1148</v>
      </c>
      <c r="Q446">
        <v>1</v>
      </c>
      <c r="X446">
        <v>1.56</v>
      </c>
      <c r="Y446">
        <v>0</v>
      </c>
      <c r="Z446">
        <v>0</v>
      </c>
      <c r="AA446">
        <v>0</v>
      </c>
      <c r="AB446">
        <v>9.51</v>
      </c>
      <c r="AC446">
        <v>0</v>
      </c>
      <c r="AD446">
        <v>1</v>
      </c>
      <c r="AE446">
        <v>1</v>
      </c>
      <c r="AF446" t="s">
        <v>6</v>
      </c>
      <c r="AG446">
        <v>1.56</v>
      </c>
      <c r="AH446">
        <v>2</v>
      </c>
      <c r="AI446">
        <v>16632161</v>
      </c>
      <c r="AJ446">
        <v>457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ROW(Source!A199)</f>
        <v>199</v>
      </c>
      <c r="B447">
        <v>16632179</v>
      </c>
      <c r="C447">
        <v>16632160</v>
      </c>
      <c r="D447">
        <v>15249377</v>
      </c>
      <c r="E447">
        <v>1</v>
      </c>
      <c r="F447">
        <v>1</v>
      </c>
      <c r="G447">
        <v>1</v>
      </c>
      <c r="H447">
        <v>2</v>
      </c>
      <c r="I447" t="s">
        <v>1222</v>
      </c>
      <c r="J447" t="s">
        <v>1223</v>
      </c>
      <c r="K447" t="s">
        <v>1224</v>
      </c>
      <c r="L447">
        <v>1368</v>
      </c>
      <c r="N447">
        <v>1011</v>
      </c>
      <c r="O447" t="s">
        <v>1154</v>
      </c>
      <c r="P447" t="s">
        <v>1154</v>
      </c>
      <c r="Q447">
        <v>1</v>
      </c>
      <c r="X447">
        <v>0.13</v>
      </c>
      <c r="Y447">
        <v>0</v>
      </c>
      <c r="Z447">
        <v>8.1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6</v>
      </c>
      <c r="AG447">
        <v>0.13</v>
      </c>
      <c r="AH447">
        <v>2</v>
      </c>
      <c r="AI447">
        <v>16632162</v>
      </c>
      <c r="AJ447">
        <v>458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ROW(Source!A199)</f>
        <v>199</v>
      </c>
      <c r="B448">
        <v>16632180</v>
      </c>
      <c r="C448">
        <v>16632160</v>
      </c>
      <c r="D448">
        <v>15165537</v>
      </c>
      <c r="E448">
        <v>1</v>
      </c>
      <c r="F448">
        <v>1</v>
      </c>
      <c r="G448">
        <v>1</v>
      </c>
      <c r="H448">
        <v>3</v>
      </c>
      <c r="I448" t="s">
        <v>1434</v>
      </c>
      <c r="J448" t="s">
        <v>1435</v>
      </c>
      <c r="K448" t="s">
        <v>1436</v>
      </c>
      <c r="L448">
        <v>1346</v>
      </c>
      <c r="N448">
        <v>1009</v>
      </c>
      <c r="O448" t="s">
        <v>102</v>
      </c>
      <c r="P448" t="s">
        <v>102</v>
      </c>
      <c r="Q448">
        <v>1</v>
      </c>
      <c r="X448">
        <v>6.0000000000000001E-3</v>
      </c>
      <c r="Y448">
        <v>44.97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6</v>
      </c>
      <c r="AG448">
        <v>6.0000000000000001E-3</v>
      </c>
      <c r="AH448">
        <v>2</v>
      </c>
      <c r="AI448">
        <v>16632163</v>
      </c>
      <c r="AJ448">
        <v>459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ROW(Source!A199)</f>
        <v>199</v>
      </c>
      <c r="B449">
        <v>16632181</v>
      </c>
      <c r="C449">
        <v>16632160</v>
      </c>
      <c r="D449">
        <v>15167269</v>
      </c>
      <c r="E449">
        <v>1</v>
      </c>
      <c r="F449">
        <v>1</v>
      </c>
      <c r="G449">
        <v>1</v>
      </c>
      <c r="H449">
        <v>3</v>
      </c>
      <c r="I449" t="s">
        <v>1437</v>
      </c>
      <c r="J449" t="s">
        <v>1438</v>
      </c>
      <c r="K449" t="s">
        <v>1439</v>
      </c>
      <c r="L449">
        <v>1346</v>
      </c>
      <c r="N449">
        <v>1009</v>
      </c>
      <c r="O449" t="s">
        <v>102</v>
      </c>
      <c r="P449" t="s">
        <v>102</v>
      </c>
      <c r="Q449">
        <v>1</v>
      </c>
      <c r="X449">
        <v>1E-3</v>
      </c>
      <c r="Y449">
        <v>11.5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6</v>
      </c>
      <c r="AG449">
        <v>1E-3</v>
      </c>
      <c r="AH449">
        <v>2</v>
      </c>
      <c r="AI449">
        <v>16632164</v>
      </c>
      <c r="AJ449">
        <v>460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ROW(Source!A199)</f>
        <v>199</v>
      </c>
      <c r="B450">
        <v>16632182</v>
      </c>
      <c r="C450">
        <v>16632160</v>
      </c>
      <c r="D450">
        <v>15167588</v>
      </c>
      <c r="E450">
        <v>1</v>
      </c>
      <c r="F450">
        <v>1</v>
      </c>
      <c r="G450">
        <v>1</v>
      </c>
      <c r="H450">
        <v>3</v>
      </c>
      <c r="I450" t="s">
        <v>1422</v>
      </c>
      <c r="J450" t="s">
        <v>1423</v>
      </c>
      <c r="K450" t="s">
        <v>1424</v>
      </c>
      <c r="L450">
        <v>1346</v>
      </c>
      <c r="N450">
        <v>1009</v>
      </c>
      <c r="O450" t="s">
        <v>102</v>
      </c>
      <c r="P450" t="s">
        <v>102</v>
      </c>
      <c r="Q450">
        <v>1</v>
      </c>
      <c r="X450">
        <v>1.2E-2</v>
      </c>
      <c r="Y450">
        <v>30.4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0</v>
      </c>
      <c r="AF450" t="s">
        <v>6</v>
      </c>
      <c r="AG450">
        <v>1.2E-2</v>
      </c>
      <c r="AH450">
        <v>2</v>
      </c>
      <c r="AI450">
        <v>16632165</v>
      </c>
      <c r="AJ450">
        <v>461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ROW(Source!A199)</f>
        <v>199</v>
      </c>
      <c r="B451">
        <v>16632183</v>
      </c>
      <c r="C451">
        <v>16632160</v>
      </c>
      <c r="D451">
        <v>15168752</v>
      </c>
      <c r="E451">
        <v>1</v>
      </c>
      <c r="F451">
        <v>1</v>
      </c>
      <c r="G451">
        <v>1</v>
      </c>
      <c r="H451">
        <v>3</v>
      </c>
      <c r="I451" t="s">
        <v>1440</v>
      </c>
      <c r="J451" t="s">
        <v>1441</v>
      </c>
      <c r="K451" t="s">
        <v>1442</v>
      </c>
      <c r="L451">
        <v>1346</v>
      </c>
      <c r="N451">
        <v>1009</v>
      </c>
      <c r="O451" t="s">
        <v>102</v>
      </c>
      <c r="P451" t="s">
        <v>102</v>
      </c>
      <c r="Q451">
        <v>1</v>
      </c>
      <c r="X451">
        <v>7.0000000000000007E-2</v>
      </c>
      <c r="Y451">
        <v>10.57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6</v>
      </c>
      <c r="AG451">
        <v>7.0000000000000007E-2</v>
      </c>
      <c r="AH451">
        <v>2</v>
      </c>
      <c r="AI451">
        <v>16632166</v>
      </c>
      <c r="AJ451">
        <v>462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ROW(Source!A199)</f>
        <v>199</v>
      </c>
      <c r="B452">
        <v>16632184</v>
      </c>
      <c r="C452">
        <v>16632160</v>
      </c>
      <c r="D452">
        <v>15169942</v>
      </c>
      <c r="E452">
        <v>1</v>
      </c>
      <c r="F452">
        <v>1</v>
      </c>
      <c r="G452">
        <v>1</v>
      </c>
      <c r="H452">
        <v>3</v>
      </c>
      <c r="I452" t="s">
        <v>1425</v>
      </c>
      <c r="J452" t="s">
        <v>1426</v>
      </c>
      <c r="K452" t="s">
        <v>1427</v>
      </c>
      <c r="L452">
        <v>1346</v>
      </c>
      <c r="N452">
        <v>1009</v>
      </c>
      <c r="O452" t="s">
        <v>102</v>
      </c>
      <c r="P452" t="s">
        <v>102</v>
      </c>
      <c r="Q452">
        <v>1</v>
      </c>
      <c r="X452">
        <v>4.9000000000000002E-2</v>
      </c>
      <c r="Y452">
        <v>9.0399999999999991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6</v>
      </c>
      <c r="AG452">
        <v>4.9000000000000002E-2</v>
      </c>
      <c r="AH452">
        <v>2</v>
      </c>
      <c r="AI452">
        <v>16632167</v>
      </c>
      <c r="AJ452">
        <v>463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ROW(Source!A199)</f>
        <v>199</v>
      </c>
      <c r="B453">
        <v>16632185</v>
      </c>
      <c r="C453">
        <v>16632160</v>
      </c>
      <c r="D453">
        <v>15170074</v>
      </c>
      <c r="E453">
        <v>1</v>
      </c>
      <c r="F453">
        <v>1</v>
      </c>
      <c r="G453">
        <v>1</v>
      </c>
      <c r="H453">
        <v>3</v>
      </c>
      <c r="I453" t="s">
        <v>1443</v>
      </c>
      <c r="J453" t="s">
        <v>1444</v>
      </c>
      <c r="K453" t="s">
        <v>1445</v>
      </c>
      <c r="L453">
        <v>1355</v>
      </c>
      <c r="N453">
        <v>1010</v>
      </c>
      <c r="O453" t="s">
        <v>243</v>
      </c>
      <c r="P453" t="s">
        <v>243</v>
      </c>
      <c r="Q453">
        <v>100</v>
      </c>
      <c r="X453">
        <v>1.4E-2</v>
      </c>
      <c r="Y453">
        <v>86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6</v>
      </c>
      <c r="AG453">
        <v>1.4E-2</v>
      </c>
      <c r="AH453">
        <v>2</v>
      </c>
      <c r="AI453">
        <v>16632168</v>
      </c>
      <c r="AJ453">
        <v>464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ROW(Source!A199)</f>
        <v>199</v>
      </c>
      <c r="B454">
        <v>16632186</v>
      </c>
      <c r="C454">
        <v>16632160</v>
      </c>
      <c r="D454">
        <v>15170994</v>
      </c>
      <c r="E454">
        <v>1</v>
      </c>
      <c r="F454">
        <v>1</v>
      </c>
      <c r="G454">
        <v>1</v>
      </c>
      <c r="H454">
        <v>3</v>
      </c>
      <c r="I454" t="s">
        <v>1446</v>
      </c>
      <c r="J454" t="s">
        <v>1447</v>
      </c>
      <c r="K454" t="s">
        <v>1448</v>
      </c>
      <c r="L454">
        <v>1346</v>
      </c>
      <c r="N454">
        <v>1009</v>
      </c>
      <c r="O454" t="s">
        <v>102</v>
      </c>
      <c r="P454" t="s">
        <v>102</v>
      </c>
      <c r="Q454">
        <v>1</v>
      </c>
      <c r="X454">
        <v>1E-3</v>
      </c>
      <c r="Y454">
        <v>133.05000000000001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6</v>
      </c>
      <c r="AG454">
        <v>1E-3</v>
      </c>
      <c r="AH454">
        <v>2</v>
      </c>
      <c r="AI454">
        <v>16632169</v>
      </c>
      <c r="AJ454">
        <v>465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ROW(Source!A199)</f>
        <v>199</v>
      </c>
      <c r="B455">
        <v>16632187</v>
      </c>
      <c r="C455">
        <v>16632160</v>
      </c>
      <c r="D455">
        <v>15188647</v>
      </c>
      <c r="E455">
        <v>1</v>
      </c>
      <c r="F455">
        <v>1</v>
      </c>
      <c r="G455">
        <v>1</v>
      </c>
      <c r="H455">
        <v>3</v>
      </c>
      <c r="I455" t="s">
        <v>1449</v>
      </c>
      <c r="J455" t="s">
        <v>1450</v>
      </c>
      <c r="K455" t="s">
        <v>1451</v>
      </c>
      <c r="L455">
        <v>1348</v>
      </c>
      <c r="N455">
        <v>1009</v>
      </c>
      <c r="O455" t="s">
        <v>98</v>
      </c>
      <c r="P455" t="s">
        <v>98</v>
      </c>
      <c r="Q455">
        <v>1000</v>
      </c>
      <c r="X455">
        <v>1E-3</v>
      </c>
      <c r="Y455">
        <v>11500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6</v>
      </c>
      <c r="AG455">
        <v>1E-3</v>
      </c>
      <c r="AH455">
        <v>2</v>
      </c>
      <c r="AI455">
        <v>16632170</v>
      </c>
      <c r="AJ455">
        <v>466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ROW(Source!A199)</f>
        <v>199</v>
      </c>
      <c r="B456">
        <v>16632188</v>
      </c>
      <c r="C456">
        <v>16632160</v>
      </c>
      <c r="D456">
        <v>15203834</v>
      </c>
      <c r="E456">
        <v>1</v>
      </c>
      <c r="F456">
        <v>1</v>
      </c>
      <c r="G456">
        <v>1</v>
      </c>
      <c r="H456">
        <v>3</v>
      </c>
      <c r="I456" t="s">
        <v>1452</v>
      </c>
      <c r="J456" t="s">
        <v>1453</v>
      </c>
      <c r="K456" t="s">
        <v>1454</v>
      </c>
      <c r="L456">
        <v>1346</v>
      </c>
      <c r="N456">
        <v>1009</v>
      </c>
      <c r="O456" t="s">
        <v>102</v>
      </c>
      <c r="P456" t="s">
        <v>102</v>
      </c>
      <c r="Q456">
        <v>1</v>
      </c>
      <c r="X456">
        <v>3.5999999999999997E-2</v>
      </c>
      <c r="Y456">
        <v>28.6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6</v>
      </c>
      <c r="AG456">
        <v>3.5999999999999997E-2</v>
      </c>
      <c r="AH456">
        <v>2</v>
      </c>
      <c r="AI456">
        <v>16632171</v>
      </c>
      <c r="AJ456">
        <v>467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ROW(Source!A199)</f>
        <v>199</v>
      </c>
      <c r="B457">
        <v>16632189</v>
      </c>
      <c r="C457">
        <v>16632160</v>
      </c>
      <c r="D457">
        <v>15203987</v>
      </c>
      <c r="E457">
        <v>1</v>
      </c>
      <c r="F457">
        <v>1</v>
      </c>
      <c r="G457">
        <v>1</v>
      </c>
      <c r="H457">
        <v>3</v>
      </c>
      <c r="I457" t="s">
        <v>1455</v>
      </c>
      <c r="J457" t="s">
        <v>1456</v>
      </c>
      <c r="K457" t="s">
        <v>1457</v>
      </c>
      <c r="L457">
        <v>1346</v>
      </c>
      <c r="N457">
        <v>1009</v>
      </c>
      <c r="O457" t="s">
        <v>102</v>
      </c>
      <c r="P457" t="s">
        <v>102</v>
      </c>
      <c r="Q457">
        <v>1</v>
      </c>
      <c r="X457">
        <v>6.0000000000000001E-3</v>
      </c>
      <c r="Y457">
        <v>35.630000000000003</v>
      </c>
      <c r="Z457">
        <v>0</v>
      </c>
      <c r="AA457">
        <v>0</v>
      </c>
      <c r="AB457">
        <v>0</v>
      </c>
      <c r="AC457">
        <v>0</v>
      </c>
      <c r="AD457">
        <v>1</v>
      </c>
      <c r="AE457">
        <v>0</v>
      </c>
      <c r="AF457" t="s">
        <v>6</v>
      </c>
      <c r="AG457">
        <v>6.0000000000000001E-3</v>
      </c>
      <c r="AH457">
        <v>2</v>
      </c>
      <c r="AI457">
        <v>16632172</v>
      </c>
      <c r="AJ457">
        <v>468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ROW(Source!A199)</f>
        <v>199</v>
      </c>
      <c r="B458">
        <v>16632190</v>
      </c>
      <c r="C458">
        <v>16632160</v>
      </c>
      <c r="D458">
        <v>15217463</v>
      </c>
      <c r="E458">
        <v>1</v>
      </c>
      <c r="F458">
        <v>1</v>
      </c>
      <c r="G458">
        <v>1</v>
      </c>
      <c r="H458">
        <v>3</v>
      </c>
      <c r="I458" t="s">
        <v>1458</v>
      </c>
      <c r="J458" t="s">
        <v>1459</v>
      </c>
      <c r="K458" t="s">
        <v>1460</v>
      </c>
      <c r="L458">
        <v>1358</v>
      </c>
      <c r="N458">
        <v>1010</v>
      </c>
      <c r="O458" t="s">
        <v>616</v>
      </c>
      <c r="P458" t="s">
        <v>616</v>
      </c>
      <c r="Q458">
        <v>10</v>
      </c>
      <c r="X458">
        <v>0.1</v>
      </c>
      <c r="Y458">
        <v>39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6</v>
      </c>
      <c r="AG458">
        <v>0.1</v>
      </c>
      <c r="AH458">
        <v>2</v>
      </c>
      <c r="AI458">
        <v>16632173</v>
      </c>
      <c r="AJ458">
        <v>469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ROW(Source!A199)</f>
        <v>199</v>
      </c>
      <c r="B459">
        <v>16632191</v>
      </c>
      <c r="C459">
        <v>16632160</v>
      </c>
      <c r="D459">
        <v>15164559</v>
      </c>
      <c r="E459">
        <v>17</v>
      </c>
      <c r="F459">
        <v>1</v>
      </c>
      <c r="G459">
        <v>1</v>
      </c>
      <c r="H459">
        <v>3</v>
      </c>
      <c r="I459" t="s">
        <v>1431</v>
      </c>
      <c r="J459" t="s">
        <v>6</v>
      </c>
      <c r="K459" t="s">
        <v>1432</v>
      </c>
      <c r="L459">
        <v>1374</v>
      </c>
      <c r="N459">
        <v>1013</v>
      </c>
      <c r="O459" t="s">
        <v>1433</v>
      </c>
      <c r="P459" t="s">
        <v>1433</v>
      </c>
      <c r="Q459">
        <v>1</v>
      </c>
      <c r="X459">
        <v>0.3</v>
      </c>
      <c r="Y459">
        <v>1</v>
      </c>
      <c r="Z459">
        <v>0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6</v>
      </c>
      <c r="AG459">
        <v>0.3</v>
      </c>
      <c r="AH459">
        <v>2</v>
      </c>
      <c r="AI459">
        <v>16632174</v>
      </c>
      <c r="AJ459">
        <v>473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ROW(Source!A203)</f>
        <v>203</v>
      </c>
      <c r="B460">
        <v>16632215</v>
      </c>
      <c r="C460">
        <v>16632195</v>
      </c>
      <c r="D460">
        <v>15435721</v>
      </c>
      <c r="E460">
        <v>1</v>
      </c>
      <c r="F460">
        <v>1</v>
      </c>
      <c r="G460">
        <v>1</v>
      </c>
      <c r="H460">
        <v>1</v>
      </c>
      <c r="I460" t="s">
        <v>1311</v>
      </c>
      <c r="J460" t="s">
        <v>6</v>
      </c>
      <c r="K460" t="s">
        <v>1312</v>
      </c>
      <c r="L460">
        <v>1191</v>
      </c>
      <c r="N460">
        <v>1013</v>
      </c>
      <c r="O460" t="s">
        <v>1148</v>
      </c>
      <c r="P460" t="s">
        <v>1148</v>
      </c>
      <c r="Q460">
        <v>1</v>
      </c>
      <c r="X460">
        <v>2.3199999999999998</v>
      </c>
      <c r="Y460">
        <v>0</v>
      </c>
      <c r="Z460">
        <v>0</v>
      </c>
      <c r="AA460">
        <v>0</v>
      </c>
      <c r="AB460">
        <v>9.51</v>
      </c>
      <c r="AC460">
        <v>0</v>
      </c>
      <c r="AD460">
        <v>1</v>
      </c>
      <c r="AE460">
        <v>1</v>
      </c>
      <c r="AF460" t="s">
        <v>6</v>
      </c>
      <c r="AG460">
        <v>2.3199999999999998</v>
      </c>
      <c r="AH460">
        <v>2</v>
      </c>
      <c r="AI460">
        <v>16632196</v>
      </c>
      <c r="AJ460">
        <v>474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ROW(Source!A203)</f>
        <v>203</v>
      </c>
      <c r="B461">
        <v>16632216</v>
      </c>
      <c r="C461">
        <v>16632195</v>
      </c>
      <c r="D461">
        <v>15430395</v>
      </c>
      <c r="E461">
        <v>1</v>
      </c>
      <c r="F461">
        <v>1</v>
      </c>
      <c r="G461">
        <v>1</v>
      </c>
      <c r="H461">
        <v>1</v>
      </c>
      <c r="I461" t="s">
        <v>1149</v>
      </c>
      <c r="J461" t="s">
        <v>6</v>
      </c>
      <c r="K461" t="s">
        <v>1150</v>
      </c>
      <c r="L461">
        <v>1191</v>
      </c>
      <c r="N461">
        <v>1013</v>
      </c>
      <c r="O461" t="s">
        <v>1148</v>
      </c>
      <c r="P461" t="s">
        <v>1148</v>
      </c>
      <c r="Q461">
        <v>1</v>
      </c>
      <c r="X461">
        <v>0.02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2</v>
      </c>
      <c r="AF461" t="s">
        <v>6</v>
      </c>
      <c r="AG461">
        <v>0.02</v>
      </c>
      <c r="AH461">
        <v>2</v>
      </c>
      <c r="AI461">
        <v>16632197</v>
      </c>
      <c r="AJ461">
        <v>475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ROW(Source!A203)</f>
        <v>203</v>
      </c>
      <c r="B462">
        <v>16632217</v>
      </c>
      <c r="C462">
        <v>16632195</v>
      </c>
      <c r="D462">
        <v>15247680</v>
      </c>
      <c r="E462">
        <v>1</v>
      </c>
      <c r="F462">
        <v>1</v>
      </c>
      <c r="G462">
        <v>1</v>
      </c>
      <c r="H462">
        <v>2</v>
      </c>
      <c r="I462" t="s">
        <v>1419</v>
      </c>
      <c r="J462" t="s">
        <v>1420</v>
      </c>
      <c r="K462" t="s">
        <v>1421</v>
      </c>
      <c r="L462">
        <v>1368</v>
      </c>
      <c r="N462">
        <v>1011</v>
      </c>
      <c r="O462" t="s">
        <v>1154</v>
      </c>
      <c r="P462" t="s">
        <v>1154</v>
      </c>
      <c r="Q462">
        <v>1</v>
      </c>
      <c r="X462">
        <v>0.01</v>
      </c>
      <c r="Y462">
        <v>0</v>
      </c>
      <c r="Z462">
        <v>111.99</v>
      </c>
      <c r="AA462">
        <v>13.5</v>
      </c>
      <c r="AB462">
        <v>0</v>
      </c>
      <c r="AC462">
        <v>0</v>
      </c>
      <c r="AD462">
        <v>1</v>
      </c>
      <c r="AE462">
        <v>0</v>
      </c>
      <c r="AF462" t="s">
        <v>6</v>
      </c>
      <c r="AG462">
        <v>0.01</v>
      </c>
      <c r="AH462">
        <v>2</v>
      </c>
      <c r="AI462">
        <v>16632198</v>
      </c>
      <c r="AJ462">
        <v>476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ROW(Source!A203)</f>
        <v>203</v>
      </c>
      <c r="B463">
        <v>16632218</v>
      </c>
      <c r="C463">
        <v>16632195</v>
      </c>
      <c r="D463">
        <v>15249073</v>
      </c>
      <c r="E463">
        <v>1</v>
      </c>
      <c r="F463">
        <v>1</v>
      </c>
      <c r="G463">
        <v>1</v>
      </c>
      <c r="H463">
        <v>2</v>
      </c>
      <c r="I463" t="s">
        <v>1157</v>
      </c>
      <c r="J463" t="s">
        <v>1158</v>
      </c>
      <c r="K463" t="s">
        <v>1159</v>
      </c>
      <c r="L463">
        <v>1368</v>
      </c>
      <c r="N463">
        <v>1011</v>
      </c>
      <c r="O463" t="s">
        <v>1154</v>
      </c>
      <c r="P463" t="s">
        <v>1154</v>
      </c>
      <c r="Q463">
        <v>1</v>
      </c>
      <c r="X463">
        <v>0.01</v>
      </c>
      <c r="Y463">
        <v>0</v>
      </c>
      <c r="Z463">
        <v>65.709999999999994</v>
      </c>
      <c r="AA463">
        <v>11.6</v>
      </c>
      <c r="AB463">
        <v>0</v>
      </c>
      <c r="AC463">
        <v>0</v>
      </c>
      <c r="AD463">
        <v>1</v>
      </c>
      <c r="AE463">
        <v>0</v>
      </c>
      <c r="AF463" t="s">
        <v>6</v>
      </c>
      <c r="AG463">
        <v>0.01</v>
      </c>
      <c r="AH463">
        <v>2</v>
      </c>
      <c r="AI463">
        <v>16632199</v>
      </c>
      <c r="AJ463">
        <v>477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ROW(Source!A203)</f>
        <v>203</v>
      </c>
      <c r="B464">
        <v>16632219</v>
      </c>
      <c r="C464">
        <v>16632195</v>
      </c>
      <c r="D464">
        <v>15249377</v>
      </c>
      <c r="E464">
        <v>1</v>
      </c>
      <c r="F464">
        <v>1</v>
      </c>
      <c r="G464">
        <v>1</v>
      </c>
      <c r="H464">
        <v>2</v>
      </c>
      <c r="I464" t="s">
        <v>1222</v>
      </c>
      <c r="J464" t="s">
        <v>1223</v>
      </c>
      <c r="K464" t="s">
        <v>1224</v>
      </c>
      <c r="L464">
        <v>1368</v>
      </c>
      <c r="N464">
        <v>1011</v>
      </c>
      <c r="O464" t="s">
        <v>1154</v>
      </c>
      <c r="P464" t="s">
        <v>1154</v>
      </c>
      <c r="Q464">
        <v>1</v>
      </c>
      <c r="X464">
        <v>0.13</v>
      </c>
      <c r="Y464">
        <v>0</v>
      </c>
      <c r="Z464">
        <v>8.1</v>
      </c>
      <c r="AA464">
        <v>0</v>
      </c>
      <c r="AB464">
        <v>0</v>
      </c>
      <c r="AC464">
        <v>0</v>
      </c>
      <c r="AD464">
        <v>1</v>
      </c>
      <c r="AE464">
        <v>0</v>
      </c>
      <c r="AF464" t="s">
        <v>6</v>
      </c>
      <c r="AG464">
        <v>0.13</v>
      </c>
      <c r="AH464">
        <v>2</v>
      </c>
      <c r="AI464">
        <v>16632200</v>
      </c>
      <c r="AJ464">
        <v>478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ROW(Source!A203)</f>
        <v>203</v>
      </c>
      <c r="B465">
        <v>16632220</v>
      </c>
      <c r="C465">
        <v>16632195</v>
      </c>
      <c r="D465">
        <v>15250043</v>
      </c>
      <c r="E465">
        <v>1</v>
      </c>
      <c r="F465">
        <v>1</v>
      </c>
      <c r="G465">
        <v>1</v>
      </c>
      <c r="H465">
        <v>2</v>
      </c>
      <c r="I465" t="s">
        <v>1510</v>
      </c>
      <c r="J465" t="s">
        <v>1511</v>
      </c>
      <c r="K465" t="s">
        <v>1512</v>
      </c>
      <c r="L465">
        <v>1368</v>
      </c>
      <c r="N465">
        <v>1011</v>
      </c>
      <c r="O465" t="s">
        <v>1154</v>
      </c>
      <c r="P465" t="s">
        <v>1154</v>
      </c>
      <c r="Q465">
        <v>1</v>
      </c>
      <c r="X465">
        <v>0.2</v>
      </c>
      <c r="Y465">
        <v>0</v>
      </c>
      <c r="Z465">
        <v>1.1100000000000001</v>
      </c>
      <c r="AA465">
        <v>0</v>
      </c>
      <c r="AB465">
        <v>0</v>
      </c>
      <c r="AC465">
        <v>0</v>
      </c>
      <c r="AD465">
        <v>1</v>
      </c>
      <c r="AE465">
        <v>0</v>
      </c>
      <c r="AF465" t="s">
        <v>6</v>
      </c>
      <c r="AG465">
        <v>0.2</v>
      </c>
      <c r="AH465">
        <v>2</v>
      </c>
      <c r="AI465">
        <v>16632201</v>
      </c>
      <c r="AJ465">
        <v>479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ROW(Source!A203)</f>
        <v>203</v>
      </c>
      <c r="B466">
        <v>16632221</v>
      </c>
      <c r="C466">
        <v>16632195</v>
      </c>
      <c r="D466">
        <v>15165537</v>
      </c>
      <c r="E466">
        <v>1</v>
      </c>
      <c r="F466">
        <v>1</v>
      </c>
      <c r="G466">
        <v>1</v>
      </c>
      <c r="H466">
        <v>3</v>
      </c>
      <c r="I466" t="s">
        <v>1434</v>
      </c>
      <c r="J466" t="s">
        <v>1435</v>
      </c>
      <c r="K466" t="s">
        <v>1436</v>
      </c>
      <c r="L466">
        <v>1346</v>
      </c>
      <c r="N466">
        <v>1009</v>
      </c>
      <c r="O466" t="s">
        <v>102</v>
      </c>
      <c r="P466" t="s">
        <v>102</v>
      </c>
      <c r="Q466">
        <v>1</v>
      </c>
      <c r="X466">
        <v>8.9999999999999993E-3</v>
      </c>
      <c r="Y466">
        <v>44.97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6</v>
      </c>
      <c r="AG466">
        <v>8.9999999999999993E-3</v>
      </c>
      <c r="AH466">
        <v>2</v>
      </c>
      <c r="AI466">
        <v>16632202</v>
      </c>
      <c r="AJ466">
        <v>480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ROW(Source!A203)</f>
        <v>203</v>
      </c>
      <c r="B467">
        <v>16632222</v>
      </c>
      <c r="C467">
        <v>16632195</v>
      </c>
      <c r="D467">
        <v>15167269</v>
      </c>
      <c r="E467">
        <v>1</v>
      </c>
      <c r="F467">
        <v>1</v>
      </c>
      <c r="G467">
        <v>1</v>
      </c>
      <c r="H467">
        <v>3</v>
      </c>
      <c r="I467" t="s">
        <v>1437</v>
      </c>
      <c r="J467" t="s">
        <v>1438</v>
      </c>
      <c r="K467" t="s">
        <v>1439</v>
      </c>
      <c r="L467">
        <v>1346</v>
      </c>
      <c r="N467">
        <v>1009</v>
      </c>
      <c r="O467" t="s">
        <v>102</v>
      </c>
      <c r="P467" t="s">
        <v>102</v>
      </c>
      <c r="Q467">
        <v>1</v>
      </c>
      <c r="X467">
        <v>4.0000000000000001E-3</v>
      </c>
      <c r="Y467">
        <v>11.5</v>
      </c>
      <c r="Z467">
        <v>0</v>
      </c>
      <c r="AA467">
        <v>0</v>
      </c>
      <c r="AB467">
        <v>0</v>
      </c>
      <c r="AC467">
        <v>0</v>
      </c>
      <c r="AD467">
        <v>1</v>
      </c>
      <c r="AE467">
        <v>0</v>
      </c>
      <c r="AF467" t="s">
        <v>6</v>
      </c>
      <c r="AG467">
        <v>4.0000000000000001E-3</v>
      </c>
      <c r="AH467">
        <v>2</v>
      </c>
      <c r="AI467">
        <v>16632203</v>
      </c>
      <c r="AJ467">
        <v>481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ROW(Source!A203)</f>
        <v>203</v>
      </c>
      <c r="B468">
        <v>16632223</v>
      </c>
      <c r="C468">
        <v>16632195</v>
      </c>
      <c r="D468">
        <v>15167588</v>
      </c>
      <c r="E468">
        <v>1</v>
      </c>
      <c r="F468">
        <v>1</v>
      </c>
      <c r="G468">
        <v>1</v>
      </c>
      <c r="H468">
        <v>3</v>
      </c>
      <c r="I468" t="s">
        <v>1422</v>
      </c>
      <c r="J468" t="s">
        <v>1423</v>
      </c>
      <c r="K468" t="s">
        <v>1424</v>
      </c>
      <c r="L468">
        <v>1346</v>
      </c>
      <c r="N468">
        <v>1009</v>
      </c>
      <c r="O468" t="s">
        <v>102</v>
      </c>
      <c r="P468" t="s">
        <v>102</v>
      </c>
      <c r="Q468">
        <v>1</v>
      </c>
      <c r="X468">
        <v>3.5999999999999997E-2</v>
      </c>
      <c r="Y468">
        <v>30.4</v>
      </c>
      <c r="Z468">
        <v>0</v>
      </c>
      <c r="AA468">
        <v>0</v>
      </c>
      <c r="AB468">
        <v>0</v>
      </c>
      <c r="AC468">
        <v>0</v>
      </c>
      <c r="AD468">
        <v>1</v>
      </c>
      <c r="AE468">
        <v>0</v>
      </c>
      <c r="AF468" t="s">
        <v>6</v>
      </c>
      <c r="AG468">
        <v>3.5999999999999997E-2</v>
      </c>
      <c r="AH468">
        <v>2</v>
      </c>
      <c r="AI468">
        <v>16632204</v>
      </c>
      <c r="AJ468">
        <v>482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ROW(Source!A203)</f>
        <v>203</v>
      </c>
      <c r="B469">
        <v>16632224</v>
      </c>
      <c r="C469">
        <v>16632195</v>
      </c>
      <c r="D469">
        <v>15168752</v>
      </c>
      <c r="E469">
        <v>1</v>
      </c>
      <c r="F469">
        <v>1</v>
      </c>
      <c r="G469">
        <v>1</v>
      </c>
      <c r="H469">
        <v>3</v>
      </c>
      <c r="I469" t="s">
        <v>1440</v>
      </c>
      <c r="J469" t="s">
        <v>1441</v>
      </c>
      <c r="K469" t="s">
        <v>1442</v>
      </c>
      <c r="L469">
        <v>1346</v>
      </c>
      <c r="N469">
        <v>1009</v>
      </c>
      <c r="O469" t="s">
        <v>102</v>
      </c>
      <c r="P469" t="s">
        <v>102</v>
      </c>
      <c r="Q469">
        <v>1</v>
      </c>
      <c r="X469">
        <v>7.0000000000000007E-2</v>
      </c>
      <c r="Y469">
        <v>10.57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0</v>
      </c>
      <c r="AF469" t="s">
        <v>6</v>
      </c>
      <c r="AG469">
        <v>7.0000000000000007E-2</v>
      </c>
      <c r="AH469">
        <v>2</v>
      </c>
      <c r="AI469">
        <v>16632205</v>
      </c>
      <c r="AJ469">
        <v>483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ROW(Source!A203)</f>
        <v>203</v>
      </c>
      <c r="B470">
        <v>16632225</v>
      </c>
      <c r="C470">
        <v>16632195</v>
      </c>
      <c r="D470">
        <v>15169942</v>
      </c>
      <c r="E470">
        <v>1</v>
      </c>
      <c r="F470">
        <v>1</v>
      </c>
      <c r="G470">
        <v>1</v>
      </c>
      <c r="H470">
        <v>3</v>
      </c>
      <c r="I470" t="s">
        <v>1425</v>
      </c>
      <c r="J470" t="s">
        <v>1426</v>
      </c>
      <c r="K470" t="s">
        <v>1427</v>
      </c>
      <c r="L470">
        <v>1346</v>
      </c>
      <c r="N470">
        <v>1009</v>
      </c>
      <c r="O470" t="s">
        <v>102</v>
      </c>
      <c r="P470" t="s">
        <v>102</v>
      </c>
      <c r="Q470">
        <v>1</v>
      </c>
      <c r="X470">
        <v>0.38</v>
      </c>
      <c r="Y470">
        <v>9.0399999999999991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6</v>
      </c>
      <c r="AG470">
        <v>0.38</v>
      </c>
      <c r="AH470">
        <v>2</v>
      </c>
      <c r="AI470">
        <v>16632206</v>
      </c>
      <c r="AJ470">
        <v>484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ROW(Source!A203)</f>
        <v>203</v>
      </c>
      <c r="B471">
        <v>16632226</v>
      </c>
      <c r="C471">
        <v>16632195</v>
      </c>
      <c r="D471">
        <v>15170074</v>
      </c>
      <c r="E471">
        <v>1</v>
      </c>
      <c r="F471">
        <v>1</v>
      </c>
      <c r="G471">
        <v>1</v>
      </c>
      <c r="H471">
        <v>3</v>
      </c>
      <c r="I471" t="s">
        <v>1443</v>
      </c>
      <c r="J471" t="s">
        <v>1444</v>
      </c>
      <c r="K471" t="s">
        <v>1445</v>
      </c>
      <c r="L471">
        <v>1355</v>
      </c>
      <c r="N471">
        <v>1010</v>
      </c>
      <c r="O471" t="s">
        <v>243</v>
      </c>
      <c r="P471" t="s">
        <v>243</v>
      </c>
      <c r="Q471">
        <v>100</v>
      </c>
      <c r="X471">
        <v>1.4E-2</v>
      </c>
      <c r="Y471">
        <v>86</v>
      </c>
      <c r="Z471">
        <v>0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6</v>
      </c>
      <c r="AG471">
        <v>1.4E-2</v>
      </c>
      <c r="AH471">
        <v>2</v>
      </c>
      <c r="AI471">
        <v>16632207</v>
      </c>
      <c r="AJ471">
        <v>485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ROW(Source!A203)</f>
        <v>203</v>
      </c>
      <c r="B472">
        <v>16632227</v>
      </c>
      <c r="C472">
        <v>16632195</v>
      </c>
      <c r="D472">
        <v>15170994</v>
      </c>
      <c r="E472">
        <v>1</v>
      </c>
      <c r="F472">
        <v>1</v>
      </c>
      <c r="G472">
        <v>1</v>
      </c>
      <c r="H472">
        <v>3</v>
      </c>
      <c r="I472" t="s">
        <v>1446</v>
      </c>
      <c r="J472" t="s">
        <v>1447</v>
      </c>
      <c r="K472" t="s">
        <v>1448</v>
      </c>
      <c r="L472">
        <v>1346</v>
      </c>
      <c r="N472">
        <v>1009</v>
      </c>
      <c r="O472" t="s">
        <v>102</v>
      </c>
      <c r="P472" t="s">
        <v>102</v>
      </c>
      <c r="Q472">
        <v>1</v>
      </c>
      <c r="X472">
        <v>2E-3</v>
      </c>
      <c r="Y472">
        <v>133.05000000000001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6</v>
      </c>
      <c r="AG472">
        <v>2E-3</v>
      </c>
      <c r="AH472">
        <v>2</v>
      </c>
      <c r="AI472">
        <v>16632208</v>
      </c>
      <c r="AJ472">
        <v>486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ROW(Source!A203)</f>
        <v>203</v>
      </c>
      <c r="B473">
        <v>16632228</v>
      </c>
      <c r="C473">
        <v>16632195</v>
      </c>
      <c r="D473">
        <v>15188647</v>
      </c>
      <c r="E473">
        <v>1</v>
      </c>
      <c r="F473">
        <v>1</v>
      </c>
      <c r="G473">
        <v>1</v>
      </c>
      <c r="H473">
        <v>3</v>
      </c>
      <c r="I473" t="s">
        <v>1449</v>
      </c>
      <c r="J473" t="s">
        <v>1450</v>
      </c>
      <c r="K473" t="s">
        <v>1451</v>
      </c>
      <c r="L473">
        <v>1348</v>
      </c>
      <c r="N473">
        <v>1009</v>
      </c>
      <c r="O473" t="s">
        <v>98</v>
      </c>
      <c r="P473" t="s">
        <v>98</v>
      </c>
      <c r="Q473">
        <v>1000</v>
      </c>
      <c r="X473">
        <v>2E-3</v>
      </c>
      <c r="Y473">
        <v>11500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6</v>
      </c>
      <c r="AG473">
        <v>2E-3</v>
      </c>
      <c r="AH473">
        <v>2</v>
      </c>
      <c r="AI473">
        <v>16632209</v>
      </c>
      <c r="AJ473">
        <v>487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ROW(Source!A203)</f>
        <v>203</v>
      </c>
      <c r="B474">
        <v>16632229</v>
      </c>
      <c r="C474">
        <v>16632195</v>
      </c>
      <c r="D474">
        <v>15203834</v>
      </c>
      <c r="E474">
        <v>1</v>
      </c>
      <c r="F474">
        <v>1</v>
      </c>
      <c r="G474">
        <v>1</v>
      </c>
      <c r="H474">
        <v>3</v>
      </c>
      <c r="I474" t="s">
        <v>1452</v>
      </c>
      <c r="J474" t="s">
        <v>1453</v>
      </c>
      <c r="K474" t="s">
        <v>1454</v>
      </c>
      <c r="L474">
        <v>1346</v>
      </c>
      <c r="N474">
        <v>1009</v>
      </c>
      <c r="O474" t="s">
        <v>102</v>
      </c>
      <c r="P474" t="s">
        <v>102</v>
      </c>
      <c r="Q474">
        <v>1</v>
      </c>
      <c r="X474">
        <v>4.7E-2</v>
      </c>
      <c r="Y474">
        <v>28.6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6</v>
      </c>
      <c r="AG474">
        <v>4.7E-2</v>
      </c>
      <c r="AH474">
        <v>2</v>
      </c>
      <c r="AI474">
        <v>16632210</v>
      </c>
      <c r="AJ474">
        <v>488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ROW(Source!A203)</f>
        <v>203</v>
      </c>
      <c r="B475">
        <v>16632230</v>
      </c>
      <c r="C475">
        <v>16632195</v>
      </c>
      <c r="D475">
        <v>15203987</v>
      </c>
      <c r="E475">
        <v>1</v>
      </c>
      <c r="F475">
        <v>1</v>
      </c>
      <c r="G475">
        <v>1</v>
      </c>
      <c r="H475">
        <v>3</v>
      </c>
      <c r="I475" t="s">
        <v>1455</v>
      </c>
      <c r="J475" t="s">
        <v>1456</v>
      </c>
      <c r="K475" t="s">
        <v>1457</v>
      </c>
      <c r="L475">
        <v>1346</v>
      </c>
      <c r="N475">
        <v>1009</v>
      </c>
      <c r="O475" t="s">
        <v>102</v>
      </c>
      <c r="P475" t="s">
        <v>102</v>
      </c>
      <c r="Q475">
        <v>1</v>
      </c>
      <c r="X475">
        <v>1.4E-2</v>
      </c>
      <c r="Y475">
        <v>35.630000000000003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6</v>
      </c>
      <c r="AG475">
        <v>1.4E-2</v>
      </c>
      <c r="AH475">
        <v>2</v>
      </c>
      <c r="AI475">
        <v>16632211</v>
      </c>
      <c r="AJ475">
        <v>489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ROW(Source!A203)</f>
        <v>203</v>
      </c>
      <c r="B476">
        <v>16632231</v>
      </c>
      <c r="C476">
        <v>16632195</v>
      </c>
      <c r="D476">
        <v>15217463</v>
      </c>
      <c r="E476">
        <v>1</v>
      </c>
      <c r="F476">
        <v>1</v>
      </c>
      <c r="G476">
        <v>1</v>
      </c>
      <c r="H476">
        <v>3</v>
      </c>
      <c r="I476" t="s">
        <v>1458</v>
      </c>
      <c r="J476" t="s">
        <v>1459</v>
      </c>
      <c r="K476" t="s">
        <v>1460</v>
      </c>
      <c r="L476">
        <v>1358</v>
      </c>
      <c r="N476">
        <v>1010</v>
      </c>
      <c r="O476" t="s">
        <v>616</v>
      </c>
      <c r="P476" t="s">
        <v>616</v>
      </c>
      <c r="Q476">
        <v>10</v>
      </c>
      <c r="X476">
        <v>0.1</v>
      </c>
      <c r="Y476">
        <v>39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6</v>
      </c>
      <c r="AG476">
        <v>0.1</v>
      </c>
      <c r="AH476">
        <v>2</v>
      </c>
      <c r="AI476">
        <v>16632212</v>
      </c>
      <c r="AJ476">
        <v>490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ROW(Source!A203)</f>
        <v>203</v>
      </c>
      <c r="B477">
        <v>16632232</v>
      </c>
      <c r="C477">
        <v>16632195</v>
      </c>
      <c r="D477">
        <v>15164559</v>
      </c>
      <c r="E477">
        <v>17</v>
      </c>
      <c r="F477">
        <v>1</v>
      </c>
      <c r="G477">
        <v>1</v>
      </c>
      <c r="H477">
        <v>3</v>
      </c>
      <c r="I477" t="s">
        <v>1431</v>
      </c>
      <c r="J477" t="s">
        <v>6</v>
      </c>
      <c r="K477" t="s">
        <v>1432</v>
      </c>
      <c r="L477">
        <v>1374</v>
      </c>
      <c r="N477">
        <v>1013</v>
      </c>
      <c r="O477" t="s">
        <v>1433</v>
      </c>
      <c r="P477" t="s">
        <v>1433</v>
      </c>
      <c r="Q477">
        <v>1</v>
      </c>
      <c r="X477">
        <v>0.44</v>
      </c>
      <c r="Y477">
        <v>1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6</v>
      </c>
      <c r="AG477">
        <v>0.44</v>
      </c>
      <c r="AH477">
        <v>2</v>
      </c>
      <c r="AI477">
        <v>16632213</v>
      </c>
      <c r="AJ477">
        <v>492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ROW(Source!A205)</f>
        <v>205</v>
      </c>
      <c r="B478">
        <v>16633520</v>
      </c>
      <c r="C478">
        <v>16633519</v>
      </c>
      <c r="D478">
        <v>15436556</v>
      </c>
      <c r="E478">
        <v>1</v>
      </c>
      <c r="F478">
        <v>1</v>
      </c>
      <c r="G478">
        <v>1</v>
      </c>
      <c r="H478">
        <v>1</v>
      </c>
      <c r="I478" t="s">
        <v>1354</v>
      </c>
      <c r="J478" t="s">
        <v>6</v>
      </c>
      <c r="K478" t="s">
        <v>1355</v>
      </c>
      <c r="L478">
        <v>1191</v>
      </c>
      <c r="N478">
        <v>1013</v>
      </c>
      <c r="O478" t="s">
        <v>1148</v>
      </c>
      <c r="P478" t="s">
        <v>1148</v>
      </c>
      <c r="Q478">
        <v>1</v>
      </c>
      <c r="X478">
        <v>2.25</v>
      </c>
      <c r="Y478">
        <v>0</v>
      </c>
      <c r="Z478">
        <v>0</v>
      </c>
      <c r="AA478">
        <v>0</v>
      </c>
      <c r="AB478">
        <v>9.6199999999999992</v>
      </c>
      <c r="AC478">
        <v>0</v>
      </c>
      <c r="AD478">
        <v>1</v>
      </c>
      <c r="AE478">
        <v>1</v>
      </c>
      <c r="AF478" t="s">
        <v>6</v>
      </c>
      <c r="AG478">
        <v>2.25</v>
      </c>
      <c r="AH478">
        <v>2</v>
      </c>
      <c r="AI478">
        <v>16633520</v>
      </c>
      <c r="AJ478">
        <v>493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ROW(Source!A205)</f>
        <v>205</v>
      </c>
      <c r="B479">
        <v>16633521</v>
      </c>
      <c r="C479">
        <v>16633519</v>
      </c>
      <c r="D479">
        <v>15430395</v>
      </c>
      <c r="E479">
        <v>1</v>
      </c>
      <c r="F479">
        <v>1</v>
      </c>
      <c r="G479">
        <v>1</v>
      </c>
      <c r="H479">
        <v>1</v>
      </c>
      <c r="I479" t="s">
        <v>1149</v>
      </c>
      <c r="J479" t="s">
        <v>6</v>
      </c>
      <c r="K479" t="s">
        <v>1150</v>
      </c>
      <c r="L479">
        <v>1191</v>
      </c>
      <c r="N479">
        <v>1013</v>
      </c>
      <c r="O479" t="s">
        <v>1148</v>
      </c>
      <c r="P479" t="s">
        <v>1148</v>
      </c>
      <c r="Q479">
        <v>1</v>
      </c>
      <c r="X479">
        <v>0.16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1</v>
      </c>
      <c r="AE479">
        <v>2</v>
      </c>
      <c r="AF479" t="s">
        <v>6</v>
      </c>
      <c r="AG479">
        <v>0.16</v>
      </c>
      <c r="AH479">
        <v>2</v>
      </c>
      <c r="AI479">
        <v>16633521</v>
      </c>
      <c r="AJ479">
        <v>494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ROW(Source!A205)</f>
        <v>205</v>
      </c>
      <c r="B480">
        <v>16633522</v>
      </c>
      <c r="C480">
        <v>16633519</v>
      </c>
      <c r="D480">
        <v>15247680</v>
      </c>
      <c r="E480">
        <v>1</v>
      </c>
      <c r="F480">
        <v>1</v>
      </c>
      <c r="G480">
        <v>1</v>
      </c>
      <c r="H480">
        <v>2</v>
      </c>
      <c r="I480" t="s">
        <v>1419</v>
      </c>
      <c r="J480" t="s">
        <v>1420</v>
      </c>
      <c r="K480" t="s">
        <v>1421</v>
      </c>
      <c r="L480">
        <v>1368</v>
      </c>
      <c r="N480">
        <v>1011</v>
      </c>
      <c r="O480" t="s">
        <v>1154</v>
      </c>
      <c r="P480" t="s">
        <v>1154</v>
      </c>
      <c r="Q480">
        <v>1</v>
      </c>
      <c r="X480">
        <v>0.08</v>
      </c>
      <c r="Y480">
        <v>0</v>
      </c>
      <c r="Z480">
        <v>111.99</v>
      </c>
      <c r="AA480">
        <v>13.5</v>
      </c>
      <c r="AB480">
        <v>0</v>
      </c>
      <c r="AC480">
        <v>0</v>
      </c>
      <c r="AD480">
        <v>1</v>
      </c>
      <c r="AE480">
        <v>0</v>
      </c>
      <c r="AF480" t="s">
        <v>6</v>
      </c>
      <c r="AG480">
        <v>0.08</v>
      </c>
      <c r="AH480">
        <v>2</v>
      </c>
      <c r="AI480">
        <v>16633522</v>
      </c>
      <c r="AJ480">
        <v>495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ROW(Source!A205)</f>
        <v>205</v>
      </c>
      <c r="B481">
        <v>16633523</v>
      </c>
      <c r="C481">
        <v>16633519</v>
      </c>
      <c r="D481">
        <v>15249073</v>
      </c>
      <c r="E481">
        <v>1</v>
      </c>
      <c r="F481">
        <v>1</v>
      </c>
      <c r="G481">
        <v>1</v>
      </c>
      <c r="H481">
        <v>2</v>
      </c>
      <c r="I481" t="s">
        <v>1157</v>
      </c>
      <c r="J481" t="s">
        <v>1158</v>
      </c>
      <c r="K481" t="s">
        <v>1159</v>
      </c>
      <c r="L481">
        <v>1368</v>
      </c>
      <c r="N481">
        <v>1011</v>
      </c>
      <c r="O481" t="s">
        <v>1154</v>
      </c>
      <c r="P481" t="s">
        <v>1154</v>
      </c>
      <c r="Q481">
        <v>1</v>
      </c>
      <c r="X481">
        <v>0.08</v>
      </c>
      <c r="Y481">
        <v>0</v>
      </c>
      <c r="Z481">
        <v>65.709999999999994</v>
      </c>
      <c r="AA481">
        <v>11.6</v>
      </c>
      <c r="AB481">
        <v>0</v>
      </c>
      <c r="AC481">
        <v>0</v>
      </c>
      <c r="AD481">
        <v>1</v>
      </c>
      <c r="AE481">
        <v>0</v>
      </c>
      <c r="AF481" t="s">
        <v>6</v>
      </c>
      <c r="AG481">
        <v>0.08</v>
      </c>
      <c r="AH481">
        <v>2</v>
      </c>
      <c r="AI481">
        <v>16633523</v>
      </c>
      <c r="AJ481">
        <v>496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ROW(Source!A205)</f>
        <v>205</v>
      </c>
      <c r="B482">
        <v>16633524</v>
      </c>
      <c r="C482">
        <v>16633519</v>
      </c>
      <c r="D482">
        <v>15169942</v>
      </c>
      <c r="E482">
        <v>1</v>
      </c>
      <c r="F482">
        <v>1</v>
      </c>
      <c r="G482">
        <v>1</v>
      </c>
      <c r="H482">
        <v>3</v>
      </c>
      <c r="I482" t="s">
        <v>1425</v>
      </c>
      <c r="J482" t="s">
        <v>1426</v>
      </c>
      <c r="K482" t="s">
        <v>1427</v>
      </c>
      <c r="L482">
        <v>1346</v>
      </c>
      <c r="N482">
        <v>1009</v>
      </c>
      <c r="O482" t="s">
        <v>102</v>
      </c>
      <c r="P482" t="s">
        <v>102</v>
      </c>
      <c r="Q482">
        <v>1</v>
      </c>
      <c r="X482">
        <v>0.04</v>
      </c>
      <c r="Y482">
        <v>9.0399999999999991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6</v>
      </c>
      <c r="AG482">
        <v>0.04</v>
      </c>
      <c r="AH482">
        <v>2</v>
      </c>
      <c r="AI482">
        <v>16633524</v>
      </c>
      <c r="AJ482">
        <v>497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ROW(Source!A205)</f>
        <v>205</v>
      </c>
      <c r="B483">
        <v>16633525</v>
      </c>
      <c r="C483">
        <v>16633519</v>
      </c>
      <c r="D483">
        <v>15164559</v>
      </c>
      <c r="E483">
        <v>17</v>
      </c>
      <c r="F483">
        <v>1</v>
      </c>
      <c r="G483">
        <v>1</v>
      </c>
      <c r="H483">
        <v>3</v>
      </c>
      <c r="I483" t="s">
        <v>1431</v>
      </c>
      <c r="J483" t="s">
        <v>6</v>
      </c>
      <c r="K483" t="s">
        <v>1432</v>
      </c>
      <c r="L483">
        <v>1374</v>
      </c>
      <c r="N483">
        <v>1013</v>
      </c>
      <c r="O483" t="s">
        <v>1433</v>
      </c>
      <c r="P483" t="s">
        <v>1433</v>
      </c>
      <c r="Q483">
        <v>1</v>
      </c>
      <c r="X483">
        <v>0.43</v>
      </c>
      <c r="Y483">
        <v>1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6</v>
      </c>
      <c r="AG483">
        <v>0.43</v>
      </c>
      <c r="AH483">
        <v>2</v>
      </c>
      <c r="AI483">
        <v>16633525</v>
      </c>
      <c r="AJ483">
        <v>499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ROW(Source!A207)</f>
        <v>207</v>
      </c>
      <c r="B484">
        <v>16632237</v>
      </c>
      <c r="C484">
        <v>16632234</v>
      </c>
      <c r="D484">
        <v>15885198</v>
      </c>
      <c r="E484">
        <v>1</v>
      </c>
      <c r="F484">
        <v>1</v>
      </c>
      <c r="G484">
        <v>1</v>
      </c>
      <c r="H484">
        <v>1</v>
      </c>
      <c r="I484" t="s">
        <v>1513</v>
      </c>
      <c r="J484" t="s">
        <v>6</v>
      </c>
      <c r="K484" t="s">
        <v>1514</v>
      </c>
      <c r="L484">
        <v>1191</v>
      </c>
      <c r="N484">
        <v>1013</v>
      </c>
      <c r="O484" t="s">
        <v>1148</v>
      </c>
      <c r="P484" t="s">
        <v>1148</v>
      </c>
      <c r="Q484">
        <v>1</v>
      </c>
      <c r="X484">
        <v>0.16</v>
      </c>
      <c r="Y484">
        <v>0</v>
      </c>
      <c r="Z484">
        <v>0</v>
      </c>
      <c r="AA484">
        <v>0</v>
      </c>
      <c r="AB484">
        <v>12.92</v>
      </c>
      <c r="AC484">
        <v>0</v>
      </c>
      <c r="AD484">
        <v>1</v>
      </c>
      <c r="AE484">
        <v>1</v>
      </c>
      <c r="AF484" t="s">
        <v>6</v>
      </c>
      <c r="AG484">
        <v>0.16</v>
      </c>
      <c r="AH484">
        <v>2</v>
      </c>
      <c r="AI484">
        <v>16632235</v>
      </c>
      <c r="AJ484">
        <v>500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ROW(Source!A207)</f>
        <v>207</v>
      </c>
      <c r="B485">
        <v>16632238</v>
      </c>
      <c r="C485">
        <v>16632234</v>
      </c>
      <c r="D485">
        <v>15884235</v>
      </c>
      <c r="E485">
        <v>1</v>
      </c>
      <c r="F485">
        <v>1</v>
      </c>
      <c r="G485">
        <v>1</v>
      </c>
      <c r="H485">
        <v>1</v>
      </c>
      <c r="I485" t="s">
        <v>1515</v>
      </c>
      <c r="J485" t="s">
        <v>6</v>
      </c>
      <c r="K485" t="s">
        <v>1516</v>
      </c>
      <c r="L485">
        <v>1191</v>
      </c>
      <c r="N485">
        <v>1013</v>
      </c>
      <c r="O485" t="s">
        <v>1148</v>
      </c>
      <c r="P485" t="s">
        <v>1148</v>
      </c>
      <c r="Q485">
        <v>1</v>
      </c>
      <c r="X485">
        <v>0.16</v>
      </c>
      <c r="Y485">
        <v>0</v>
      </c>
      <c r="Z485">
        <v>0</v>
      </c>
      <c r="AA485">
        <v>0</v>
      </c>
      <c r="AB485">
        <v>12.69</v>
      </c>
      <c r="AC485">
        <v>0</v>
      </c>
      <c r="AD485">
        <v>1</v>
      </c>
      <c r="AE485">
        <v>1</v>
      </c>
      <c r="AF485" t="s">
        <v>6</v>
      </c>
      <c r="AG485">
        <v>0.16</v>
      </c>
      <c r="AH485">
        <v>2</v>
      </c>
      <c r="AI485">
        <v>16632236</v>
      </c>
      <c r="AJ485">
        <v>501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ROW(Source!A208)</f>
        <v>208</v>
      </c>
      <c r="B486">
        <v>16632242</v>
      </c>
      <c r="C486">
        <v>16632239</v>
      </c>
      <c r="D486">
        <v>15885198</v>
      </c>
      <c r="E486">
        <v>1</v>
      </c>
      <c r="F486">
        <v>1</v>
      </c>
      <c r="G486">
        <v>1</v>
      </c>
      <c r="H486">
        <v>1</v>
      </c>
      <c r="I486" t="s">
        <v>1513</v>
      </c>
      <c r="J486" t="s">
        <v>6</v>
      </c>
      <c r="K486" t="s">
        <v>1514</v>
      </c>
      <c r="L486">
        <v>1191</v>
      </c>
      <c r="N486">
        <v>1013</v>
      </c>
      <c r="O486" t="s">
        <v>1148</v>
      </c>
      <c r="P486" t="s">
        <v>1148</v>
      </c>
      <c r="Q486">
        <v>1</v>
      </c>
      <c r="X486">
        <v>6.48</v>
      </c>
      <c r="Y486">
        <v>0</v>
      </c>
      <c r="Z486">
        <v>0</v>
      </c>
      <c r="AA486">
        <v>0</v>
      </c>
      <c r="AB486">
        <v>12.92</v>
      </c>
      <c r="AC486">
        <v>0</v>
      </c>
      <c r="AD486">
        <v>1</v>
      </c>
      <c r="AE486">
        <v>1</v>
      </c>
      <c r="AF486" t="s">
        <v>6</v>
      </c>
      <c r="AG486">
        <v>6.48</v>
      </c>
      <c r="AH486">
        <v>2</v>
      </c>
      <c r="AI486">
        <v>16632240</v>
      </c>
      <c r="AJ486">
        <v>502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ROW(Source!A208)</f>
        <v>208</v>
      </c>
      <c r="B487">
        <v>16632243</v>
      </c>
      <c r="C487">
        <v>16632239</v>
      </c>
      <c r="D487">
        <v>15884235</v>
      </c>
      <c r="E487">
        <v>1</v>
      </c>
      <c r="F487">
        <v>1</v>
      </c>
      <c r="G487">
        <v>1</v>
      </c>
      <c r="H487">
        <v>1</v>
      </c>
      <c r="I487" t="s">
        <v>1515</v>
      </c>
      <c r="J487" t="s">
        <v>6</v>
      </c>
      <c r="K487" t="s">
        <v>1516</v>
      </c>
      <c r="L487">
        <v>1191</v>
      </c>
      <c r="N487">
        <v>1013</v>
      </c>
      <c r="O487" t="s">
        <v>1148</v>
      </c>
      <c r="P487" t="s">
        <v>1148</v>
      </c>
      <c r="Q487">
        <v>1</v>
      </c>
      <c r="X487">
        <v>6.48</v>
      </c>
      <c r="Y487">
        <v>0</v>
      </c>
      <c r="Z487">
        <v>0</v>
      </c>
      <c r="AA487">
        <v>0</v>
      </c>
      <c r="AB487">
        <v>12.69</v>
      </c>
      <c r="AC487">
        <v>0</v>
      </c>
      <c r="AD487">
        <v>1</v>
      </c>
      <c r="AE487">
        <v>1</v>
      </c>
      <c r="AF487" t="s">
        <v>6</v>
      </c>
      <c r="AG487">
        <v>6.48</v>
      </c>
      <c r="AH487">
        <v>2</v>
      </c>
      <c r="AI487">
        <v>16632241</v>
      </c>
      <c r="AJ487">
        <v>503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ROW(Source!A209)</f>
        <v>209</v>
      </c>
      <c r="B488">
        <v>16632247</v>
      </c>
      <c r="C488">
        <v>16632244</v>
      </c>
      <c r="D488">
        <v>15885198</v>
      </c>
      <c r="E488">
        <v>1</v>
      </c>
      <c r="F488">
        <v>1</v>
      </c>
      <c r="G488">
        <v>1</v>
      </c>
      <c r="H488">
        <v>1</v>
      </c>
      <c r="I488" t="s">
        <v>1513</v>
      </c>
      <c r="J488" t="s">
        <v>6</v>
      </c>
      <c r="K488" t="s">
        <v>1514</v>
      </c>
      <c r="L488">
        <v>1191</v>
      </c>
      <c r="N488">
        <v>1013</v>
      </c>
      <c r="O488" t="s">
        <v>1148</v>
      </c>
      <c r="P488" t="s">
        <v>1148</v>
      </c>
      <c r="Q488">
        <v>1</v>
      </c>
      <c r="X488">
        <v>0.61</v>
      </c>
      <c r="Y488">
        <v>0</v>
      </c>
      <c r="Z488">
        <v>0</v>
      </c>
      <c r="AA488">
        <v>0</v>
      </c>
      <c r="AB488">
        <v>12.92</v>
      </c>
      <c r="AC488">
        <v>0</v>
      </c>
      <c r="AD488">
        <v>1</v>
      </c>
      <c r="AE488">
        <v>1</v>
      </c>
      <c r="AF488" t="s">
        <v>6</v>
      </c>
      <c r="AG488">
        <v>0.61</v>
      </c>
      <c r="AH488">
        <v>2</v>
      </c>
      <c r="AI488">
        <v>16632245</v>
      </c>
      <c r="AJ488">
        <v>504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ROW(Source!A209)</f>
        <v>209</v>
      </c>
      <c r="B489">
        <v>16632248</v>
      </c>
      <c r="C489">
        <v>16632244</v>
      </c>
      <c r="D489">
        <v>15884235</v>
      </c>
      <c r="E489">
        <v>1</v>
      </c>
      <c r="F489">
        <v>1</v>
      </c>
      <c r="G489">
        <v>1</v>
      </c>
      <c r="H489">
        <v>1</v>
      </c>
      <c r="I489" t="s">
        <v>1515</v>
      </c>
      <c r="J489" t="s">
        <v>6</v>
      </c>
      <c r="K489" t="s">
        <v>1516</v>
      </c>
      <c r="L489">
        <v>1191</v>
      </c>
      <c r="N489">
        <v>1013</v>
      </c>
      <c r="O489" t="s">
        <v>1148</v>
      </c>
      <c r="P489" t="s">
        <v>1148</v>
      </c>
      <c r="Q489">
        <v>1</v>
      </c>
      <c r="X489">
        <v>0.61</v>
      </c>
      <c r="Y489">
        <v>0</v>
      </c>
      <c r="Z489">
        <v>0</v>
      </c>
      <c r="AA489">
        <v>0</v>
      </c>
      <c r="AB489">
        <v>12.69</v>
      </c>
      <c r="AC489">
        <v>0</v>
      </c>
      <c r="AD489">
        <v>1</v>
      </c>
      <c r="AE489">
        <v>1</v>
      </c>
      <c r="AF489" t="s">
        <v>6</v>
      </c>
      <c r="AG489">
        <v>0.61</v>
      </c>
      <c r="AH489">
        <v>2</v>
      </c>
      <c r="AI489">
        <v>16632246</v>
      </c>
      <c r="AJ489">
        <v>505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ROW(Source!A210)</f>
        <v>210</v>
      </c>
      <c r="B490">
        <v>16632252</v>
      </c>
      <c r="C490">
        <v>16632249</v>
      </c>
      <c r="D490">
        <v>15884482</v>
      </c>
      <c r="E490">
        <v>1</v>
      </c>
      <c r="F490">
        <v>1</v>
      </c>
      <c r="G490">
        <v>1</v>
      </c>
      <c r="H490">
        <v>1</v>
      </c>
      <c r="I490" t="s">
        <v>1517</v>
      </c>
      <c r="J490" t="s">
        <v>6</v>
      </c>
      <c r="K490" t="s">
        <v>1518</v>
      </c>
      <c r="L490">
        <v>1191</v>
      </c>
      <c r="N490">
        <v>1013</v>
      </c>
      <c r="O490" t="s">
        <v>1148</v>
      </c>
      <c r="P490" t="s">
        <v>1148</v>
      </c>
      <c r="Q490">
        <v>1</v>
      </c>
      <c r="X490">
        <v>0.68</v>
      </c>
      <c r="Y490">
        <v>0</v>
      </c>
      <c r="Z490">
        <v>0</v>
      </c>
      <c r="AA490">
        <v>0</v>
      </c>
      <c r="AB490">
        <v>9.6199999999999992</v>
      </c>
      <c r="AC490">
        <v>0</v>
      </c>
      <c r="AD490">
        <v>1</v>
      </c>
      <c r="AE490">
        <v>1</v>
      </c>
      <c r="AF490" t="s">
        <v>6</v>
      </c>
      <c r="AG490">
        <v>0.68</v>
      </c>
      <c r="AH490">
        <v>2</v>
      </c>
      <c r="AI490">
        <v>16632250</v>
      </c>
      <c r="AJ490">
        <v>506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ROW(Source!A210)</f>
        <v>210</v>
      </c>
      <c r="B491">
        <v>16632253</v>
      </c>
      <c r="C491">
        <v>16632249</v>
      </c>
      <c r="D491">
        <v>15884231</v>
      </c>
      <c r="E491">
        <v>1</v>
      </c>
      <c r="F491">
        <v>1</v>
      </c>
      <c r="G491">
        <v>1</v>
      </c>
      <c r="H491">
        <v>1</v>
      </c>
      <c r="I491" t="s">
        <v>1519</v>
      </c>
      <c r="J491" t="s">
        <v>6</v>
      </c>
      <c r="K491" t="s">
        <v>1520</v>
      </c>
      <c r="L491">
        <v>1191</v>
      </c>
      <c r="N491">
        <v>1013</v>
      </c>
      <c r="O491" t="s">
        <v>1148</v>
      </c>
      <c r="P491" t="s">
        <v>1148</v>
      </c>
      <c r="Q491">
        <v>1</v>
      </c>
      <c r="X491">
        <v>0.68</v>
      </c>
      <c r="Y491">
        <v>0</v>
      </c>
      <c r="Z491">
        <v>0</v>
      </c>
      <c r="AA491">
        <v>0</v>
      </c>
      <c r="AB491">
        <v>9.17</v>
      </c>
      <c r="AC491">
        <v>0</v>
      </c>
      <c r="AD491">
        <v>1</v>
      </c>
      <c r="AE491">
        <v>1</v>
      </c>
      <c r="AF491" t="s">
        <v>6</v>
      </c>
      <c r="AG491">
        <v>0.68</v>
      </c>
      <c r="AH491">
        <v>2</v>
      </c>
      <c r="AI491">
        <v>16632251</v>
      </c>
      <c r="AJ491">
        <v>507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ROW(Source!A248)</f>
        <v>248</v>
      </c>
      <c r="B492">
        <v>16632261</v>
      </c>
      <c r="C492">
        <v>16632254</v>
      </c>
      <c r="D492">
        <v>15432356</v>
      </c>
      <c r="E492">
        <v>1</v>
      </c>
      <c r="F492">
        <v>1</v>
      </c>
      <c r="G492">
        <v>1</v>
      </c>
      <c r="H492">
        <v>1</v>
      </c>
      <c r="I492" t="s">
        <v>1319</v>
      </c>
      <c r="J492" t="s">
        <v>6</v>
      </c>
      <c r="K492" t="s">
        <v>1320</v>
      </c>
      <c r="L492">
        <v>1191</v>
      </c>
      <c r="N492">
        <v>1013</v>
      </c>
      <c r="O492" t="s">
        <v>1148</v>
      </c>
      <c r="P492" t="s">
        <v>1148</v>
      </c>
      <c r="Q492">
        <v>1</v>
      </c>
      <c r="X492">
        <v>34.659999999999997</v>
      </c>
      <c r="Y492">
        <v>0</v>
      </c>
      <c r="Z492">
        <v>0</v>
      </c>
      <c r="AA492">
        <v>0</v>
      </c>
      <c r="AB492">
        <v>8.31</v>
      </c>
      <c r="AC492">
        <v>0</v>
      </c>
      <c r="AD492">
        <v>1</v>
      </c>
      <c r="AE492">
        <v>1</v>
      </c>
      <c r="AF492" t="s">
        <v>6</v>
      </c>
      <c r="AG492">
        <v>34.659999999999997</v>
      </c>
      <c r="AH492">
        <v>2</v>
      </c>
      <c r="AI492">
        <v>16632255</v>
      </c>
      <c r="AJ492">
        <v>508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ROW(Source!A248)</f>
        <v>248</v>
      </c>
      <c r="B493">
        <v>16632262</v>
      </c>
      <c r="C493">
        <v>16632254</v>
      </c>
      <c r="D493">
        <v>15430395</v>
      </c>
      <c r="E493">
        <v>1</v>
      </c>
      <c r="F493">
        <v>1</v>
      </c>
      <c r="G493">
        <v>1</v>
      </c>
      <c r="H493">
        <v>1</v>
      </c>
      <c r="I493" t="s">
        <v>1149</v>
      </c>
      <c r="J493" t="s">
        <v>6</v>
      </c>
      <c r="K493" t="s">
        <v>1150</v>
      </c>
      <c r="L493">
        <v>1191</v>
      </c>
      <c r="N493">
        <v>1013</v>
      </c>
      <c r="O493" t="s">
        <v>1148</v>
      </c>
      <c r="P493" t="s">
        <v>1148</v>
      </c>
      <c r="Q493">
        <v>1</v>
      </c>
      <c r="X493">
        <v>0.1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2</v>
      </c>
      <c r="AF493" t="s">
        <v>6</v>
      </c>
      <c r="AG493">
        <v>0.1</v>
      </c>
      <c r="AH493">
        <v>2</v>
      </c>
      <c r="AI493">
        <v>16632256</v>
      </c>
      <c r="AJ493">
        <v>509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ROW(Source!A248)</f>
        <v>248</v>
      </c>
      <c r="B494">
        <v>16632263</v>
      </c>
      <c r="C494">
        <v>16632254</v>
      </c>
      <c r="D494">
        <v>15247974</v>
      </c>
      <c r="E494">
        <v>1</v>
      </c>
      <c r="F494">
        <v>1</v>
      </c>
      <c r="G494">
        <v>1</v>
      </c>
      <c r="H494">
        <v>2</v>
      </c>
      <c r="I494" t="s">
        <v>1151</v>
      </c>
      <c r="J494" t="s">
        <v>1152</v>
      </c>
      <c r="K494" t="s">
        <v>1153</v>
      </c>
      <c r="L494">
        <v>1368</v>
      </c>
      <c r="N494">
        <v>1011</v>
      </c>
      <c r="O494" t="s">
        <v>1154</v>
      </c>
      <c r="P494" t="s">
        <v>1154</v>
      </c>
      <c r="Q494">
        <v>1</v>
      </c>
      <c r="X494">
        <v>0.1</v>
      </c>
      <c r="Y494">
        <v>0</v>
      </c>
      <c r="Z494">
        <v>31.26</v>
      </c>
      <c r="AA494">
        <v>13.5</v>
      </c>
      <c r="AB494">
        <v>0</v>
      </c>
      <c r="AC494">
        <v>0</v>
      </c>
      <c r="AD494">
        <v>1</v>
      </c>
      <c r="AE494">
        <v>0</v>
      </c>
      <c r="AF494" t="s">
        <v>6</v>
      </c>
      <c r="AG494">
        <v>0.1</v>
      </c>
      <c r="AH494">
        <v>2</v>
      </c>
      <c r="AI494">
        <v>16632257</v>
      </c>
      <c r="AJ494">
        <v>510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ROW(Source!A248)</f>
        <v>248</v>
      </c>
      <c r="B495">
        <v>16632264</v>
      </c>
      <c r="C495">
        <v>16632254</v>
      </c>
      <c r="D495">
        <v>15249308</v>
      </c>
      <c r="E495">
        <v>1</v>
      </c>
      <c r="F495">
        <v>1</v>
      </c>
      <c r="G495">
        <v>1</v>
      </c>
      <c r="H495">
        <v>2</v>
      </c>
      <c r="I495" t="s">
        <v>1521</v>
      </c>
      <c r="J495" t="s">
        <v>1522</v>
      </c>
      <c r="K495" t="s">
        <v>1523</v>
      </c>
      <c r="L495">
        <v>1368</v>
      </c>
      <c r="N495">
        <v>1011</v>
      </c>
      <c r="O495" t="s">
        <v>1154</v>
      </c>
      <c r="P495" t="s">
        <v>1154</v>
      </c>
      <c r="Q495">
        <v>1</v>
      </c>
      <c r="X495">
        <v>3.3</v>
      </c>
      <c r="Y495">
        <v>0</v>
      </c>
      <c r="Z495">
        <v>1.2</v>
      </c>
      <c r="AA495">
        <v>0</v>
      </c>
      <c r="AB495">
        <v>0</v>
      </c>
      <c r="AC495">
        <v>0</v>
      </c>
      <c r="AD495">
        <v>1</v>
      </c>
      <c r="AE495">
        <v>0</v>
      </c>
      <c r="AF495" t="s">
        <v>6</v>
      </c>
      <c r="AG495">
        <v>3.3</v>
      </c>
      <c r="AH495">
        <v>2</v>
      </c>
      <c r="AI495">
        <v>16632258</v>
      </c>
      <c r="AJ495">
        <v>511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ROW(Source!A248)</f>
        <v>248</v>
      </c>
      <c r="B496">
        <v>16632265</v>
      </c>
      <c r="C496">
        <v>16632254</v>
      </c>
      <c r="D496">
        <v>15165634</v>
      </c>
      <c r="E496">
        <v>1</v>
      </c>
      <c r="F496">
        <v>1</v>
      </c>
      <c r="G496">
        <v>1</v>
      </c>
      <c r="H496">
        <v>3</v>
      </c>
      <c r="I496" t="s">
        <v>1524</v>
      </c>
      <c r="J496" t="s">
        <v>1525</v>
      </c>
      <c r="K496" t="s">
        <v>1526</v>
      </c>
      <c r="L496">
        <v>1339</v>
      </c>
      <c r="N496">
        <v>1007</v>
      </c>
      <c r="O496" t="s">
        <v>203</v>
      </c>
      <c r="P496" t="s">
        <v>203</v>
      </c>
      <c r="Q496">
        <v>1</v>
      </c>
      <c r="X496">
        <v>0.43</v>
      </c>
      <c r="Y496">
        <v>38.51</v>
      </c>
      <c r="Z496">
        <v>0</v>
      </c>
      <c r="AA496">
        <v>0</v>
      </c>
      <c r="AB496">
        <v>0</v>
      </c>
      <c r="AC496">
        <v>0</v>
      </c>
      <c r="AD496">
        <v>1</v>
      </c>
      <c r="AE496">
        <v>0</v>
      </c>
      <c r="AF496" t="s">
        <v>30</v>
      </c>
      <c r="AG496">
        <v>0</v>
      </c>
      <c r="AH496">
        <v>2</v>
      </c>
      <c r="AI496">
        <v>16632259</v>
      </c>
      <c r="AJ496">
        <v>512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ROW(Source!A248)</f>
        <v>248</v>
      </c>
      <c r="B497">
        <v>16632266</v>
      </c>
      <c r="C497">
        <v>16632254</v>
      </c>
      <c r="D497">
        <v>15165653</v>
      </c>
      <c r="E497">
        <v>1</v>
      </c>
      <c r="F497">
        <v>1</v>
      </c>
      <c r="G497">
        <v>1</v>
      </c>
      <c r="H497">
        <v>3</v>
      </c>
      <c r="I497" t="s">
        <v>1527</v>
      </c>
      <c r="J497" t="s">
        <v>1528</v>
      </c>
      <c r="K497" t="s">
        <v>1529</v>
      </c>
      <c r="L497">
        <v>1339</v>
      </c>
      <c r="N497">
        <v>1007</v>
      </c>
      <c r="O497" t="s">
        <v>203</v>
      </c>
      <c r="P497" t="s">
        <v>203</v>
      </c>
      <c r="Q497">
        <v>1</v>
      </c>
      <c r="X497">
        <v>2.74</v>
      </c>
      <c r="Y497">
        <v>6.22</v>
      </c>
      <c r="Z497">
        <v>0</v>
      </c>
      <c r="AA497">
        <v>0</v>
      </c>
      <c r="AB497">
        <v>0</v>
      </c>
      <c r="AC497">
        <v>0</v>
      </c>
      <c r="AD497">
        <v>1</v>
      </c>
      <c r="AE497">
        <v>0</v>
      </c>
      <c r="AF497" t="s">
        <v>30</v>
      </c>
      <c r="AG497">
        <v>0</v>
      </c>
      <c r="AH497">
        <v>2</v>
      </c>
      <c r="AI497">
        <v>16632260</v>
      </c>
      <c r="AJ497">
        <v>513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ROW(Source!A248)</f>
        <v>248</v>
      </c>
      <c r="B498">
        <v>16632267</v>
      </c>
      <c r="C498">
        <v>16632254</v>
      </c>
      <c r="D498">
        <v>15164566</v>
      </c>
      <c r="E498">
        <v>17</v>
      </c>
      <c r="F498">
        <v>1</v>
      </c>
      <c r="G498">
        <v>1</v>
      </c>
      <c r="H498">
        <v>3</v>
      </c>
      <c r="I498" t="s">
        <v>1670</v>
      </c>
      <c r="J498" t="s">
        <v>6</v>
      </c>
      <c r="K498" t="s">
        <v>1714</v>
      </c>
      <c r="L498">
        <v>1348</v>
      </c>
      <c r="N498">
        <v>1009</v>
      </c>
      <c r="O498" t="s">
        <v>98</v>
      </c>
      <c r="P498" t="s">
        <v>98</v>
      </c>
      <c r="Q498">
        <v>1000</v>
      </c>
      <c r="X498">
        <v>0.22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 t="s">
        <v>30</v>
      </c>
      <c r="AG498">
        <v>0</v>
      </c>
      <c r="AH498">
        <v>3</v>
      </c>
      <c r="AI498">
        <v>-1</v>
      </c>
      <c r="AJ498" t="s">
        <v>6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ROW(Source!A249)</f>
        <v>249</v>
      </c>
      <c r="B499">
        <v>16632280</v>
      </c>
      <c r="C499">
        <v>16632268</v>
      </c>
      <c r="D499">
        <v>15430397</v>
      </c>
      <c r="E499">
        <v>1</v>
      </c>
      <c r="F499">
        <v>1</v>
      </c>
      <c r="G499">
        <v>1</v>
      </c>
      <c r="H499">
        <v>1</v>
      </c>
      <c r="I499" t="s">
        <v>1356</v>
      </c>
      <c r="J499" t="s">
        <v>6</v>
      </c>
      <c r="K499" t="s">
        <v>1357</v>
      </c>
      <c r="L499">
        <v>1191</v>
      </c>
      <c r="N499">
        <v>1013</v>
      </c>
      <c r="O499" t="s">
        <v>1148</v>
      </c>
      <c r="P499" t="s">
        <v>1148</v>
      </c>
      <c r="Q499">
        <v>1</v>
      </c>
      <c r="X499">
        <v>15.28</v>
      </c>
      <c r="Y499">
        <v>0</v>
      </c>
      <c r="Z499">
        <v>0</v>
      </c>
      <c r="AA499">
        <v>0</v>
      </c>
      <c r="AB499">
        <v>9.4</v>
      </c>
      <c r="AC499">
        <v>0</v>
      </c>
      <c r="AD499">
        <v>1</v>
      </c>
      <c r="AE499">
        <v>1</v>
      </c>
      <c r="AF499" t="s">
        <v>6</v>
      </c>
      <c r="AG499">
        <v>15.28</v>
      </c>
      <c r="AH499">
        <v>2</v>
      </c>
      <c r="AI499">
        <v>16632269</v>
      </c>
      <c r="AJ499">
        <v>514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ROW(Source!A249)</f>
        <v>249</v>
      </c>
      <c r="B500">
        <v>16632281</v>
      </c>
      <c r="C500">
        <v>16632268</v>
      </c>
      <c r="D500">
        <v>15430395</v>
      </c>
      <c r="E500">
        <v>1</v>
      </c>
      <c r="F500">
        <v>1</v>
      </c>
      <c r="G500">
        <v>1</v>
      </c>
      <c r="H500">
        <v>1</v>
      </c>
      <c r="I500" t="s">
        <v>1149</v>
      </c>
      <c r="J500" t="s">
        <v>6</v>
      </c>
      <c r="K500" t="s">
        <v>1150</v>
      </c>
      <c r="L500">
        <v>1191</v>
      </c>
      <c r="N500">
        <v>1013</v>
      </c>
      <c r="O500" t="s">
        <v>1148</v>
      </c>
      <c r="P500" t="s">
        <v>1148</v>
      </c>
      <c r="Q500">
        <v>1</v>
      </c>
      <c r="X500">
        <v>0.22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1</v>
      </c>
      <c r="AE500">
        <v>2</v>
      </c>
      <c r="AF500" t="s">
        <v>6</v>
      </c>
      <c r="AG500">
        <v>0.22</v>
      </c>
      <c r="AH500">
        <v>2</v>
      </c>
      <c r="AI500">
        <v>16632270</v>
      </c>
      <c r="AJ500">
        <v>515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ROW(Source!A249)</f>
        <v>249</v>
      </c>
      <c r="B501">
        <v>16632282</v>
      </c>
      <c r="C501">
        <v>16632268</v>
      </c>
      <c r="D501">
        <v>15247680</v>
      </c>
      <c r="E501">
        <v>1</v>
      </c>
      <c r="F501">
        <v>1</v>
      </c>
      <c r="G501">
        <v>1</v>
      </c>
      <c r="H501">
        <v>2</v>
      </c>
      <c r="I501" t="s">
        <v>1419</v>
      </c>
      <c r="J501" t="s">
        <v>1420</v>
      </c>
      <c r="K501" t="s">
        <v>1421</v>
      </c>
      <c r="L501">
        <v>1368</v>
      </c>
      <c r="N501">
        <v>1011</v>
      </c>
      <c r="O501" t="s">
        <v>1154</v>
      </c>
      <c r="P501" t="s">
        <v>1154</v>
      </c>
      <c r="Q501">
        <v>1</v>
      </c>
      <c r="X501">
        <v>0.11</v>
      </c>
      <c r="Y501">
        <v>0</v>
      </c>
      <c r="Z501">
        <v>111.99</v>
      </c>
      <c r="AA501">
        <v>13.5</v>
      </c>
      <c r="AB501">
        <v>0</v>
      </c>
      <c r="AC501">
        <v>0</v>
      </c>
      <c r="AD501">
        <v>1</v>
      </c>
      <c r="AE501">
        <v>0</v>
      </c>
      <c r="AF501" t="s">
        <v>6</v>
      </c>
      <c r="AG501">
        <v>0.11</v>
      </c>
      <c r="AH501">
        <v>2</v>
      </c>
      <c r="AI501">
        <v>16632271</v>
      </c>
      <c r="AJ501">
        <v>516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ROW(Source!A249)</f>
        <v>249</v>
      </c>
      <c r="B502">
        <v>16632283</v>
      </c>
      <c r="C502">
        <v>16632268</v>
      </c>
      <c r="D502">
        <v>15249073</v>
      </c>
      <c r="E502">
        <v>1</v>
      </c>
      <c r="F502">
        <v>1</v>
      </c>
      <c r="G502">
        <v>1</v>
      </c>
      <c r="H502">
        <v>2</v>
      </c>
      <c r="I502" t="s">
        <v>1157</v>
      </c>
      <c r="J502" t="s">
        <v>1158</v>
      </c>
      <c r="K502" t="s">
        <v>1159</v>
      </c>
      <c r="L502">
        <v>1368</v>
      </c>
      <c r="N502">
        <v>1011</v>
      </c>
      <c r="O502" t="s">
        <v>1154</v>
      </c>
      <c r="P502" t="s">
        <v>1154</v>
      </c>
      <c r="Q502">
        <v>1</v>
      </c>
      <c r="X502">
        <v>0.11</v>
      </c>
      <c r="Y502">
        <v>0</v>
      </c>
      <c r="Z502">
        <v>65.709999999999994</v>
      </c>
      <c r="AA502">
        <v>11.6</v>
      </c>
      <c r="AB502">
        <v>0</v>
      </c>
      <c r="AC502">
        <v>0</v>
      </c>
      <c r="AD502">
        <v>1</v>
      </c>
      <c r="AE502">
        <v>0</v>
      </c>
      <c r="AF502" t="s">
        <v>6</v>
      </c>
      <c r="AG502">
        <v>0.11</v>
      </c>
      <c r="AH502">
        <v>2</v>
      </c>
      <c r="AI502">
        <v>16632272</v>
      </c>
      <c r="AJ502">
        <v>517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ROW(Source!A249)</f>
        <v>249</v>
      </c>
      <c r="B503">
        <v>16632284</v>
      </c>
      <c r="C503">
        <v>16632268</v>
      </c>
      <c r="D503">
        <v>15172838</v>
      </c>
      <c r="E503">
        <v>1</v>
      </c>
      <c r="F503">
        <v>1</v>
      </c>
      <c r="G503">
        <v>1</v>
      </c>
      <c r="H503">
        <v>3</v>
      </c>
      <c r="I503" t="s">
        <v>1487</v>
      </c>
      <c r="J503" t="s">
        <v>1488</v>
      </c>
      <c r="K503" t="s">
        <v>1489</v>
      </c>
      <c r="L503">
        <v>1339</v>
      </c>
      <c r="N503">
        <v>1007</v>
      </c>
      <c r="O503" t="s">
        <v>203</v>
      </c>
      <c r="P503" t="s">
        <v>203</v>
      </c>
      <c r="Q503">
        <v>1</v>
      </c>
      <c r="X503">
        <v>2.1000000000000001E-2</v>
      </c>
      <c r="Y503">
        <v>600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6</v>
      </c>
      <c r="AG503">
        <v>2.1000000000000001E-2</v>
      </c>
      <c r="AH503">
        <v>2</v>
      </c>
      <c r="AI503">
        <v>16632273</v>
      </c>
      <c r="AJ503">
        <v>518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ROW(Source!A249)</f>
        <v>249</v>
      </c>
      <c r="B504">
        <v>16632285</v>
      </c>
      <c r="C504">
        <v>16632268</v>
      </c>
      <c r="D504">
        <v>15202442</v>
      </c>
      <c r="E504">
        <v>1</v>
      </c>
      <c r="F504">
        <v>1</v>
      </c>
      <c r="G504">
        <v>1</v>
      </c>
      <c r="H504">
        <v>3</v>
      </c>
      <c r="I504" t="s">
        <v>1490</v>
      </c>
      <c r="J504" t="s">
        <v>1491</v>
      </c>
      <c r="K504" t="s">
        <v>1492</v>
      </c>
      <c r="L504">
        <v>1346</v>
      </c>
      <c r="N504">
        <v>1009</v>
      </c>
      <c r="O504" t="s">
        <v>102</v>
      </c>
      <c r="P504" t="s">
        <v>102</v>
      </c>
      <c r="Q504">
        <v>1</v>
      </c>
      <c r="X504">
        <v>0.4</v>
      </c>
      <c r="Y504">
        <v>25.8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6</v>
      </c>
      <c r="AG504">
        <v>0.4</v>
      </c>
      <c r="AH504">
        <v>2</v>
      </c>
      <c r="AI504">
        <v>16632274</v>
      </c>
      <c r="AJ504">
        <v>519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ROW(Source!A249)</f>
        <v>249</v>
      </c>
      <c r="B505">
        <v>16632286</v>
      </c>
      <c r="C505">
        <v>16632268</v>
      </c>
      <c r="D505">
        <v>15217585</v>
      </c>
      <c r="E505">
        <v>1</v>
      </c>
      <c r="F505">
        <v>1</v>
      </c>
      <c r="G505">
        <v>1</v>
      </c>
      <c r="H505">
        <v>3</v>
      </c>
      <c r="I505" t="s">
        <v>1493</v>
      </c>
      <c r="J505" t="s">
        <v>1494</v>
      </c>
      <c r="K505" t="s">
        <v>1495</v>
      </c>
      <c r="L505">
        <v>1356</v>
      </c>
      <c r="N505">
        <v>1010</v>
      </c>
      <c r="O505" t="s">
        <v>278</v>
      </c>
      <c r="P505" t="s">
        <v>278</v>
      </c>
      <c r="Q505">
        <v>1000</v>
      </c>
      <c r="X505">
        <v>3.2000000000000001E-2</v>
      </c>
      <c r="Y505">
        <v>270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6</v>
      </c>
      <c r="AG505">
        <v>3.2000000000000001E-2</v>
      </c>
      <c r="AH505">
        <v>2</v>
      </c>
      <c r="AI505">
        <v>16632275</v>
      </c>
      <c r="AJ505">
        <v>520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ROW(Source!A249)</f>
        <v>249</v>
      </c>
      <c r="B506">
        <v>16632287</v>
      </c>
      <c r="C506">
        <v>16632268</v>
      </c>
      <c r="D506">
        <v>15217593</v>
      </c>
      <c r="E506">
        <v>1</v>
      </c>
      <c r="F506">
        <v>1</v>
      </c>
      <c r="G506">
        <v>1</v>
      </c>
      <c r="H506">
        <v>3</v>
      </c>
      <c r="I506" t="s">
        <v>1496</v>
      </c>
      <c r="J506" t="s">
        <v>1497</v>
      </c>
      <c r="K506" t="s">
        <v>1498</v>
      </c>
      <c r="L506">
        <v>1358</v>
      </c>
      <c r="N506">
        <v>1010</v>
      </c>
      <c r="O506" t="s">
        <v>616</v>
      </c>
      <c r="P506" t="s">
        <v>616</v>
      </c>
      <c r="Q506">
        <v>10</v>
      </c>
      <c r="X506">
        <v>1</v>
      </c>
      <c r="Y506">
        <v>19.899999999999999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6</v>
      </c>
      <c r="AG506">
        <v>1</v>
      </c>
      <c r="AH506">
        <v>2</v>
      </c>
      <c r="AI506">
        <v>16632276</v>
      </c>
      <c r="AJ506">
        <v>521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ROW(Source!A249)</f>
        <v>249</v>
      </c>
      <c r="B507">
        <v>16632288</v>
      </c>
      <c r="C507">
        <v>16632268</v>
      </c>
      <c r="D507">
        <v>15218939</v>
      </c>
      <c r="E507">
        <v>1</v>
      </c>
      <c r="F507">
        <v>1</v>
      </c>
      <c r="G507">
        <v>1</v>
      </c>
      <c r="H507">
        <v>3</v>
      </c>
      <c r="I507" t="s">
        <v>1499</v>
      </c>
      <c r="J507" t="s">
        <v>1500</v>
      </c>
      <c r="K507" t="s">
        <v>1501</v>
      </c>
      <c r="L507">
        <v>1354</v>
      </c>
      <c r="N507">
        <v>1010</v>
      </c>
      <c r="O507" t="s">
        <v>132</v>
      </c>
      <c r="P507" t="s">
        <v>132</v>
      </c>
      <c r="Q507">
        <v>1</v>
      </c>
      <c r="X507">
        <v>0.5</v>
      </c>
      <c r="Y507">
        <v>66.819999999999993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0</v>
      </c>
      <c r="AF507" t="s">
        <v>6</v>
      </c>
      <c r="AG507">
        <v>0.5</v>
      </c>
      <c r="AH507">
        <v>2</v>
      </c>
      <c r="AI507">
        <v>16632277</v>
      </c>
      <c r="AJ507">
        <v>522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ROW(Source!A249)</f>
        <v>249</v>
      </c>
      <c r="B508">
        <v>16632289</v>
      </c>
      <c r="C508">
        <v>16632268</v>
      </c>
      <c r="D508">
        <v>15164559</v>
      </c>
      <c r="E508">
        <v>17</v>
      </c>
      <c r="F508">
        <v>1</v>
      </c>
      <c r="G508">
        <v>1</v>
      </c>
      <c r="H508">
        <v>3</v>
      </c>
      <c r="I508" t="s">
        <v>1431</v>
      </c>
      <c r="J508" t="s">
        <v>6</v>
      </c>
      <c r="K508" t="s">
        <v>1432</v>
      </c>
      <c r="L508">
        <v>1374</v>
      </c>
      <c r="N508">
        <v>1013</v>
      </c>
      <c r="O508" t="s">
        <v>1433</v>
      </c>
      <c r="P508" t="s">
        <v>1433</v>
      </c>
      <c r="Q508">
        <v>1</v>
      </c>
      <c r="X508">
        <v>2.87</v>
      </c>
      <c r="Y508">
        <v>1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0</v>
      </c>
      <c r="AF508" t="s">
        <v>6</v>
      </c>
      <c r="AG508">
        <v>2.87</v>
      </c>
      <c r="AH508">
        <v>2</v>
      </c>
      <c r="AI508">
        <v>16632278</v>
      </c>
      <c r="AJ508">
        <v>524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ROW(Source!A251)</f>
        <v>251</v>
      </c>
      <c r="B509">
        <v>16632295</v>
      </c>
      <c r="C509">
        <v>16632291</v>
      </c>
      <c r="D509">
        <v>15431465</v>
      </c>
      <c r="E509">
        <v>1</v>
      </c>
      <c r="F509">
        <v>1</v>
      </c>
      <c r="G509">
        <v>1</v>
      </c>
      <c r="H509">
        <v>1</v>
      </c>
      <c r="I509" t="s">
        <v>1179</v>
      </c>
      <c r="J509" t="s">
        <v>6</v>
      </c>
      <c r="K509" t="s">
        <v>1180</v>
      </c>
      <c r="L509">
        <v>1191</v>
      </c>
      <c r="N509">
        <v>1013</v>
      </c>
      <c r="O509" t="s">
        <v>1148</v>
      </c>
      <c r="P509" t="s">
        <v>1148</v>
      </c>
      <c r="Q509">
        <v>1</v>
      </c>
      <c r="X509">
        <v>18.3</v>
      </c>
      <c r="Y509">
        <v>0</v>
      </c>
      <c r="Z509">
        <v>0</v>
      </c>
      <c r="AA509">
        <v>0</v>
      </c>
      <c r="AB509">
        <v>7.87</v>
      </c>
      <c r="AC509">
        <v>0</v>
      </c>
      <c r="AD509">
        <v>1</v>
      </c>
      <c r="AE509">
        <v>1</v>
      </c>
      <c r="AF509" t="s">
        <v>6</v>
      </c>
      <c r="AG509">
        <v>18.3</v>
      </c>
      <c r="AH509">
        <v>2</v>
      </c>
      <c r="AI509">
        <v>16632292</v>
      </c>
      <c r="AJ509">
        <v>525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ROW(Source!A251)</f>
        <v>251</v>
      </c>
      <c r="B510">
        <v>16632296</v>
      </c>
      <c r="C510">
        <v>16632291</v>
      </c>
      <c r="D510">
        <v>15430395</v>
      </c>
      <c r="E510">
        <v>1</v>
      </c>
      <c r="F510">
        <v>1</v>
      </c>
      <c r="G510">
        <v>1</v>
      </c>
      <c r="H510">
        <v>1</v>
      </c>
      <c r="I510" t="s">
        <v>1149</v>
      </c>
      <c r="J510" t="s">
        <v>6</v>
      </c>
      <c r="K510" t="s">
        <v>1150</v>
      </c>
      <c r="L510">
        <v>1191</v>
      </c>
      <c r="N510">
        <v>1013</v>
      </c>
      <c r="O510" t="s">
        <v>1148</v>
      </c>
      <c r="P510" t="s">
        <v>1148</v>
      </c>
      <c r="Q510">
        <v>1</v>
      </c>
      <c r="X510">
        <v>0.2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1</v>
      </c>
      <c r="AE510">
        <v>2</v>
      </c>
      <c r="AF510" t="s">
        <v>6</v>
      </c>
      <c r="AG510">
        <v>0.2</v>
      </c>
      <c r="AH510">
        <v>2</v>
      </c>
      <c r="AI510">
        <v>16632293</v>
      </c>
      <c r="AJ510">
        <v>526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ROW(Source!A251)</f>
        <v>251</v>
      </c>
      <c r="B511">
        <v>16632297</v>
      </c>
      <c r="C511">
        <v>16632291</v>
      </c>
      <c r="D511">
        <v>15247974</v>
      </c>
      <c r="E511">
        <v>1</v>
      </c>
      <c r="F511">
        <v>1</v>
      </c>
      <c r="G511">
        <v>1</v>
      </c>
      <c r="H511">
        <v>2</v>
      </c>
      <c r="I511" t="s">
        <v>1151</v>
      </c>
      <c r="J511" t="s">
        <v>1152</v>
      </c>
      <c r="K511" t="s">
        <v>1153</v>
      </c>
      <c r="L511">
        <v>1368</v>
      </c>
      <c r="N511">
        <v>1011</v>
      </c>
      <c r="O511" t="s">
        <v>1154</v>
      </c>
      <c r="P511" t="s">
        <v>1154</v>
      </c>
      <c r="Q511">
        <v>1</v>
      </c>
      <c r="X511">
        <v>0.2</v>
      </c>
      <c r="Y511">
        <v>0</v>
      </c>
      <c r="Z511">
        <v>31.26</v>
      </c>
      <c r="AA511">
        <v>13.5</v>
      </c>
      <c r="AB511">
        <v>0</v>
      </c>
      <c r="AC511">
        <v>0</v>
      </c>
      <c r="AD511">
        <v>1</v>
      </c>
      <c r="AE511">
        <v>0</v>
      </c>
      <c r="AF511" t="s">
        <v>6</v>
      </c>
      <c r="AG511">
        <v>0.2</v>
      </c>
      <c r="AH511">
        <v>2</v>
      </c>
      <c r="AI511">
        <v>16632294</v>
      </c>
      <c r="AJ511">
        <v>527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ROW(Source!A252)</f>
        <v>252</v>
      </c>
      <c r="B512">
        <v>16632316</v>
      </c>
      <c r="C512">
        <v>16632298</v>
      </c>
      <c r="D512">
        <v>15436556</v>
      </c>
      <c r="E512">
        <v>1</v>
      </c>
      <c r="F512">
        <v>1</v>
      </c>
      <c r="G512">
        <v>1</v>
      </c>
      <c r="H512">
        <v>1</v>
      </c>
      <c r="I512" t="s">
        <v>1354</v>
      </c>
      <c r="J512" t="s">
        <v>6</v>
      </c>
      <c r="K512" t="s">
        <v>1355</v>
      </c>
      <c r="L512">
        <v>1191</v>
      </c>
      <c r="N512">
        <v>1013</v>
      </c>
      <c r="O512" t="s">
        <v>1148</v>
      </c>
      <c r="P512" t="s">
        <v>1148</v>
      </c>
      <c r="Q512">
        <v>1</v>
      </c>
      <c r="X512">
        <v>32.97</v>
      </c>
      <c r="Y512">
        <v>0</v>
      </c>
      <c r="Z512">
        <v>0</v>
      </c>
      <c r="AA512">
        <v>0</v>
      </c>
      <c r="AB512">
        <v>9.6199999999999992</v>
      </c>
      <c r="AC512">
        <v>0</v>
      </c>
      <c r="AD512">
        <v>1</v>
      </c>
      <c r="AE512">
        <v>1</v>
      </c>
      <c r="AF512" t="s">
        <v>82</v>
      </c>
      <c r="AG512">
        <v>37.915499999999994</v>
      </c>
      <c r="AH512">
        <v>2</v>
      </c>
      <c r="AI512">
        <v>16632299</v>
      </c>
      <c r="AJ512">
        <v>528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ROW(Source!A252)</f>
        <v>252</v>
      </c>
      <c r="B513">
        <v>16632317</v>
      </c>
      <c r="C513">
        <v>16632298</v>
      </c>
      <c r="D513">
        <v>15430395</v>
      </c>
      <c r="E513">
        <v>1</v>
      </c>
      <c r="F513">
        <v>1</v>
      </c>
      <c r="G513">
        <v>1</v>
      </c>
      <c r="H513">
        <v>1</v>
      </c>
      <c r="I513" t="s">
        <v>1149</v>
      </c>
      <c r="J513" t="s">
        <v>6</v>
      </c>
      <c r="K513" t="s">
        <v>1150</v>
      </c>
      <c r="L513">
        <v>1191</v>
      </c>
      <c r="N513">
        <v>1013</v>
      </c>
      <c r="O513" t="s">
        <v>1148</v>
      </c>
      <c r="P513" t="s">
        <v>1148</v>
      </c>
      <c r="Q513">
        <v>1</v>
      </c>
      <c r="X513">
        <v>0.5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2</v>
      </c>
      <c r="AF513" t="s">
        <v>81</v>
      </c>
      <c r="AG513">
        <v>0.625</v>
      </c>
      <c r="AH513">
        <v>2</v>
      </c>
      <c r="AI513">
        <v>16632300</v>
      </c>
      <c r="AJ513">
        <v>529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ROW(Source!A252)</f>
        <v>252</v>
      </c>
      <c r="B514">
        <v>16632318</v>
      </c>
      <c r="C514">
        <v>16632298</v>
      </c>
      <c r="D514">
        <v>15247578</v>
      </c>
      <c r="E514">
        <v>1</v>
      </c>
      <c r="F514">
        <v>1</v>
      </c>
      <c r="G514">
        <v>1</v>
      </c>
      <c r="H514">
        <v>2</v>
      </c>
      <c r="I514" t="s">
        <v>1246</v>
      </c>
      <c r="J514" t="s">
        <v>1247</v>
      </c>
      <c r="K514" t="s">
        <v>1248</v>
      </c>
      <c r="L514">
        <v>1368</v>
      </c>
      <c r="N514">
        <v>1011</v>
      </c>
      <c r="O514" t="s">
        <v>1154</v>
      </c>
      <c r="P514" t="s">
        <v>1154</v>
      </c>
      <c r="Q514">
        <v>1</v>
      </c>
      <c r="X514">
        <v>0.08</v>
      </c>
      <c r="Y514">
        <v>0</v>
      </c>
      <c r="Z514">
        <v>86.4</v>
      </c>
      <c r="AA514">
        <v>13.5</v>
      </c>
      <c r="AB514">
        <v>0</v>
      </c>
      <c r="AC514">
        <v>0</v>
      </c>
      <c r="AD514">
        <v>1</v>
      </c>
      <c r="AE514">
        <v>0</v>
      </c>
      <c r="AF514" t="s">
        <v>81</v>
      </c>
      <c r="AG514">
        <v>0.1</v>
      </c>
      <c r="AH514">
        <v>2</v>
      </c>
      <c r="AI514">
        <v>16632301</v>
      </c>
      <c r="AJ514">
        <v>530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ROW(Source!A252)</f>
        <v>252</v>
      </c>
      <c r="B515">
        <v>16632319</v>
      </c>
      <c r="C515">
        <v>16632298</v>
      </c>
      <c r="D515">
        <v>15247680</v>
      </c>
      <c r="E515">
        <v>1</v>
      </c>
      <c r="F515">
        <v>1</v>
      </c>
      <c r="G515">
        <v>1</v>
      </c>
      <c r="H515">
        <v>2</v>
      </c>
      <c r="I515" t="s">
        <v>1419</v>
      </c>
      <c r="J515" t="s">
        <v>1420</v>
      </c>
      <c r="K515" t="s">
        <v>1421</v>
      </c>
      <c r="L515">
        <v>1368</v>
      </c>
      <c r="N515">
        <v>1011</v>
      </c>
      <c r="O515" t="s">
        <v>1154</v>
      </c>
      <c r="P515" t="s">
        <v>1154</v>
      </c>
      <c r="Q515">
        <v>1</v>
      </c>
      <c r="X515">
        <v>7.0000000000000007E-2</v>
      </c>
      <c r="Y515">
        <v>0</v>
      </c>
      <c r="Z515">
        <v>111.99</v>
      </c>
      <c r="AA515">
        <v>13.5</v>
      </c>
      <c r="AB515">
        <v>0</v>
      </c>
      <c r="AC515">
        <v>0</v>
      </c>
      <c r="AD515">
        <v>1</v>
      </c>
      <c r="AE515">
        <v>0</v>
      </c>
      <c r="AF515" t="s">
        <v>81</v>
      </c>
      <c r="AG515">
        <v>8.7500000000000008E-2</v>
      </c>
      <c r="AH515">
        <v>2</v>
      </c>
      <c r="AI515">
        <v>16632302</v>
      </c>
      <c r="AJ515">
        <v>531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ROW(Source!A252)</f>
        <v>252</v>
      </c>
      <c r="B516">
        <v>16632320</v>
      </c>
      <c r="C516">
        <v>16632298</v>
      </c>
      <c r="D516">
        <v>15249073</v>
      </c>
      <c r="E516">
        <v>1</v>
      </c>
      <c r="F516">
        <v>1</v>
      </c>
      <c r="G516">
        <v>1</v>
      </c>
      <c r="H516">
        <v>2</v>
      </c>
      <c r="I516" t="s">
        <v>1157</v>
      </c>
      <c r="J516" t="s">
        <v>1158</v>
      </c>
      <c r="K516" t="s">
        <v>1159</v>
      </c>
      <c r="L516">
        <v>1368</v>
      </c>
      <c r="N516">
        <v>1011</v>
      </c>
      <c r="O516" t="s">
        <v>1154</v>
      </c>
      <c r="P516" t="s">
        <v>1154</v>
      </c>
      <c r="Q516">
        <v>1</v>
      </c>
      <c r="X516">
        <v>0.35</v>
      </c>
      <c r="Y516">
        <v>0</v>
      </c>
      <c r="Z516">
        <v>65.709999999999994</v>
      </c>
      <c r="AA516">
        <v>11.6</v>
      </c>
      <c r="AB516">
        <v>0</v>
      </c>
      <c r="AC516">
        <v>0</v>
      </c>
      <c r="AD516">
        <v>1</v>
      </c>
      <c r="AE516">
        <v>0</v>
      </c>
      <c r="AF516" t="s">
        <v>81</v>
      </c>
      <c r="AG516">
        <v>0.4375</v>
      </c>
      <c r="AH516">
        <v>2</v>
      </c>
      <c r="AI516">
        <v>16632303</v>
      </c>
      <c r="AJ516">
        <v>532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ROW(Source!A252)</f>
        <v>252</v>
      </c>
      <c r="B517">
        <v>16632321</v>
      </c>
      <c r="C517">
        <v>16632298</v>
      </c>
      <c r="D517">
        <v>15249308</v>
      </c>
      <c r="E517">
        <v>1</v>
      </c>
      <c r="F517">
        <v>1</v>
      </c>
      <c r="G517">
        <v>1</v>
      </c>
      <c r="H517">
        <v>2</v>
      </c>
      <c r="I517" t="s">
        <v>1521</v>
      </c>
      <c r="J517" t="s">
        <v>1522</v>
      </c>
      <c r="K517" t="s">
        <v>1523</v>
      </c>
      <c r="L517">
        <v>1368</v>
      </c>
      <c r="N517">
        <v>1011</v>
      </c>
      <c r="O517" t="s">
        <v>1154</v>
      </c>
      <c r="P517" t="s">
        <v>1154</v>
      </c>
      <c r="Q517">
        <v>1</v>
      </c>
      <c r="X517">
        <v>1.1499999999999999</v>
      </c>
      <c r="Y517">
        <v>0</v>
      </c>
      <c r="Z517">
        <v>1.2</v>
      </c>
      <c r="AA517">
        <v>0</v>
      </c>
      <c r="AB517">
        <v>0</v>
      </c>
      <c r="AC517">
        <v>0</v>
      </c>
      <c r="AD517">
        <v>1</v>
      </c>
      <c r="AE517">
        <v>0</v>
      </c>
      <c r="AF517" t="s">
        <v>81</v>
      </c>
      <c r="AG517">
        <v>1.4375</v>
      </c>
      <c r="AH517">
        <v>2</v>
      </c>
      <c r="AI517">
        <v>16632304</v>
      </c>
      <c r="AJ517">
        <v>533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ROW(Source!A252)</f>
        <v>252</v>
      </c>
      <c r="B518">
        <v>16632322</v>
      </c>
      <c r="C518">
        <v>16632298</v>
      </c>
      <c r="D518">
        <v>15165635</v>
      </c>
      <c r="E518">
        <v>1</v>
      </c>
      <c r="F518">
        <v>1</v>
      </c>
      <c r="G518">
        <v>1</v>
      </c>
      <c r="H518">
        <v>3</v>
      </c>
      <c r="I518" t="s">
        <v>1530</v>
      </c>
      <c r="J518" t="s">
        <v>1531</v>
      </c>
      <c r="K518" t="s">
        <v>1532</v>
      </c>
      <c r="L518">
        <v>1348</v>
      </c>
      <c r="N518">
        <v>1009</v>
      </c>
      <c r="O518" t="s">
        <v>98</v>
      </c>
      <c r="P518" t="s">
        <v>98</v>
      </c>
      <c r="Q518">
        <v>1000</v>
      </c>
      <c r="X518">
        <v>1.2999999999999999E-4</v>
      </c>
      <c r="Y518">
        <v>32830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6</v>
      </c>
      <c r="AG518">
        <v>1.2999999999999999E-4</v>
      </c>
      <c r="AH518">
        <v>2</v>
      </c>
      <c r="AI518">
        <v>16632305</v>
      </c>
      <c r="AJ518">
        <v>534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ROW(Source!A252)</f>
        <v>252</v>
      </c>
      <c r="B519">
        <v>16632323</v>
      </c>
      <c r="C519">
        <v>16632298</v>
      </c>
      <c r="D519">
        <v>15165653</v>
      </c>
      <c r="E519">
        <v>1</v>
      </c>
      <c r="F519">
        <v>1</v>
      </c>
      <c r="G519">
        <v>1</v>
      </c>
      <c r="H519">
        <v>3</v>
      </c>
      <c r="I519" t="s">
        <v>1527</v>
      </c>
      <c r="J519" t="s">
        <v>1528</v>
      </c>
      <c r="K519" t="s">
        <v>1529</v>
      </c>
      <c r="L519">
        <v>1339</v>
      </c>
      <c r="N519">
        <v>1007</v>
      </c>
      <c r="O519" t="s">
        <v>203</v>
      </c>
      <c r="P519" t="s">
        <v>203</v>
      </c>
      <c r="Q519">
        <v>1</v>
      </c>
      <c r="X519">
        <v>0.28100000000000003</v>
      </c>
      <c r="Y519">
        <v>6.22</v>
      </c>
      <c r="Z519">
        <v>0</v>
      </c>
      <c r="AA519">
        <v>0</v>
      </c>
      <c r="AB519">
        <v>0</v>
      </c>
      <c r="AC519">
        <v>0</v>
      </c>
      <c r="AD519">
        <v>1</v>
      </c>
      <c r="AE519">
        <v>0</v>
      </c>
      <c r="AF519" t="s">
        <v>6</v>
      </c>
      <c r="AG519">
        <v>0.28100000000000003</v>
      </c>
      <c r="AH519">
        <v>2</v>
      </c>
      <c r="AI519">
        <v>16632306</v>
      </c>
      <c r="AJ519">
        <v>535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ROW(Source!A252)</f>
        <v>252</v>
      </c>
      <c r="B520">
        <v>16632324</v>
      </c>
      <c r="C520">
        <v>16632298</v>
      </c>
      <c r="D520">
        <v>15167286</v>
      </c>
      <c r="E520">
        <v>1</v>
      </c>
      <c r="F520">
        <v>1</v>
      </c>
      <c r="G520">
        <v>1</v>
      </c>
      <c r="H520">
        <v>3</v>
      </c>
      <c r="I520" t="s">
        <v>1265</v>
      </c>
      <c r="J520" t="s">
        <v>1266</v>
      </c>
      <c r="K520" t="s">
        <v>1267</v>
      </c>
      <c r="L520">
        <v>1339</v>
      </c>
      <c r="N520">
        <v>1007</v>
      </c>
      <c r="O520" t="s">
        <v>203</v>
      </c>
      <c r="P520" t="s">
        <v>203</v>
      </c>
      <c r="Q520">
        <v>1</v>
      </c>
      <c r="X520">
        <v>0.69</v>
      </c>
      <c r="Y520">
        <v>2.44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6</v>
      </c>
      <c r="AG520">
        <v>0.69</v>
      </c>
      <c r="AH520">
        <v>2</v>
      </c>
      <c r="AI520">
        <v>16632307</v>
      </c>
      <c r="AJ520">
        <v>536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ROW(Source!A252)</f>
        <v>252</v>
      </c>
      <c r="B521">
        <v>16632325</v>
      </c>
      <c r="C521">
        <v>16632298</v>
      </c>
      <c r="D521">
        <v>15167963</v>
      </c>
      <c r="E521">
        <v>1</v>
      </c>
      <c r="F521">
        <v>1</v>
      </c>
      <c r="G521">
        <v>1</v>
      </c>
      <c r="H521">
        <v>3</v>
      </c>
      <c r="I521" t="s">
        <v>1533</v>
      </c>
      <c r="J521" t="s">
        <v>1534</v>
      </c>
      <c r="K521" t="s">
        <v>1535</v>
      </c>
      <c r="L521">
        <v>1346</v>
      </c>
      <c r="N521">
        <v>1009</v>
      </c>
      <c r="O521" t="s">
        <v>102</v>
      </c>
      <c r="P521" t="s">
        <v>102</v>
      </c>
      <c r="Q521">
        <v>1</v>
      </c>
      <c r="X521">
        <v>0.06</v>
      </c>
      <c r="Y521">
        <v>37.29</v>
      </c>
      <c r="Z521">
        <v>0</v>
      </c>
      <c r="AA521">
        <v>0</v>
      </c>
      <c r="AB521">
        <v>0</v>
      </c>
      <c r="AC521">
        <v>0</v>
      </c>
      <c r="AD521">
        <v>1</v>
      </c>
      <c r="AE521">
        <v>0</v>
      </c>
      <c r="AF521" t="s">
        <v>6</v>
      </c>
      <c r="AG521">
        <v>0.06</v>
      </c>
      <c r="AH521">
        <v>2</v>
      </c>
      <c r="AI521">
        <v>16632308</v>
      </c>
      <c r="AJ521">
        <v>537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ROW(Source!A252)</f>
        <v>252</v>
      </c>
      <c r="B522">
        <v>16632326</v>
      </c>
      <c r="C522">
        <v>16632298</v>
      </c>
      <c r="D522">
        <v>15168695</v>
      </c>
      <c r="E522">
        <v>1</v>
      </c>
      <c r="F522">
        <v>1</v>
      </c>
      <c r="G522">
        <v>1</v>
      </c>
      <c r="H522">
        <v>3</v>
      </c>
      <c r="I522" t="s">
        <v>1536</v>
      </c>
      <c r="J522" t="s">
        <v>1537</v>
      </c>
      <c r="K522" t="s">
        <v>1538</v>
      </c>
      <c r="L522">
        <v>1348</v>
      </c>
      <c r="N522">
        <v>1009</v>
      </c>
      <c r="O522" t="s">
        <v>98</v>
      </c>
      <c r="P522" t="s">
        <v>98</v>
      </c>
      <c r="Q522">
        <v>1000</v>
      </c>
      <c r="X522">
        <v>1.7000000000000001E-4</v>
      </c>
      <c r="Y522">
        <v>13560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6</v>
      </c>
      <c r="AG522">
        <v>1.7000000000000001E-4</v>
      </c>
      <c r="AH522">
        <v>2</v>
      </c>
      <c r="AI522">
        <v>16632309</v>
      </c>
      <c r="AJ522">
        <v>538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ROW(Source!A252)</f>
        <v>252</v>
      </c>
      <c r="B523">
        <v>16632327</v>
      </c>
      <c r="C523">
        <v>16632298</v>
      </c>
      <c r="D523">
        <v>15172018</v>
      </c>
      <c r="E523">
        <v>1</v>
      </c>
      <c r="F523">
        <v>1</v>
      </c>
      <c r="G523">
        <v>1</v>
      </c>
      <c r="H523">
        <v>3</v>
      </c>
      <c r="I523" t="s">
        <v>1539</v>
      </c>
      <c r="J523" t="s">
        <v>1540</v>
      </c>
      <c r="K523" t="s">
        <v>1541</v>
      </c>
      <c r="L523">
        <v>1346</v>
      </c>
      <c r="N523">
        <v>1009</v>
      </c>
      <c r="O523" t="s">
        <v>102</v>
      </c>
      <c r="P523" t="s">
        <v>102</v>
      </c>
      <c r="Q523">
        <v>1</v>
      </c>
      <c r="X523">
        <v>2.5000000000000001E-3</v>
      </c>
      <c r="Y523">
        <v>2.15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6</v>
      </c>
      <c r="AG523">
        <v>2.5000000000000001E-3</v>
      </c>
      <c r="AH523">
        <v>2</v>
      </c>
      <c r="AI523">
        <v>16632310</v>
      </c>
      <c r="AJ523">
        <v>539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ROW(Source!A252)</f>
        <v>252</v>
      </c>
      <c r="B524">
        <v>16632328</v>
      </c>
      <c r="C524">
        <v>16632298</v>
      </c>
      <c r="D524">
        <v>15203740</v>
      </c>
      <c r="E524">
        <v>1</v>
      </c>
      <c r="F524">
        <v>1</v>
      </c>
      <c r="G524">
        <v>1</v>
      </c>
      <c r="H524">
        <v>3</v>
      </c>
      <c r="I524" t="s">
        <v>1542</v>
      </c>
      <c r="J524" t="s">
        <v>1543</v>
      </c>
      <c r="K524" t="s">
        <v>1544</v>
      </c>
      <c r="L524">
        <v>1348</v>
      </c>
      <c r="N524">
        <v>1009</v>
      </c>
      <c r="O524" t="s">
        <v>98</v>
      </c>
      <c r="P524" t="s">
        <v>98</v>
      </c>
      <c r="Q524">
        <v>1000</v>
      </c>
      <c r="X524">
        <v>4.4000000000000002E-4</v>
      </c>
      <c r="Y524">
        <v>15119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6</v>
      </c>
      <c r="AG524">
        <v>4.4000000000000002E-4</v>
      </c>
      <c r="AH524">
        <v>2</v>
      </c>
      <c r="AI524">
        <v>16632311</v>
      </c>
      <c r="AJ524">
        <v>540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ROW(Source!A252)</f>
        <v>252</v>
      </c>
      <c r="B525">
        <v>16632329</v>
      </c>
      <c r="C525">
        <v>16632298</v>
      </c>
      <c r="D525">
        <v>15204468</v>
      </c>
      <c r="E525">
        <v>1</v>
      </c>
      <c r="F525">
        <v>1</v>
      </c>
      <c r="G525">
        <v>1</v>
      </c>
      <c r="H525">
        <v>3</v>
      </c>
      <c r="I525" t="s">
        <v>1545</v>
      </c>
      <c r="J525" t="s">
        <v>1546</v>
      </c>
      <c r="K525" t="s">
        <v>1547</v>
      </c>
      <c r="L525">
        <v>1348</v>
      </c>
      <c r="N525">
        <v>1009</v>
      </c>
      <c r="O525" t="s">
        <v>98</v>
      </c>
      <c r="P525" t="s">
        <v>98</v>
      </c>
      <c r="Q525">
        <v>1000</v>
      </c>
      <c r="X525">
        <v>5.2999999999999998E-4</v>
      </c>
      <c r="Y525">
        <v>16950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6</v>
      </c>
      <c r="AG525">
        <v>5.2999999999999998E-4</v>
      </c>
      <c r="AH525">
        <v>2</v>
      </c>
      <c r="AI525">
        <v>16632312</v>
      </c>
      <c r="AJ525">
        <v>541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ROW(Source!A252)</f>
        <v>252</v>
      </c>
      <c r="B526">
        <v>16632330</v>
      </c>
      <c r="C526">
        <v>16632298</v>
      </c>
      <c r="D526">
        <v>15162883</v>
      </c>
      <c r="E526">
        <v>17</v>
      </c>
      <c r="F526">
        <v>1</v>
      </c>
      <c r="G526">
        <v>1</v>
      </c>
      <c r="H526">
        <v>3</v>
      </c>
      <c r="I526" t="s">
        <v>1715</v>
      </c>
      <c r="J526" t="s">
        <v>6</v>
      </c>
      <c r="K526" t="s">
        <v>1716</v>
      </c>
      <c r="L526">
        <v>1354</v>
      </c>
      <c r="N526">
        <v>1010</v>
      </c>
      <c r="O526" t="s">
        <v>132</v>
      </c>
      <c r="P526" t="s">
        <v>132</v>
      </c>
      <c r="Q526">
        <v>1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1</v>
      </c>
      <c r="AD526">
        <v>0</v>
      </c>
      <c r="AE526">
        <v>0</v>
      </c>
      <c r="AF526" t="s">
        <v>6</v>
      </c>
      <c r="AG526">
        <v>0</v>
      </c>
      <c r="AH526">
        <v>3</v>
      </c>
      <c r="AI526">
        <v>-1</v>
      </c>
      <c r="AJ526" t="s">
        <v>6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ROW(Source!A252)</f>
        <v>252</v>
      </c>
      <c r="B527">
        <v>16632331</v>
      </c>
      <c r="C527">
        <v>16632298</v>
      </c>
      <c r="D527">
        <v>15163115</v>
      </c>
      <c r="E527">
        <v>17</v>
      </c>
      <c r="F527">
        <v>1</v>
      </c>
      <c r="G527">
        <v>1</v>
      </c>
      <c r="H527">
        <v>3</v>
      </c>
      <c r="I527" t="s">
        <v>1717</v>
      </c>
      <c r="J527" t="s">
        <v>6</v>
      </c>
      <c r="K527" t="s">
        <v>1718</v>
      </c>
      <c r="L527">
        <v>1346</v>
      </c>
      <c r="N527">
        <v>1009</v>
      </c>
      <c r="O527" t="s">
        <v>102</v>
      </c>
      <c r="P527" t="s">
        <v>102</v>
      </c>
      <c r="Q527">
        <v>1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1</v>
      </c>
      <c r="AD527">
        <v>0</v>
      </c>
      <c r="AE527">
        <v>0</v>
      </c>
      <c r="AF527" t="s">
        <v>6</v>
      </c>
      <c r="AG527">
        <v>0</v>
      </c>
      <c r="AH527">
        <v>3</v>
      </c>
      <c r="AI527">
        <v>-1</v>
      </c>
      <c r="AJ527" t="s">
        <v>6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ROW(Source!A252)</f>
        <v>252</v>
      </c>
      <c r="B528">
        <v>16632332</v>
      </c>
      <c r="C528">
        <v>16632298</v>
      </c>
      <c r="D528">
        <v>15163126</v>
      </c>
      <c r="E528">
        <v>17</v>
      </c>
      <c r="F528">
        <v>1</v>
      </c>
      <c r="G528">
        <v>1</v>
      </c>
      <c r="H528">
        <v>3</v>
      </c>
      <c r="I528" t="s">
        <v>741</v>
      </c>
      <c r="J528" t="s">
        <v>6</v>
      </c>
      <c r="K528" t="s">
        <v>742</v>
      </c>
      <c r="L528">
        <v>1301</v>
      </c>
      <c r="N528">
        <v>1003</v>
      </c>
      <c r="O528" t="s">
        <v>150</v>
      </c>
      <c r="P528" t="s">
        <v>150</v>
      </c>
      <c r="Q528">
        <v>1</v>
      </c>
      <c r="X528">
        <v>100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 t="s">
        <v>6</v>
      </c>
      <c r="AG528">
        <v>100</v>
      </c>
      <c r="AH528">
        <v>2</v>
      </c>
      <c r="AI528">
        <v>16632313</v>
      </c>
      <c r="AJ528">
        <v>544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ROW(Source!A256)</f>
        <v>256</v>
      </c>
      <c r="B529">
        <v>16632354</v>
      </c>
      <c r="C529">
        <v>16632336</v>
      </c>
      <c r="D529">
        <v>15436556</v>
      </c>
      <c r="E529">
        <v>1</v>
      </c>
      <c r="F529">
        <v>1</v>
      </c>
      <c r="G529">
        <v>1</v>
      </c>
      <c r="H529">
        <v>1</v>
      </c>
      <c r="I529" t="s">
        <v>1354</v>
      </c>
      <c r="J529" t="s">
        <v>6</v>
      </c>
      <c r="K529" t="s">
        <v>1355</v>
      </c>
      <c r="L529">
        <v>1191</v>
      </c>
      <c r="N529">
        <v>1013</v>
      </c>
      <c r="O529" t="s">
        <v>1148</v>
      </c>
      <c r="P529" t="s">
        <v>1148</v>
      </c>
      <c r="Q529">
        <v>1</v>
      </c>
      <c r="X529">
        <v>32.97</v>
      </c>
      <c r="Y529">
        <v>0</v>
      </c>
      <c r="Z529">
        <v>0</v>
      </c>
      <c r="AA529">
        <v>0</v>
      </c>
      <c r="AB529">
        <v>9.6199999999999992</v>
      </c>
      <c r="AC529">
        <v>0</v>
      </c>
      <c r="AD529">
        <v>1</v>
      </c>
      <c r="AE529">
        <v>1</v>
      </c>
      <c r="AF529" t="s">
        <v>82</v>
      </c>
      <c r="AG529">
        <v>37.915499999999994</v>
      </c>
      <c r="AH529">
        <v>2</v>
      </c>
      <c r="AI529">
        <v>16632337</v>
      </c>
      <c r="AJ529">
        <v>545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ROW(Source!A256)</f>
        <v>256</v>
      </c>
      <c r="B530">
        <v>16632355</v>
      </c>
      <c r="C530">
        <v>16632336</v>
      </c>
      <c r="D530">
        <v>15430395</v>
      </c>
      <c r="E530">
        <v>1</v>
      </c>
      <c r="F530">
        <v>1</v>
      </c>
      <c r="G530">
        <v>1</v>
      </c>
      <c r="H530">
        <v>1</v>
      </c>
      <c r="I530" t="s">
        <v>1149</v>
      </c>
      <c r="J530" t="s">
        <v>6</v>
      </c>
      <c r="K530" t="s">
        <v>1150</v>
      </c>
      <c r="L530">
        <v>1191</v>
      </c>
      <c r="N530">
        <v>1013</v>
      </c>
      <c r="O530" t="s">
        <v>1148</v>
      </c>
      <c r="P530" t="s">
        <v>1148</v>
      </c>
      <c r="Q530">
        <v>1</v>
      </c>
      <c r="X530">
        <v>0.5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1</v>
      </c>
      <c r="AE530">
        <v>2</v>
      </c>
      <c r="AF530" t="s">
        <v>81</v>
      </c>
      <c r="AG530">
        <v>0.625</v>
      </c>
      <c r="AH530">
        <v>2</v>
      </c>
      <c r="AI530">
        <v>16632338</v>
      </c>
      <c r="AJ530">
        <v>546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ROW(Source!A256)</f>
        <v>256</v>
      </c>
      <c r="B531">
        <v>16632356</v>
      </c>
      <c r="C531">
        <v>16632336</v>
      </c>
      <c r="D531">
        <v>15247578</v>
      </c>
      <c r="E531">
        <v>1</v>
      </c>
      <c r="F531">
        <v>1</v>
      </c>
      <c r="G531">
        <v>1</v>
      </c>
      <c r="H531">
        <v>2</v>
      </c>
      <c r="I531" t="s">
        <v>1246</v>
      </c>
      <c r="J531" t="s">
        <v>1247</v>
      </c>
      <c r="K531" t="s">
        <v>1248</v>
      </c>
      <c r="L531">
        <v>1368</v>
      </c>
      <c r="N531">
        <v>1011</v>
      </c>
      <c r="O531" t="s">
        <v>1154</v>
      </c>
      <c r="P531" t="s">
        <v>1154</v>
      </c>
      <c r="Q531">
        <v>1</v>
      </c>
      <c r="X531">
        <v>0.08</v>
      </c>
      <c r="Y531">
        <v>0</v>
      </c>
      <c r="Z531">
        <v>86.4</v>
      </c>
      <c r="AA531">
        <v>13.5</v>
      </c>
      <c r="AB531">
        <v>0</v>
      </c>
      <c r="AC531">
        <v>0</v>
      </c>
      <c r="AD531">
        <v>1</v>
      </c>
      <c r="AE531">
        <v>0</v>
      </c>
      <c r="AF531" t="s">
        <v>81</v>
      </c>
      <c r="AG531">
        <v>0.1</v>
      </c>
      <c r="AH531">
        <v>2</v>
      </c>
      <c r="AI531">
        <v>16632339</v>
      </c>
      <c r="AJ531">
        <v>547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ROW(Source!A256)</f>
        <v>256</v>
      </c>
      <c r="B532">
        <v>16632357</v>
      </c>
      <c r="C532">
        <v>16632336</v>
      </c>
      <c r="D532">
        <v>15247680</v>
      </c>
      <c r="E532">
        <v>1</v>
      </c>
      <c r="F532">
        <v>1</v>
      </c>
      <c r="G532">
        <v>1</v>
      </c>
      <c r="H532">
        <v>2</v>
      </c>
      <c r="I532" t="s">
        <v>1419</v>
      </c>
      <c r="J532" t="s">
        <v>1420</v>
      </c>
      <c r="K532" t="s">
        <v>1421</v>
      </c>
      <c r="L532">
        <v>1368</v>
      </c>
      <c r="N532">
        <v>1011</v>
      </c>
      <c r="O532" t="s">
        <v>1154</v>
      </c>
      <c r="P532" t="s">
        <v>1154</v>
      </c>
      <c r="Q532">
        <v>1</v>
      </c>
      <c r="X532">
        <v>7.0000000000000007E-2</v>
      </c>
      <c r="Y532">
        <v>0</v>
      </c>
      <c r="Z532">
        <v>111.99</v>
      </c>
      <c r="AA532">
        <v>13.5</v>
      </c>
      <c r="AB532">
        <v>0</v>
      </c>
      <c r="AC532">
        <v>0</v>
      </c>
      <c r="AD532">
        <v>1</v>
      </c>
      <c r="AE532">
        <v>0</v>
      </c>
      <c r="AF532" t="s">
        <v>81</v>
      </c>
      <c r="AG532">
        <v>8.7500000000000008E-2</v>
      </c>
      <c r="AH532">
        <v>2</v>
      </c>
      <c r="AI532">
        <v>16632340</v>
      </c>
      <c r="AJ532">
        <v>548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ROW(Source!A256)</f>
        <v>256</v>
      </c>
      <c r="B533">
        <v>16632358</v>
      </c>
      <c r="C533">
        <v>16632336</v>
      </c>
      <c r="D533">
        <v>15249073</v>
      </c>
      <c r="E533">
        <v>1</v>
      </c>
      <c r="F533">
        <v>1</v>
      </c>
      <c r="G533">
        <v>1</v>
      </c>
      <c r="H533">
        <v>2</v>
      </c>
      <c r="I533" t="s">
        <v>1157</v>
      </c>
      <c r="J533" t="s">
        <v>1158</v>
      </c>
      <c r="K533" t="s">
        <v>1159</v>
      </c>
      <c r="L533">
        <v>1368</v>
      </c>
      <c r="N533">
        <v>1011</v>
      </c>
      <c r="O533" t="s">
        <v>1154</v>
      </c>
      <c r="P533" t="s">
        <v>1154</v>
      </c>
      <c r="Q533">
        <v>1</v>
      </c>
      <c r="X533">
        <v>0.35</v>
      </c>
      <c r="Y533">
        <v>0</v>
      </c>
      <c r="Z533">
        <v>65.709999999999994</v>
      </c>
      <c r="AA533">
        <v>11.6</v>
      </c>
      <c r="AB533">
        <v>0</v>
      </c>
      <c r="AC533">
        <v>0</v>
      </c>
      <c r="AD533">
        <v>1</v>
      </c>
      <c r="AE533">
        <v>0</v>
      </c>
      <c r="AF533" t="s">
        <v>81</v>
      </c>
      <c r="AG533">
        <v>0.4375</v>
      </c>
      <c r="AH533">
        <v>2</v>
      </c>
      <c r="AI533">
        <v>16632341</v>
      </c>
      <c r="AJ533">
        <v>549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ROW(Source!A256)</f>
        <v>256</v>
      </c>
      <c r="B534">
        <v>16632359</v>
      </c>
      <c r="C534">
        <v>16632336</v>
      </c>
      <c r="D534">
        <v>15249308</v>
      </c>
      <c r="E534">
        <v>1</v>
      </c>
      <c r="F534">
        <v>1</v>
      </c>
      <c r="G534">
        <v>1</v>
      </c>
      <c r="H534">
        <v>2</v>
      </c>
      <c r="I534" t="s">
        <v>1521</v>
      </c>
      <c r="J534" t="s">
        <v>1522</v>
      </c>
      <c r="K534" t="s">
        <v>1523</v>
      </c>
      <c r="L534">
        <v>1368</v>
      </c>
      <c r="N534">
        <v>1011</v>
      </c>
      <c r="O534" t="s">
        <v>1154</v>
      </c>
      <c r="P534" t="s">
        <v>1154</v>
      </c>
      <c r="Q534">
        <v>1</v>
      </c>
      <c r="X534">
        <v>1.1499999999999999</v>
      </c>
      <c r="Y534">
        <v>0</v>
      </c>
      <c r="Z534">
        <v>1.2</v>
      </c>
      <c r="AA534">
        <v>0</v>
      </c>
      <c r="AB534">
        <v>0</v>
      </c>
      <c r="AC534">
        <v>0</v>
      </c>
      <c r="AD534">
        <v>1</v>
      </c>
      <c r="AE534">
        <v>0</v>
      </c>
      <c r="AF534" t="s">
        <v>81</v>
      </c>
      <c r="AG534">
        <v>1.4375</v>
      </c>
      <c r="AH534">
        <v>2</v>
      </c>
      <c r="AI534">
        <v>16632342</v>
      </c>
      <c r="AJ534">
        <v>550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ROW(Source!A256)</f>
        <v>256</v>
      </c>
      <c r="B535">
        <v>16632360</v>
      </c>
      <c r="C535">
        <v>16632336</v>
      </c>
      <c r="D535">
        <v>15165635</v>
      </c>
      <c r="E535">
        <v>1</v>
      </c>
      <c r="F535">
        <v>1</v>
      </c>
      <c r="G535">
        <v>1</v>
      </c>
      <c r="H535">
        <v>3</v>
      </c>
      <c r="I535" t="s">
        <v>1530</v>
      </c>
      <c r="J535" t="s">
        <v>1531</v>
      </c>
      <c r="K535" t="s">
        <v>1532</v>
      </c>
      <c r="L535">
        <v>1348</v>
      </c>
      <c r="N535">
        <v>1009</v>
      </c>
      <c r="O535" t="s">
        <v>98</v>
      </c>
      <c r="P535" t="s">
        <v>98</v>
      </c>
      <c r="Q535">
        <v>1000</v>
      </c>
      <c r="X535">
        <v>1.2999999999999999E-4</v>
      </c>
      <c r="Y535">
        <v>32830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6</v>
      </c>
      <c r="AG535">
        <v>1.2999999999999999E-4</v>
      </c>
      <c r="AH535">
        <v>2</v>
      </c>
      <c r="AI535">
        <v>16632343</v>
      </c>
      <c r="AJ535">
        <v>551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ROW(Source!A256)</f>
        <v>256</v>
      </c>
      <c r="B536">
        <v>16632361</v>
      </c>
      <c r="C536">
        <v>16632336</v>
      </c>
      <c r="D536">
        <v>15165653</v>
      </c>
      <c r="E536">
        <v>1</v>
      </c>
      <c r="F536">
        <v>1</v>
      </c>
      <c r="G536">
        <v>1</v>
      </c>
      <c r="H536">
        <v>3</v>
      </c>
      <c r="I536" t="s">
        <v>1527</v>
      </c>
      <c r="J536" t="s">
        <v>1528</v>
      </c>
      <c r="K536" t="s">
        <v>1529</v>
      </c>
      <c r="L536">
        <v>1339</v>
      </c>
      <c r="N536">
        <v>1007</v>
      </c>
      <c r="O536" t="s">
        <v>203</v>
      </c>
      <c r="P536" t="s">
        <v>203</v>
      </c>
      <c r="Q536">
        <v>1</v>
      </c>
      <c r="X536">
        <v>0.28100000000000003</v>
      </c>
      <c r="Y536">
        <v>6.22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0</v>
      </c>
      <c r="AF536" t="s">
        <v>6</v>
      </c>
      <c r="AG536">
        <v>0.28100000000000003</v>
      </c>
      <c r="AH536">
        <v>2</v>
      </c>
      <c r="AI536">
        <v>16632344</v>
      </c>
      <c r="AJ536">
        <v>552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ROW(Source!A256)</f>
        <v>256</v>
      </c>
      <c r="B537">
        <v>16632362</v>
      </c>
      <c r="C537">
        <v>16632336</v>
      </c>
      <c r="D537">
        <v>15167286</v>
      </c>
      <c r="E537">
        <v>1</v>
      </c>
      <c r="F537">
        <v>1</v>
      </c>
      <c r="G537">
        <v>1</v>
      </c>
      <c r="H537">
        <v>3</v>
      </c>
      <c r="I537" t="s">
        <v>1265</v>
      </c>
      <c r="J537" t="s">
        <v>1266</v>
      </c>
      <c r="K537" t="s">
        <v>1267</v>
      </c>
      <c r="L537">
        <v>1339</v>
      </c>
      <c r="N537">
        <v>1007</v>
      </c>
      <c r="O537" t="s">
        <v>203</v>
      </c>
      <c r="P537" t="s">
        <v>203</v>
      </c>
      <c r="Q537">
        <v>1</v>
      </c>
      <c r="X537">
        <v>0.44</v>
      </c>
      <c r="Y537">
        <v>2.44</v>
      </c>
      <c r="Z537">
        <v>0</v>
      </c>
      <c r="AA537">
        <v>0</v>
      </c>
      <c r="AB537">
        <v>0</v>
      </c>
      <c r="AC537">
        <v>0</v>
      </c>
      <c r="AD537">
        <v>1</v>
      </c>
      <c r="AE537">
        <v>0</v>
      </c>
      <c r="AF537" t="s">
        <v>6</v>
      </c>
      <c r="AG537">
        <v>0.44</v>
      </c>
      <c r="AH537">
        <v>2</v>
      </c>
      <c r="AI537">
        <v>16632345</v>
      </c>
      <c r="AJ537">
        <v>553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ROW(Source!A256)</f>
        <v>256</v>
      </c>
      <c r="B538">
        <v>16632363</v>
      </c>
      <c r="C538">
        <v>16632336</v>
      </c>
      <c r="D538">
        <v>15167963</v>
      </c>
      <c r="E538">
        <v>1</v>
      </c>
      <c r="F538">
        <v>1</v>
      </c>
      <c r="G538">
        <v>1</v>
      </c>
      <c r="H538">
        <v>3</v>
      </c>
      <c r="I538" t="s">
        <v>1533</v>
      </c>
      <c r="J538" t="s">
        <v>1534</v>
      </c>
      <c r="K538" t="s">
        <v>1535</v>
      </c>
      <c r="L538">
        <v>1346</v>
      </c>
      <c r="N538">
        <v>1009</v>
      </c>
      <c r="O538" t="s">
        <v>102</v>
      </c>
      <c r="P538" t="s">
        <v>102</v>
      </c>
      <c r="Q538">
        <v>1</v>
      </c>
      <c r="X538">
        <v>0.06</v>
      </c>
      <c r="Y538">
        <v>37.29</v>
      </c>
      <c r="Z538">
        <v>0</v>
      </c>
      <c r="AA538">
        <v>0</v>
      </c>
      <c r="AB538">
        <v>0</v>
      </c>
      <c r="AC538">
        <v>0</v>
      </c>
      <c r="AD538">
        <v>1</v>
      </c>
      <c r="AE538">
        <v>0</v>
      </c>
      <c r="AF538" t="s">
        <v>6</v>
      </c>
      <c r="AG538">
        <v>0.06</v>
      </c>
      <c r="AH538">
        <v>2</v>
      </c>
      <c r="AI538">
        <v>16632346</v>
      </c>
      <c r="AJ538">
        <v>554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ROW(Source!A256)</f>
        <v>256</v>
      </c>
      <c r="B539">
        <v>16632364</v>
      </c>
      <c r="C539">
        <v>16632336</v>
      </c>
      <c r="D539">
        <v>15168695</v>
      </c>
      <c r="E539">
        <v>1</v>
      </c>
      <c r="F539">
        <v>1</v>
      </c>
      <c r="G539">
        <v>1</v>
      </c>
      <c r="H539">
        <v>3</v>
      </c>
      <c r="I539" t="s">
        <v>1536</v>
      </c>
      <c r="J539" t="s">
        <v>1537</v>
      </c>
      <c r="K539" t="s">
        <v>1538</v>
      </c>
      <c r="L539">
        <v>1348</v>
      </c>
      <c r="N539">
        <v>1009</v>
      </c>
      <c r="O539" t="s">
        <v>98</v>
      </c>
      <c r="P539" t="s">
        <v>98</v>
      </c>
      <c r="Q539">
        <v>1000</v>
      </c>
      <c r="X539">
        <v>1.7000000000000001E-4</v>
      </c>
      <c r="Y539">
        <v>13560</v>
      </c>
      <c r="Z539">
        <v>0</v>
      </c>
      <c r="AA539">
        <v>0</v>
      </c>
      <c r="AB539">
        <v>0</v>
      </c>
      <c r="AC539">
        <v>0</v>
      </c>
      <c r="AD539">
        <v>1</v>
      </c>
      <c r="AE539">
        <v>0</v>
      </c>
      <c r="AF539" t="s">
        <v>6</v>
      </c>
      <c r="AG539">
        <v>1.7000000000000001E-4</v>
      </c>
      <c r="AH539">
        <v>2</v>
      </c>
      <c r="AI539">
        <v>16632347</v>
      </c>
      <c r="AJ539">
        <v>555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ROW(Source!A256)</f>
        <v>256</v>
      </c>
      <c r="B540">
        <v>16632365</v>
      </c>
      <c r="C540">
        <v>16632336</v>
      </c>
      <c r="D540">
        <v>15172018</v>
      </c>
      <c r="E540">
        <v>1</v>
      </c>
      <c r="F540">
        <v>1</v>
      </c>
      <c r="G540">
        <v>1</v>
      </c>
      <c r="H540">
        <v>3</v>
      </c>
      <c r="I540" t="s">
        <v>1539</v>
      </c>
      <c r="J540" t="s">
        <v>1540</v>
      </c>
      <c r="K540" t="s">
        <v>1541</v>
      </c>
      <c r="L540">
        <v>1346</v>
      </c>
      <c r="N540">
        <v>1009</v>
      </c>
      <c r="O540" t="s">
        <v>102</v>
      </c>
      <c r="P540" t="s">
        <v>102</v>
      </c>
      <c r="Q540">
        <v>1</v>
      </c>
      <c r="X540">
        <v>1.6000000000000001E-3</v>
      </c>
      <c r="Y540">
        <v>2.15</v>
      </c>
      <c r="Z540">
        <v>0</v>
      </c>
      <c r="AA540">
        <v>0</v>
      </c>
      <c r="AB540">
        <v>0</v>
      </c>
      <c r="AC540">
        <v>0</v>
      </c>
      <c r="AD540">
        <v>1</v>
      </c>
      <c r="AE540">
        <v>0</v>
      </c>
      <c r="AF540" t="s">
        <v>6</v>
      </c>
      <c r="AG540">
        <v>1.6000000000000001E-3</v>
      </c>
      <c r="AH540">
        <v>2</v>
      </c>
      <c r="AI540">
        <v>16632348</v>
      </c>
      <c r="AJ540">
        <v>556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ROW(Source!A256)</f>
        <v>256</v>
      </c>
      <c r="B541">
        <v>16632366</v>
      </c>
      <c r="C541">
        <v>16632336</v>
      </c>
      <c r="D541">
        <v>15203740</v>
      </c>
      <c r="E541">
        <v>1</v>
      </c>
      <c r="F541">
        <v>1</v>
      </c>
      <c r="G541">
        <v>1</v>
      </c>
      <c r="H541">
        <v>3</v>
      </c>
      <c r="I541" t="s">
        <v>1542</v>
      </c>
      <c r="J541" t="s">
        <v>1543</v>
      </c>
      <c r="K541" t="s">
        <v>1544</v>
      </c>
      <c r="L541">
        <v>1348</v>
      </c>
      <c r="N541">
        <v>1009</v>
      </c>
      <c r="O541" t="s">
        <v>98</v>
      </c>
      <c r="P541" t="s">
        <v>98</v>
      </c>
      <c r="Q541">
        <v>1000</v>
      </c>
      <c r="X541">
        <v>4.4000000000000002E-4</v>
      </c>
      <c r="Y541">
        <v>15119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0</v>
      </c>
      <c r="AF541" t="s">
        <v>6</v>
      </c>
      <c r="AG541">
        <v>4.4000000000000002E-4</v>
      </c>
      <c r="AH541">
        <v>2</v>
      </c>
      <c r="AI541">
        <v>16632349</v>
      </c>
      <c r="AJ541">
        <v>557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ROW(Source!A256)</f>
        <v>256</v>
      </c>
      <c r="B542">
        <v>16632367</v>
      </c>
      <c r="C542">
        <v>16632336</v>
      </c>
      <c r="D542">
        <v>15204468</v>
      </c>
      <c r="E542">
        <v>1</v>
      </c>
      <c r="F542">
        <v>1</v>
      </c>
      <c r="G542">
        <v>1</v>
      </c>
      <c r="H542">
        <v>3</v>
      </c>
      <c r="I542" t="s">
        <v>1545</v>
      </c>
      <c r="J542" t="s">
        <v>1546</v>
      </c>
      <c r="K542" t="s">
        <v>1547</v>
      </c>
      <c r="L542">
        <v>1348</v>
      </c>
      <c r="N542">
        <v>1009</v>
      </c>
      <c r="O542" t="s">
        <v>98</v>
      </c>
      <c r="P542" t="s">
        <v>98</v>
      </c>
      <c r="Q542">
        <v>1000</v>
      </c>
      <c r="X542">
        <v>5.2999999999999998E-4</v>
      </c>
      <c r="Y542">
        <v>16950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6</v>
      </c>
      <c r="AG542">
        <v>5.2999999999999998E-4</v>
      </c>
      <c r="AH542">
        <v>2</v>
      </c>
      <c r="AI542">
        <v>16632350</v>
      </c>
      <c r="AJ542">
        <v>558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ROW(Source!A256)</f>
        <v>256</v>
      </c>
      <c r="B543">
        <v>16632368</v>
      </c>
      <c r="C543">
        <v>16632336</v>
      </c>
      <c r="D543">
        <v>15162883</v>
      </c>
      <c r="E543">
        <v>17</v>
      </c>
      <c r="F543">
        <v>1</v>
      </c>
      <c r="G543">
        <v>1</v>
      </c>
      <c r="H543">
        <v>3</v>
      </c>
      <c r="I543" t="s">
        <v>1715</v>
      </c>
      <c r="J543" t="s">
        <v>6</v>
      </c>
      <c r="K543" t="s">
        <v>1716</v>
      </c>
      <c r="L543">
        <v>1354</v>
      </c>
      <c r="N543">
        <v>1010</v>
      </c>
      <c r="O543" t="s">
        <v>132</v>
      </c>
      <c r="P543" t="s">
        <v>132</v>
      </c>
      <c r="Q543">
        <v>1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1</v>
      </c>
      <c r="AD543">
        <v>0</v>
      </c>
      <c r="AE543">
        <v>0</v>
      </c>
      <c r="AF543" t="s">
        <v>6</v>
      </c>
      <c r="AG543">
        <v>0</v>
      </c>
      <c r="AH543">
        <v>3</v>
      </c>
      <c r="AI543">
        <v>-1</v>
      </c>
      <c r="AJ543" t="s">
        <v>6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ROW(Source!A256)</f>
        <v>256</v>
      </c>
      <c r="B544">
        <v>16632369</v>
      </c>
      <c r="C544">
        <v>16632336</v>
      </c>
      <c r="D544">
        <v>15163115</v>
      </c>
      <c r="E544">
        <v>17</v>
      </c>
      <c r="F544">
        <v>1</v>
      </c>
      <c r="G544">
        <v>1</v>
      </c>
      <c r="H544">
        <v>3</v>
      </c>
      <c r="I544" t="s">
        <v>1717</v>
      </c>
      <c r="J544" t="s">
        <v>6</v>
      </c>
      <c r="K544" t="s">
        <v>1718</v>
      </c>
      <c r="L544">
        <v>1346</v>
      </c>
      <c r="N544">
        <v>1009</v>
      </c>
      <c r="O544" t="s">
        <v>102</v>
      </c>
      <c r="P544" t="s">
        <v>102</v>
      </c>
      <c r="Q544">
        <v>1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1</v>
      </c>
      <c r="AD544">
        <v>0</v>
      </c>
      <c r="AE544">
        <v>0</v>
      </c>
      <c r="AF544" t="s">
        <v>6</v>
      </c>
      <c r="AG544">
        <v>0</v>
      </c>
      <c r="AH544">
        <v>3</v>
      </c>
      <c r="AI544">
        <v>-1</v>
      </c>
      <c r="AJ544" t="s">
        <v>6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ROW(Source!A256)</f>
        <v>256</v>
      </c>
      <c r="B545">
        <v>16632370</v>
      </c>
      <c r="C545">
        <v>16632336</v>
      </c>
      <c r="D545">
        <v>15163126</v>
      </c>
      <c r="E545">
        <v>17</v>
      </c>
      <c r="F545">
        <v>1</v>
      </c>
      <c r="G545">
        <v>1</v>
      </c>
      <c r="H545">
        <v>3</v>
      </c>
      <c r="I545" t="s">
        <v>741</v>
      </c>
      <c r="J545" t="s">
        <v>6</v>
      </c>
      <c r="K545" t="s">
        <v>742</v>
      </c>
      <c r="L545">
        <v>1301</v>
      </c>
      <c r="N545">
        <v>1003</v>
      </c>
      <c r="O545" t="s">
        <v>150</v>
      </c>
      <c r="P545" t="s">
        <v>150</v>
      </c>
      <c r="Q545">
        <v>1</v>
      </c>
      <c r="X545">
        <v>100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 t="s">
        <v>6</v>
      </c>
      <c r="AG545">
        <v>100</v>
      </c>
      <c r="AH545">
        <v>2</v>
      </c>
      <c r="AI545">
        <v>16632351</v>
      </c>
      <c r="AJ545">
        <v>561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ROW(Source!A260)</f>
        <v>260</v>
      </c>
      <c r="B546">
        <v>16632381</v>
      </c>
      <c r="C546">
        <v>16632374</v>
      </c>
      <c r="D546">
        <v>15430767</v>
      </c>
      <c r="E546">
        <v>1</v>
      </c>
      <c r="F546">
        <v>1</v>
      </c>
      <c r="G546">
        <v>1</v>
      </c>
      <c r="H546">
        <v>1</v>
      </c>
      <c r="I546" t="s">
        <v>1171</v>
      </c>
      <c r="J546" t="s">
        <v>6</v>
      </c>
      <c r="K546" t="s">
        <v>1172</v>
      </c>
      <c r="L546">
        <v>1191</v>
      </c>
      <c r="N546">
        <v>1013</v>
      </c>
      <c r="O546" t="s">
        <v>1148</v>
      </c>
      <c r="P546" t="s">
        <v>1148</v>
      </c>
      <c r="Q546">
        <v>1</v>
      </c>
      <c r="X546">
        <v>46.19</v>
      </c>
      <c r="Y546">
        <v>0</v>
      </c>
      <c r="Z546">
        <v>0</v>
      </c>
      <c r="AA546">
        <v>0</v>
      </c>
      <c r="AB546">
        <v>8.5299999999999994</v>
      </c>
      <c r="AC546">
        <v>0</v>
      </c>
      <c r="AD546">
        <v>1</v>
      </c>
      <c r="AE546">
        <v>1</v>
      </c>
      <c r="AF546" t="s">
        <v>6</v>
      </c>
      <c r="AG546">
        <v>46.19</v>
      </c>
      <c r="AH546">
        <v>2</v>
      </c>
      <c r="AI546">
        <v>16632375</v>
      </c>
      <c r="AJ546">
        <v>562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ROW(Source!A260)</f>
        <v>260</v>
      </c>
      <c r="B547">
        <v>16632382</v>
      </c>
      <c r="C547">
        <v>16632374</v>
      </c>
      <c r="D547">
        <v>15430395</v>
      </c>
      <c r="E547">
        <v>1</v>
      </c>
      <c r="F547">
        <v>1</v>
      </c>
      <c r="G547">
        <v>1</v>
      </c>
      <c r="H547">
        <v>1</v>
      </c>
      <c r="I547" t="s">
        <v>1149</v>
      </c>
      <c r="J547" t="s">
        <v>6</v>
      </c>
      <c r="K547" t="s">
        <v>1150</v>
      </c>
      <c r="L547">
        <v>1191</v>
      </c>
      <c r="N547">
        <v>1013</v>
      </c>
      <c r="O547" t="s">
        <v>1148</v>
      </c>
      <c r="P547" t="s">
        <v>1148</v>
      </c>
      <c r="Q547">
        <v>1</v>
      </c>
      <c r="X547">
        <v>0.01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1</v>
      </c>
      <c r="AE547">
        <v>2</v>
      </c>
      <c r="AF547" t="s">
        <v>6</v>
      </c>
      <c r="AG547">
        <v>0.01</v>
      </c>
      <c r="AH547">
        <v>2</v>
      </c>
      <c r="AI547">
        <v>16632376</v>
      </c>
      <c r="AJ547">
        <v>563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ROW(Source!A260)</f>
        <v>260</v>
      </c>
      <c r="B548">
        <v>16632383</v>
      </c>
      <c r="C548">
        <v>16632374</v>
      </c>
      <c r="D548">
        <v>15247974</v>
      </c>
      <c r="E548">
        <v>1</v>
      </c>
      <c r="F548">
        <v>1</v>
      </c>
      <c r="G548">
        <v>1</v>
      </c>
      <c r="H548">
        <v>2</v>
      </c>
      <c r="I548" t="s">
        <v>1151</v>
      </c>
      <c r="J548" t="s">
        <v>1152</v>
      </c>
      <c r="K548" t="s">
        <v>1153</v>
      </c>
      <c r="L548">
        <v>1368</v>
      </c>
      <c r="N548">
        <v>1011</v>
      </c>
      <c r="O548" t="s">
        <v>1154</v>
      </c>
      <c r="P548" t="s">
        <v>1154</v>
      </c>
      <c r="Q548">
        <v>1</v>
      </c>
      <c r="X548">
        <v>0.01</v>
      </c>
      <c r="Y548">
        <v>0</v>
      </c>
      <c r="Z548">
        <v>31.26</v>
      </c>
      <c r="AA548">
        <v>13.5</v>
      </c>
      <c r="AB548">
        <v>0</v>
      </c>
      <c r="AC548">
        <v>0</v>
      </c>
      <c r="AD548">
        <v>1</v>
      </c>
      <c r="AE548">
        <v>0</v>
      </c>
      <c r="AF548" t="s">
        <v>6</v>
      </c>
      <c r="AG548">
        <v>0.01</v>
      </c>
      <c r="AH548">
        <v>2</v>
      </c>
      <c r="AI548">
        <v>16632377</v>
      </c>
      <c r="AJ548">
        <v>564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ROW(Source!A260)</f>
        <v>260</v>
      </c>
      <c r="B549">
        <v>16632384</v>
      </c>
      <c r="C549">
        <v>16632374</v>
      </c>
      <c r="D549">
        <v>15167286</v>
      </c>
      <c r="E549">
        <v>1</v>
      </c>
      <c r="F549">
        <v>1</v>
      </c>
      <c r="G549">
        <v>1</v>
      </c>
      <c r="H549">
        <v>3</v>
      </c>
      <c r="I549" t="s">
        <v>1265</v>
      </c>
      <c r="J549" t="s">
        <v>1266</v>
      </c>
      <c r="K549" t="s">
        <v>1267</v>
      </c>
      <c r="L549">
        <v>1339</v>
      </c>
      <c r="N549">
        <v>1007</v>
      </c>
      <c r="O549" t="s">
        <v>203</v>
      </c>
      <c r="P549" t="s">
        <v>203</v>
      </c>
      <c r="Q549">
        <v>1</v>
      </c>
      <c r="X549">
        <v>0.02</v>
      </c>
      <c r="Y549">
        <v>2.44</v>
      </c>
      <c r="Z549">
        <v>0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6</v>
      </c>
      <c r="AG549">
        <v>0.02</v>
      </c>
      <c r="AH549">
        <v>2</v>
      </c>
      <c r="AI549">
        <v>16632378</v>
      </c>
      <c r="AJ549">
        <v>565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ROW(Source!A260)</f>
        <v>260</v>
      </c>
      <c r="B550">
        <v>16632385</v>
      </c>
      <c r="C550">
        <v>16632374</v>
      </c>
      <c r="D550">
        <v>15164566</v>
      </c>
      <c r="E550">
        <v>17</v>
      </c>
      <c r="F550">
        <v>1</v>
      </c>
      <c r="G550">
        <v>1</v>
      </c>
      <c r="H550">
        <v>3</v>
      </c>
      <c r="I550" t="s">
        <v>1670</v>
      </c>
      <c r="J550" t="s">
        <v>6</v>
      </c>
      <c r="K550" t="s">
        <v>1671</v>
      </c>
      <c r="L550">
        <v>1348</v>
      </c>
      <c r="N550">
        <v>1009</v>
      </c>
      <c r="O550" t="s">
        <v>98</v>
      </c>
      <c r="P550" t="s">
        <v>98</v>
      </c>
      <c r="Q550">
        <v>1000</v>
      </c>
      <c r="X550">
        <v>7.0000000000000007E-2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 t="s">
        <v>6</v>
      </c>
      <c r="AG550">
        <v>7.0000000000000007E-2</v>
      </c>
      <c r="AH550">
        <v>3</v>
      </c>
      <c r="AI550">
        <v>-1</v>
      </c>
      <c r="AJ550" t="s">
        <v>6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ROW(Source!A260)</f>
        <v>260</v>
      </c>
      <c r="B551">
        <v>16632386</v>
      </c>
      <c r="C551">
        <v>16632374</v>
      </c>
      <c r="D551">
        <v>15171982</v>
      </c>
      <c r="E551">
        <v>1</v>
      </c>
      <c r="F551">
        <v>1</v>
      </c>
      <c r="G551">
        <v>1</v>
      </c>
      <c r="H551">
        <v>3</v>
      </c>
      <c r="I551" t="s">
        <v>1364</v>
      </c>
      <c r="J551" t="s">
        <v>1365</v>
      </c>
      <c r="K551" t="s">
        <v>1366</v>
      </c>
      <c r="L551">
        <v>1348</v>
      </c>
      <c r="N551">
        <v>1009</v>
      </c>
      <c r="O551" t="s">
        <v>98</v>
      </c>
      <c r="P551" t="s">
        <v>98</v>
      </c>
      <c r="Q551">
        <v>1000</v>
      </c>
      <c r="X551">
        <v>0.05</v>
      </c>
      <c r="Y551">
        <v>729.98</v>
      </c>
      <c r="Z551">
        <v>0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6</v>
      </c>
      <c r="AG551">
        <v>0.05</v>
      </c>
      <c r="AH551">
        <v>2</v>
      </c>
      <c r="AI551">
        <v>16632379</v>
      </c>
      <c r="AJ551">
        <v>566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ROW(Source!A260)</f>
        <v>260</v>
      </c>
      <c r="B552">
        <v>16632387</v>
      </c>
      <c r="C552">
        <v>16632374</v>
      </c>
      <c r="D552">
        <v>15162551</v>
      </c>
      <c r="E552">
        <v>17</v>
      </c>
      <c r="F552">
        <v>1</v>
      </c>
      <c r="G552">
        <v>1</v>
      </c>
      <c r="H552">
        <v>3</v>
      </c>
      <c r="I552" t="s">
        <v>1719</v>
      </c>
      <c r="J552" t="s">
        <v>6</v>
      </c>
      <c r="K552" t="s">
        <v>1720</v>
      </c>
      <c r="L552">
        <v>1354</v>
      </c>
      <c r="N552">
        <v>1010</v>
      </c>
      <c r="O552" t="s">
        <v>132</v>
      </c>
      <c r="P552" t="s">
        <v>132</v>
      </c>
      <c r="Q552">
        <v>1</v>
      </c>
      <c r="X552">
        <v>100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 t="s">
        <v>6</v>
      </c>
      <c r="AG552">
        <v>100</v>
      </c>
      <c r="AH552">
        <v>3</v>
      </c>
      <c r="AI552">
        <v>-1</v>
      </c>
      <c r="AJ552" t="s">
        <v>6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ROW(Source!A262)</f>
        <v>262</v>
      </c>
      <c r="B553">
        <v>16632405</v>
      </c>
      <c r="C553">
        <v>16632389</v>
      </c>
      <c r="D553">
        <v>15435609</v>
      </c>
      <c r="E553">
        <v>1</v>
      </c>
      <c r="F553">
        <v>1</v>
      </c>
      <c r="G553">
        <v>1</v>
      </c>
      <c r="H553">
        <v>1</v>
      </c>
      <c r="I553" t="s">
        <v>1231</v>
      </c>
      <c r="J553" t="s">
        <v>6</v>
      </c>
      <c r="K553" t="s">
        <v>1232</v>
      </c>
      <c r="L553">
        <v>1191</v>
      </c>
      <c r="N553">
        <v>1013</v>
      </c>
      <c r="O553" t="s">
        <v>1148</v>
      </c>
      <c r="P553" t="s">
        <v>1148</v>
      </c>
      <c r="Q553">
        <v>1</v>
      </c>
      <c r="X553">
        <v>65.599999999999994</v>
      </c>
      <c r="Y553">
        <v>0</v>
      </c>
      <c r="Z553">
        <v>0</v>
      </c>
      <c r="AA553">
        <v>0</v>
      </c>
      <c r="AB553">
        <v>8.9700000000000006</v>
      </c>
      <c r="AC553">
        <v>0</v>
      </c>
      <c r="AD553">
        <v>1</v>
      </c>
      <c r="AE553">
        <v>1</v>
      </c>
      <c r="AF553" t="s">
        <v>82</v>
      </c>
      <c r="AG553">
        <v>75.439999999999984</v>
      </c>
      <c r="AH553">
        <v>2</v>
      </c>
      <c r="AI553">
        <v>16632390</v>
      </c>
      <c r="AJ553">
        <v>568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ROW(Source!A262)</f>
        <v>262</v>
      </c>
      <c r="B554">
        <v>16632406</v>
      </c>
      <c r="C554">
        <v>16632389</v>
      </c>
      <c r="D554">
        <v>15430395</v>
      </c>
      <c r="E554">
        <v>1</v>
      </c>
      <c r="F554">
        <v>1</v>
      </c>
      <c r="G554">
        <v>1</v>
      </c>
      <c r="H554">
        <v>1</v>
      </c>
      <c r="I554" t="s">
        <v>1149</v>
      </c>
      <c r="J554" t="s">
        <v>6</v>
      </c>
      <c r="K554" t="s">
        <v>1150</v>
      </c>
      <c r="L554">
        <v>1191</v>
      </c>
      <c r="N554">
        <v>1013</v>
      </c>
      <c r="O554" t="s">
        <v>1148</v>
      </c>
      <c r="P554" t="s">
        <v>1148</v>
      </c>
      <c r="Q554">
        <v>1</v>
      </c>
      <c r="X554">
        <v>3.13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2</v>
      </c>
      <c r="AF554" t="s">
        <v>81</v>
      </c>
      <c r="AG554">
        <v>3.9124999999999996</v>
      </c>
      <c r="AH554">
        <v>2</v>
      </c>
      <c r="AI554">
        <v>16632391</v>
      </c>
      <c r="AJ554">
        <v>569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ROW(Source!A262)</f>
        <v>262</v>
      </c>
      <c r="B555">
        <v>16632407</v>
      </c>
      <c r="C555">
        <v>16632389</v>
      </c>
      <c r="D555">
        <v>15247680</v>
      </c>
      <c r="E555">
        <v>1</v>
      </c>
      <c r="F555">
        <v>1</v>
      </c>
      <c r="G555">
        <v>1</v>
      </c>
      <c r="H555">
        <v>2</v>
      </c>
      <c r="I555" t="s">
        <v>1419</v>
      </c>
      <c r="J555" t="s">
        <v>1420</v>
      </c>
      <c r="K555" t="s">
        <v>1421</v>
      </c>
      <c r="L555">
        <v>1368</v>
      </c>
      <c r="N555">
        <v>1011</v>
      </c>
      <c r="O555" t="s">
        <v>1154</v>
      </c>
      <c r="P555" t="s">
        <v>1154</v>
      </c>
      <c r="Q555">
        <v>1</v>
      </c>
      <c r="X555">
        <v>0.09</v>
      </c>
      <c r="Y555">
        <v>0</v>
      </c>
      <c r="Z555">
        <v>111.99</v>
      </c>
      <c r="AA555">
        <v>13.5</v>
      </c>
      <c r="AB555">
        <v>0</v>
      </c>
      <c r="AC555">
        <v>0</v>
      </c>
      <c r="AD555">
        <v>1</v>
      </c>
      <c r="AE555">
        <v>0</v>
      </c>
      <c r="AF555" t="s">
        <v>81</v>
      </c>
      <c r="AG555">
        <v>0.11249999999999999</v>
      </c>
      <c r="AH555">
        <v>2</v>
      </c>
      <c r="AI555">
        <v>16632392</v>
      </c>
      <c r="AJ555">
        <v>570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ROW(Source!A262)</f>
        <v>262</v>
      </c>
      <c r="B556">
        <v>16632408</v>
      </c>
      <c r="C556">
        <v>16632389</v>
      </c>
      <c r="D556">
        <v>15247974</v>
      </c>
      <c r="E556">
        <v>1</v>
      </c>
      <c r="F556">
        <v>1</v>
      </c>
      <c r="G556">
        <v>1</v>
      </c>
      <c r="H556">
        <v>2</v>
      </c>
      <c r="I556" t="s">
        <v>1151</v>
      </c>
      <c r="J556" t="s">
        <v>1152</v>
      </c>
      <c r="K556" t="s">
        <v>1153</v>
      </c>
      <c r="L556">
        <v>1368</v>
      </c>
      <c r="N556">
        <v>1011</v>
      </c>
      <c r="O556" t="s">
        <v>1154</v>
      </c>
      <c r="P556" t="s">
        <v>1154</v>
      </c>
      <c r="Q556">
        <v>1</v>
      </c>
      <c r="X556">
        <v>1.19</v>
      </c>
      <c r="Y556">
        <v>0</v>
      </c>
      <c r="Z556">
        <v>31.26</v>
      </c>
      <c r="AA556">
        <v>13.5</v>
      </c>
      <c r="AB556">
        <v>0</v>
      </c>
      <c r="AC556">
        <v>0</v>
      </c>
      <c r="AD556">
        <v>1</v>
      </c>
      <c r="AE556">
        <v>0</v>
      </c>
      <c r="AF556" t="s">
        <v>81</v>
      </c>
      <c r="AG556">
        <v>1.4874999999999998</v>
      </c>
      <c r="AH556">
        <v>2</v>
      </c>
      <c r="AI556">
        <v>16632393</v>
      </c>
      <c r="AJ556">
        <v>571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ROW(Source!A262)</f>
        <v>262</v>
      </c>
      <c r="B557">
        <v>16632409</v>
      </c>
      <c r="C557">
        <v>16632389</v>
      </c>
      <c r="D557">
        <v>15248793</v>
      </c>
      <c r="E557">
        <v>1</v>
      </c>
      <c r="F557">
        <v>1</v>
      </c>
      <c r="G557">
        <v>1</v>
      </c>
      <c r="H557">
        <v>2</v>
      </c>
      <c r="I557" t="s">
        <v>1548</v>
      </c>
      <c r="J557" t="s">
        <v>1549</v>
      </c>
      <c r="K557" t="s">
        <v>1550</v>
      </c>
      <c r="L557">
        <v>1368</v>
      </c>
      <c r="N557">
        <v>1011</v>
      </c>
      <c r="O557" t="s">
        <v>1154</v>
      </c>
      <c r="P557" t="s">
        <v>1154</v>
      </c>
      <c r="Q557">
        <v>1</v>
      </c>
      <c r="X557">
        <v>0.8</v>
      </c>
      <c r="Y557">
        <v>0</v>
      </c>
      <c r="Z557">
        <v>29.67</v>
      </c>
      <c r="AA557">
        <v>0</v>
      </c>
      <c r="AB557">
        <v>0</v>
      </c>
      <c r="AC557">
        <v>0</v>
      </c>
      <c r="AD557">
        <v>1</v>
      </c>
      <c r="AE557">
        <v>0</v>
      </c>
      <c r="AF557" t="s">
        <v>81</v>
      </c>
      <c r="AG557">
        <v>1</v>
      </c>
      <c r="AH557">
        <v>2</v>
      </c>
      <c r="AI557">
        <v>16632394</v>
      </c>
      <c r="AJ557">
        <v>572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ROW(Source!A262)</f>
        <v>262</v>
      </c>
      <c r="B558">
        <v>16632410</v>
      </c>
      <c r="C558">
        <v>16632389</v>
      </c>
      <c r="D558">
        <v>15249073</v>
      </c>
      <c r="E558">
        <v>1</v>
      </c>
      <c r="F558">
        <v>1</v>
      </c>
      <c r="G558">
        <v>1</v>
      </c>
      <c r="H558">
        <v>2</v>
      </c>
      <c r="I558" t="s">
        <v>1157</v>
      </c>
      <c r="J558" t="s">
        <v>1158</v>
      </c>
      <c r="K558" t="s">
        <v>1159</v>
      </c>
      <c r="L558">
        <v>1368</v>
      </c>
      <c r="N558">
        <v>1011</v>
      </c>
      <c r="O558" t="s">
        <v>1154</v>
      </c>
      <c r="P558" t="s">
        <v>1154</v>
      </c>
      <c r="Q558">
        <v>1</v>
      </c>
      <c r="X558">
        <v>1.85</v>
      </c>
      <c r="Y558">
        <v>0</v>
      </c>
      <c r="Z558">
        <v>65.709999999999994</v>
      </c>
      <c r="AA558">
        <v>11.6</v>
      </c>
      <c r="AB558">
        <v>0</v>
      </c>
      <c r="AC558">
        <v>0</v>
      </c>
      <c r="AD558">
        <v>1</v>
      </c>
      <c r="AE558">
        <v>0</v>
      </c>
      <c r="AF558" t="s">
        <v>81</v>
      </c>
      <c r="AG558">
        <v>2.3125</v>
      </c>
      <c r="AH558">
        <v>2</v>
      </c>
      <c r="AI558">
        <v>16632395</v>
      </c>
      <c r="AJ558">
        <v>573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ROW(Source!A262)</f>
        <v>262</v>
      </c>
      <c r="B559">
        <v>16632411</v>
      </c>
      <c r="C559">
        <v>16632389</v>
      </c>
      <c r="D559">
        <v>15166084</v>
      </c>
      <c r="E559">
        <v>1</v>
      </c>
      <c r="F559">
        <v>1</v>
      </c>
      <c r="G559">
        <v>1</v>
      </c>
      <c r="H559">
        <v>3</v>
      </c>
      <c r="I559" t="s">
        <v>1551</v>
      </c>
      <c r="J559" t="s">
        <v>1552</v>
      </c>
      <c r="K559" t="s">
        <v>1553</v>
      </c>
      <c r="L559">
        <v>1339</v>
      </c>
      <c r="N559">
        <v>1007</v>
      </c>
      <c r="O559" t="s">
        <v>203</v>
      </c>
      <c r="P559" t="s">
        <v>203</v>
      </c>
      <c r="Q559">
        <v>1</v>
      </c>
      <c r="X559">
        <v>0.67</v>
      </c>
      <c r="Y559">
        <v>45.83</v>
      </c>
      <c r="Z559">
        <v>0</v>
      </c>
      <c r="AA559">
        <v>0</v>
      </c>
      <c r="AB559">
        <v>0</v>
      </c>
      <c r="AC559">
        <v>0</v>
      </c>
      <c r="AD559">
        <v>1</v>
      </c>
      <c r="AE559">
        <v>0</v>
      </c>
      <c r="AF559" t="s">
        <v>6</v>
      </c>
      <c r="AG559">
        <v>0.67</v>
      </c>
      <c r="AH559">
        <v>2</v>
      </c>
      <c r="AI559">
        <v>16632396</v>
      </c>
      <c r="AJ559">
        <v>574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ROW(Source!A262)</f>
        <v>262</v>
      </c>
      <c r="B560">
        <v>16632412</v>
      </c>
      <c r="C560">
        <v>16632389</v>
      </c>
      <c r="D560">
        <v>15167286</v>
      </c>
      <c r="E560">
        <v>1</v>
      </c>
      <c r="F560">
        <v>1</v>
      </c>
      <c r="G560">
        <v>1</v>
      </c>
      <c r="H560">
        <v>3</v>
      </c>
      <c r="I560" t="s">
        <v>1265</v>
      </c>
      <c r="J560" t="s">
        <v>1266</v>
      </c>
      <c r="K560" t="s">
        <v>1267</v>
      </c>
      <c r="L560">
        <v>1339</v>
      </c>
      <c r="N560">
        <v>1007</v>
      </c>
      <c r="O560" t="s">
        <v>203</v>
      </c>
      <c r="P560" t="s">
        <v>203</v>
      </c>
      <c r="Q560">
        <v>1</v>
      </c>
      <c r="X560">
        <v>15</v>
      </c>
      <c r="Y560">
        <v>2.44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6</v>
      </c>
      <c r="AG560">
        <v>15</v>
      </c>
      <c r="AH560">
        <v>2</v>
      </c>
      <c r="AI560">
        <v>16632397</v>
      </c>
      <c r="AJ560">
        <v>575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ROW(Source!A262)</f>
        <v>262</v>
      </c>
      <c r="B561">
        <v>16632413</v>
      </c>
      <c r="C561">
        <v>16632389</v>
      </c>
      <c r="D561">
        <v>15163011</v>
      </c>
      <c r="E561">
        <v>17</v>
      </c>
      <c r="F561">
        <v>1</v>
      </c>
      <c r="G561">
        <v>1</v>
      </c>
      <c r="H561">
        <v>3</v>
      </c>
      <c r="I561" t="s">
        <v>786</v>
      </c>
      <c r="J561" t="s">
        <v>6</v>
      </c>
      <c r="K561" t="s">
        <v>787</v>
      </c>
      <c r="L561">
        <v>1358</v>
      </c>
      <c r="N561">
        <v>1010</v>
      </c>
      <c r="O561" t="s">
        <v>616</v>
      </c>
      <c r="P561" t="s">
        <v>616</v>
      </c>
      <c r="Q561">
        <v>10</v>
      </c>
      <c r="X561">
        <v>8.9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 t="s">
        <v>6</v>
      </c>
      <c r="AG561">
        <v>8.9</v>
      </c>
      <c r="AH561">
        <v>2</v>
      </c>
      <c r="AI561">
        <v>16632398</v>
      </c>
      <c r="AJ561">
        <v>576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ROW(Source!A262)</f>
        <v>262</v>
      </c>
      <c r="B562">
        <v>16632414</v>
      </c>
      <c r="C562">
        <v>16632389</v>
      </c>
      <c r="D562">
        <v>15162072</v>
      </c>
      <c r="E562">
        <v>17</v>
      </c>
      <c r="F562">
        <v>1</v>
      </c>
      <c r="G562">
        <v>1</v>
      </c>
      <c r="H562">
        <v>3</v>
      </c>
      <c r="I562" t="s">
        <v>1674</v>
      </c>
      <c r="J562" t="s">
        <v>6</v>
      </c>
      <c r="K562" t="s">
        <v>1675</v>
      </c>
      <c r="L562">
        <v>1348</v>
      </c>
      <c r="N562">
        <v>1009</v>
      </c>
      <c r="O562" t="s">
        <v>98</v>
      </c>
      <c r="P562" t="s">
        <v>98</v>
      </c>
      <c r="Q562">
        <v>1000</v>
      </c>
      <c r="X562">
        <v>4.4999999999999997E-3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 t="s">
        <v>6</v>
      </c>
      <c r="AG562">
        <v>4.4999999999999997E-3</v>
      </c>
      <c r="AH562">
        <v>3</v>
      </c>
      <c r="AI562">
        <v>-1</v>
      </c>
      <c r="AJ562" t="s">
        <v>6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ROW(Source!A262)</f>
        <v>262</v>
      </c>
      <c r="B563">
        <v>16632415</v>
      </c>
      <c r="C563">
        <v>16632389</v>
      </c>
      <c r="D563">
        <v>15212828</v>
      </c>
      <c r="E563">
        <v>1</v>
      </c>
      <c r="F563">
        <v>1</v>
      </c>
      <c r="G563">
        <v>1</v>
      </c>
      <c r="H563">
        <v>3</v>
      </c>
      <c r="I563" t="s">
        <v>1554</v>
      </c>
      <c r="J563" t="s">
        <v>1555</v>
      </c>
      <c r="K563" t="s">
        <v>1556</v>
      </c>
      <c r="L563">
        <v>1035</v>
      </c>
      <c r="N563">
        <v>1013</v>
      </c>
      <c r="O563" t="s">
        <v>177</v>
      </c>
      <c r="P563" t="s">
        <v>177</v>
      </c>
      <c r="Q563">
        <v>1</v>
      </c>
      <c r="X563">
        <v>44.2</v>
      </c>
      <c r="Y563">
        <v>24.75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6</v>
      </c>
      <c r="AG563">
        <v>44.2</v>
      </c>
      <c r="AH563">
        <v>2</v>
      </c>
      <c r="AI563">
        <v>16632399</v>
      </c>
      <c r="AJ563">
        <v>578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ROW(Source!A262)</f>
        <v>262</v>
      </c>
      <c r="B564">
        <v>16632416</v>
      </c>
      <c r="C564">
        <v>16632389</v>
      </c>
      <c r="D564">
        <v>15163239</v>
      </c>
      <c r="E564">
        <v>17</v>
      </c>
      <c r="F564">
        <v>1</v>
      </c>
      <c r="G564">
        <v>1</v>
      </c>
      <c r="H564">
        <v>3</v>
      </c>
      <c r="I564" t="s">
        <v>793</v>
      </c>
      <c r="J564" t="s">
        <v>6</v>
      </c>
      <c r="K564" t="s">
        <v>794</v>
      </c>
      <c r="L564">
        <v>1033</v>
      </c>
      <c r="N564">
        <v>1013</v>
      </c>
      <c r="O564" t="s">
        <v>795</v>
      </c>
      <c r="P564" t="s">
        <v>795</v>
      </c>
      <c r="Q564">
        <v>1</v>
      </c>
      <c r="X564">
        <v>100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 t="s">
        <v>6</v>
      </c>
      <c r="AG564">
        <v>100</v>
      </c>
      <c r="AH564">
        <v>2</v>
      </c>
      <c r="AI564">
        <v>16632400</v>
      </c>
      <c r="AJ564">
        <v>582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ROW(Source!A269)</f>
        <v>269</v>
      </c>
      <c r="B565">
        <v>16632434</v>
      </c>
      <c r="C565">
        <v>16632423</v>
      </c>
      <c r="D565">
        <v>15430447</v>
      </c>
      <c r="E565">
        <v>1</v>
      </c>
      <c r="F565">
        <v>1</v>
      </c>
      <c r="G565">
        <v>1</v>
      </c>
      <c r="H565">
        <v>1</v>
      </c>
      <c r="I565" t="s">
        <v>1464</v>
      </c>
      <c r="J565" t="s">
        <v>6</v>
      </c>
      <c r="K565" t="s">
        <v>1465</v>
      </c>
      <c r="L565">
        <v>1191</v>
      </c>
      <c r="N565">
        <v>1013</v>
      </c>
      <c r="O565" t="s">
        <v>1148</v>
      </c>
      <c r="P565" t="s">
        <v>1148</v>
      </c>
      <c r="Q565">
        <v>1</v>
      </c>
      <c r="X565">
        <v>1.47</v>
      </c>
      <c r="Y565">
        <v>0</v>
      </c>
      <c r="Z565">
        <v>0</v>
      </c>
      <c r="AA565">
        <v>0</v>
      </c>
      <c r="AB565">
        <v>9.07</v>
      </c>
      <c r="AC565">
        <v>0</v>
      </c>
      <c r="AD565">
        <v>1</v>
      </c>
      <c r="AE565">
        <v>1</v>
      </c>
      <c r="AF565" t="s">
        <v>82</v>
      </c>
      <c r="AG565">
        <v>1.6904999999999999</v>
      </c>
      <c r="AH565">
        <v>2</v>
      </c>
      <c r="AI565">
        <v>16632424</v>
      </c>
      <c r="AJ565">
        <v>583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ROW(Source!A269)</f>
        <v>269</v>
      </c>
      <c r="B566">
        <v>16632435</v>
      </c>
      <c r="C566">
        <v>16632423</v>
      </c>
      <c r="D566">
        <v>15430395</v>
      </c>
      <c r="E566">
        <v>1</v>
      </c>
      <c r="F566">
        <v>1</v>
      </c>
      <c r="G566">
        <v>1</v>
      </c>
      <c r="H566">
        <v>1</v>
      </c>
      <c r="I566" t="s">
        <v>1149</v>
      </c>
      <c r="J566" t="s">
        <v>6</v>
      </c>
      <c r="K566" t="s">
        <v>1150</v>
      </c>
      <c r="L566">
        <v>1191</v>
      </c>
      <c r="N566">
        <v>1013</v>
      </c>
      <c r="O566" t="s">
        <v>1148</v>
      </c>
      <c r="P566" t="s">
        <v>1148</v>
      </c>
      <c r="Q566">
        <v>1</v>
      </c>
      <c r="X566">
        <v>0.01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1</v>
      </c>
      <c r="AE566">
        <v>2</v>
      </c>
      <c r="AF566" t="s">
        <v>81</v>
      </c>
      <c r="AG566">
        <v>1.2500000000000001E-2</v>
      </c>
      <c r="AH566">
        <v>2</v>
      </c>
      <c r="AI566">
        <v>16632425</v>
      </c>
      <c r="AJ566">
        <v>584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ROW(Source!A269)</f>
        <v>269</v>
      </c>
      <c r="B567">
        <v>16632436</v>
      </c>
      <c r="C567">
        <v>16632423</v>
      </c>
      <c r="D567">
        <v>15249073</v>
      </c>
      <c r="E567">
        <v>1</v>
      </c>
      <c r="F567">
        <v>1</v>
      </c>
      <c r="G567">
        <v>1</v>
      </c>
      <c r="H567">
        <v>2</v>
      </c>
      <c r="I567" t="s">
        <v>1157</v>
      </c>
      <c r="J567" t="s">
        <v>1158</v>
      </c>
      <c r="K567" t="s">
        <v>1159</v>
      </c>
      <c r="L567">
        <v>1368</v>
      </c>
      <c r="N567">
        <v>1011</v>
      </c>
      <c r="O567" t="s">
        <v>1154</v>
      </c>
      <c r="P567" t="s">
        <v>1154</v>
      </c>
      <c r="Q567">
        <v>1</v>
      </c>
      <c r="X567">
        <v>0.01</v>
      </c>
      <c r="Y567">
        <v>0</v>
      </c>
      <c r="Z567">
        <v>65.709999999999994</v>
      </c>
      <c r="AA567">
        <v>11.6</v>
      </c>
      <c r="AB567">
        <v>0</v>
      </c>
      <c r="AC567">
        <v>0</v>
      </c>
      <c r="AD567">
        <v>1</v>
      </c>
      <c r="AE567">
        <v>0</v>
      </c>
      <c r="AF567" t="s">
        <v>81</v>
      </c>
      <c r="AG567">
        <v>1.2500000000000001E-2</v>
      </c>
      <c r="AH567">
        <v>2</v>
      </c>
      <c r="AI567">
        <v>16632426</v>
      </c>
      <c r="AJ567">
        <v>585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ROW(Source!A269)</f>
        <v>269</v>
      </c>
      <c r="B568">
        <v>16632437</v>
      </c>
      <c r="C568">
        <v>16632423</v>
      </c>
      <c r="D568">
        <v>15249377</v>
      </c>
      <c r="E568">
        <v>1</v>
      </c>
      <c r="F568">
        <v>1</v>
      </c>
      <c r="G568">
        <v>1</v>
      </c>
      <c r="H568">
        <v>2</v>
      </c>
      <c r="I568" t="s">
        <v>1222</v>
      </c>
      <c r="J568" t="s">
        <v>1223</v>
      </c>
      <c r="K568" t="s">
        <v>1224</v>
      </c>
      <c r="L568">
        <v>1368</v>
      </c>
      <c r="N568">
        <v>1011</v>
      </c>
      <c r="O568" t="s">
        <v>1154</v>
      </c>
      <c r="P568" t="s">
        <v>1154</v>
      </c>
      <c r="Q568">
        <v>1</v>
      </c>
      <c r="X568">
        <v>0.35</v>
      </c>
      <c r="Y568">
        <v>0</v>
      </c>
      <c r="Z568">
        <v>8.1</v>
      </c>
      <c r="AA568">
        <v>0</v>
      </c>
      <c r="AB568">
        <v>0</v>
      </c>
      <c r="AC568">
        <v>0</v>
      </c>
      <c r="AD568">
        <v>1</v>
      </c>
      <c r="AE568">
        <v>0</v>
      </c>
      <c r="AF568" t="s">
        <v>81</v>
      </c>
      <c r="AG568">
        <v>0.4375</v>
      </c>
      <c r="AH568">
        <v>2</v>
      </c>
      <c r="AI568">
        <v>16632427</v>
      </c>
      <c r="AJ568">
        <v>586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ROW(Source!A269)</f>
        <v>269</v>
      </c>
      <c r="B569">
        <v>16632438</v>
      </c>
      <c r="C569">
        <v>16632423</v>
      </c>
      <c r="D569">
        <v>15165267</v>
      </c>
      <c r="E569">
        <v>1</v>
      </c>
      <c r="F569">
        <v>1</v>
      </c>
      <c r="G569">
        <v>1</v>
      </c>
      <c r="H569">
        <v>3</v>
      </c>
      <c r="I569" t="s">
        <v>1557</v>
      </c>
      <c r="J569" t="s">
        <v>1558</v>
      </c>
      <c r="K569" t="s">
        <v>1559</v>
      </c>
      <c r="L569">
        <v>1356</v>
      </c>
      <c r="N569">
        <v>1010</v>
      </c>
      <c r="O569" t="s">
        <v>278</v>
      </c>
      <c r="P569" t="s">
        <v>278</v>
      </c>
      <c r="Q569">
        <v>1000</v>
      </c>
      <c r="X569">
        <v>2E-3</v>
      </c>
      <c r="Y569">
        <v>3450</v>
      </c>
      <c r="Z569">
        <v>0</v>
      </c>
      <c r="AA569">
        <v>0</v>
      </c>
      <c r="AB569">
        <v>0</v>
      </c>
      <c r="AC569">
        <v>0</v>
      </c>
      <c r="AD569">
        <v>1</v>
      </c>
      <c r="AE569">
        <v>0</v>
      </c>
      <c r="AF569" t="s">
        <v>6</v>
      </c>
      <c r="AG569">
        <v>2E-3</v>
      </c>
      <c r="AH569">
        <v>2</v>
      </c>
      <c r="AI569">
        <v>16632428</v>
      </c>
      <c r="AJ569">
        <v>587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ROW(Source!A269)</f>
        <v>269</v>
      </c>
      <c r="B570">
        <v>16632439</v>
      </c>
      <c r="C570">
        <v>16632423</v>
      </c>
      <c r="D570">
        <v>15168763</v>
      </c>
      <c r="E570">
        <v>1</v>
      </c>
      <c r="F570">
        <v>1</v>
      </c>
      <c r="G570">
        <v>1</v>
      </c>
      <c r="H570">
        <v>3</v>
      </c>
      <c r="I570" t="s">
        <v>1560</v>
      </c>
      <c r="J570" t="s">
        <v>1561</v>
      </c>
      <c r="K570" t="s">
        <v>1562</v>
      </c>
      <c r="L570">
        <v>1348</v>
      </c>
      <c r="N570">
        <v>1009</v>
      </c>
      <c r="O570" t="s">
        <v>98</v>
      </c>
      <c r="P570" t="s">
        <v>98</v>
      </c>
      <c r="Q570">
        <v>1000</v>
      </c>
      <c r="X570">
        <v>1.3999999999999999E-4</v>
      </c>
      <c r="Y570">
        <v>10362</v>
      </c>
      <c r="Z570">
        <v>0</v>
      </c>
      <c r="AA570">
        <v>0</v>
      </c>
      <c r="AB570">
        <v>0</v>
      </c>
      <c r="AC570">
        <v>0</v>
      </c>
      <c r="AD570">
        <v>1</v>
      </c>
      <c r="AE570">
        <v>0</v>
      </c>
      <c r="AF570" t="s">
        <v>6</v>
      </c>
      <c r="AG570">
        <v>1.3999999999999999E-4</v>
      </c>
      <c r="AH570">
        <v>2</v>
      </c>
      <c r="AI570">
        <v>16632429</v>
      </c>
      <c r="AJ570">
        <v>588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ROW(Source!A269)</f>
        <v>269</v>
      </c>
      <c r="B571">
        <v>16632440</v>
      </c>
      <c r="C571">
        <v>16632423</v>
      </c>
      <c r="D571">
        <v>15169923</v>
      </c>
      <c r="E571">
        <v>1</v>
      </c>
      <c r="F571">
        <v>1</v>
      </c>
      <c r="G571">
        <v>1</v>
      </c>
      <c r="H571">
        <v>3</v>
      </c>
      <c r="I571" t="s">
        <v>1563</v>
      </c>
      <c r="J571" t="s">
        <v>1564</v>
      </c>
      <c r="K571" t="s">
        <v>1565</v>
      </c>
      <c r="L571">
        <v>1348</v>
      </c>
      <c r="N571">
        <v>1009</v>
      </c>
      <c r="O571" t="s">
        <v>98</v>
      </c>
      <c r="P571" t="s">
        <v>98</v>
      </c>
      <c r="Q571">
        <v>1000</v>
      </c>
      <c r="X571">
        <v>1.1000000000000001E-3</v>
      </c>
      <c r="Y571">
        <v>15323</v>
      </c>
      <c r="Z571">
        <v>0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6</v>
      </c>
      <c r="AG571">
        <v>1.1000000000000001E-3</v>
      </c>
      <c r="AH571">
        <v>2</v>
      </c>
      <c r="AI571">
        <v>16632430</v>
      </c>
      <c r="AJ571">
        <v>589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ROW(Source!A269)</f>
        <v>269</v>
      </c>
      <c r="B572">
        <v>16632441</v>
      </c>
      <c r="C572">
        <v>16632423</v>
      </c>
      <c r="D572">
        <v>15162883</v>
      </c>
      <c r="E572">
        <v>17</v>
      </c>
      <c r="F572">
        <v>1</v>
      </c>
      <c r="G572">
        <v>1</v>
      </c>
      <c r="H572">
        <v>3</v>
      </c>
      <c r="I572" t="s">
        <v>1715</v>
      </c>
      <c r="J572" t="s">
        <v>6</v>
      </c>
      <c r="K572" t="s">
        <v>1721</v>
      </c>
      <c r="L572">
        <v>1354</v>
      </c>
      <c r="N572">
        <v>1010</v>
      </c>
      <c r="O572" t="s">
        <v>132</v>
      </c>
      <c r="P572" t="s">
        <v>132</v>
      </c>
      <c r="Q572">
        <v>1</v>
      </c>
      <c r="X572">
        <v>1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 t="s">
        <v>6</v>
      </c>
      <c r="AG572">
        <v>1</v>
      </c>
      <c r="AH572">
        <v>3</v>
      </c>
      <c r="AI572">
        <v>-1</v>
      </c>
      <c r="AJ572" t="s">
        <v>6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ROW(Source!A269)</f>
        <v>269</v>
      </c>
      <c r="B573">
        <v>16632442</v>
      </c>
      <c r="C573">
        <v>16632423</v>
      </c>
      <c r="D573">
        <v>15161732</v>
      </c>
      <c r="E573">
        <v>17</v>
      </c>
      <c r="F573">
        <v>1</v>
      </c>
      <c r="G573">
        <v>1</v>
      </c>
      <c r="H573">
        <v>3</v>
      </c>
      <c r="I573" t="s">
        <v>1722</v>
      </c>
      <c r="J573" t="s">
        <v>6</v>
      </c>
      <c r="K573" t="s">
        <v>1723</v>
      </c>
      <c r="L573">
        <v>1354</v>
      </c>
      <c r="N573">
        <v>1010</v>
      </c>
      <c r="O573" t="s">
        <v>132</v>
      </c>
      <c r="P573" t="s">
        <v>132</v>
      </c>
      <c r="Q573">
        <v>1</v>
      </c>
      <c r="X573">
        <v>2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 t="s">
        <v>6</v>
      </c>
      <c r="AG573">
        <v>2</v>
      </c>
      <c r="AH573">
        <v>3</v>
      </c>
      <c r="AI573">
        <v>-1</v>
      </c>
      <c r="AJ573" t="s">
        <v>6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ROW(Source!A273)</f>
        <v>273</v>
      </c>
      <c r="B574">
        <v>16632456</v>
      </c>
      <c r="C574">
        <v>16632446</v>
      </c>
      <c r="D574">
        <v>15435721</v>
      </c>
      <c r="E574">
        <v>1</v>
      </c>
      <c r="F574">
        <v>1</v>
      </c>
      <c r="G574">
        <v>1</v>
      </c>
      <c r="H574">
        <v>1</v>
      </c>
      <c r="I574" t="s">
        <v>1311</v>
      </c>
      <c r="J574" t="s">
        <v>6</v>
      </c>
      <c r="K574" t="s">
        <v>1312</v>
      </c>
      <c r="L574">
        <v>1191</v>
      </c>
      <c r="N574">
        <v>1013</v>
      </c>
      <c r="O574" t="s">
        <v>1148</v>
      </c>
      <c r="P574" t="s">
        <v>1148</v>
      </c>
      <c r="Q574">
        <v>1</v>
      </c>
      <c r="X574">
        <v>1.66</v>
      </c>
      <c r="Y574">
        <v>0</v>
      </c>
      <c r="Z574">
        <v>0</v>
      </c>
      <c r="AA574">
        <v>0</v>
      </c>
      <c r="AB574">
        <v>9.51</v>
      </c>
      <c r="AC574">
        <v>0</v>
      </c>
      <c r="AD574">
        <v>1</v>
      </c>
      <c r="AE574">
        <v>1</v>
      </c>
      <c r="AF574" t="s">
        <v>82</v>
      </c>
      <c r="AG574">
        <v>1.9089999999999998</v>
      </c>
      <c r="AH574">
        <v>2</v>
      </c>
      <c r="AI574">
        <v>16632447</v>
      </c>
      <c r="AJ574">
        <v>593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ROW(Source!A273)</f>
        <v>273</v>
      </c>
      <c r="B575">
        <v>16632457</v>
      </c>
      <c r="C575">
        <v>16632446</v>
      </c>
      <c r="D575">
        <v>15430395</v>
      </c>
      <c r="E575">
        <v>1</v>
      </c>
      <c r="F575">
        <v>1</v>
      </c>
      <c r="G575">
        <v>1</v>
      </c>
      <c r="H575">
        <v>1</v>
      </c>
      <c r="I575" t="s">
        <v>1149</v>
      </c>
      <c r="J575" t="s">
        <v>6</v>
      </c>
      <c r="K575" t="s">
        <v>1150</v>
      </c>
      <c r="L575">
        <v>1191</v>
      </c>
      <c r="N575">
        <v>1013</v>
      </c>
      <c r="O575" t="s">
        <v>1148</v>
      </c>
      <c r="P575" t="s">
        <v>1148</v>
      </c>
      <c r="Q575">
        <v>1</v>
      </c>
      <c r="X575">
        <v>0.09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1</v>
      </c>
      <c r="AE575">
        <v>2</v>
      </c>
      <c r="AF575" t="s">
        <v>81</v>
      </c>
      <c r="AG575">
        <v>0.11249999999999999</v>
      </c>
      <c r="AH575">
        <v>2</v>
      </c>
      <c r="AI575">
        <v>16632448</v>
      </c>
      <c r="AJ575">
        <v>594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ROW(Source!A273)</f>
        <v>273</v>
      </c>
      <c r="B576">
        <v>16632458</v>
      </c>
      <c r="C576">
        <v>16632446</v>
      </c>
      <c r="D576">
        <v>15247680</v>
      </c>
      <c r="E576">
        <v>1</v>
      </c>
      <c r="F576">
        <v>1</v>
      </c>
      <c r="G576">
        <v>1</v>
      </c>
      <c r="H576">
        <v>2</v>
      </c>
      <c r="I576" t="s">
        <v>1419</v>
      </c>
      <c r="J576" t="s">
        <v>1420</v>
      </c>
      <c r="K576" t="s">
        <v>1421</v>
      </c>
      <c r="L576">
        <v>1368</v>
      </c>
      <c r="N576">
        <v>1011</v>
      </c>
      <c r="O576" t="s">
        <v>1154</v>
      </c>
      <c r="P576" t="s">
        <v>1154</v>
      </c>
      <c r="Q576">
        <v>1</v>
      </c>
      <c r="X576">
        <v>0.02</v>
      </c>
      <c r="Y576">
        <v>0</v>
      </c>
      <c r="Z576">
        <v>111.99</v>
      </c>
      <c r="AA576">
        <v>13.5</v>
      </c>
      <c r="AB576">
        <v>0</v>
      </c>
      <c r="AC576">
        <v>0</v>
      </c>
      <c r="AD576">
        <v>1</v>
      </c>
      <c r="AE576">
        <v>0</v>
      </c>
      <c r="AF576" t="s">
        <v>81</v>
      </c>
      <c r="AG576">
        <v>2.5000000000000001E-2</v>
      </c>
      <c r="AH576">
        <v>2</v>
      </c>
      <c r="AI576">
        <v>16632449</v>
      </c>
      <c r="AJ576">
        <v>595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ROW(Source!A273)</f>
        <v>273</v>
      </c>
      <c r="B577">
        <v>16632459</v>
      </c>
      <c r="C577">
        <v>16632446</v>
      </c>
      <c r="D577">
        <v>15249073</v>
      </c>
      <c r="E577">
        <v>1</v>
      </c>
      <c r="F577">
        <v>1</v>
      </c>
      <c r="G577">
        <v>1</v>
      </c>
      <c r="H577">
        <v>2</v>
      </c>
      <c r="I577" t="s">
        <v>1157</v>
      </c>
      <c r="J577" t="s">
        <v>1158</v>
      </c>
      <c r="K577" t="s">
        <v>1159</v>
      </c>
      <c r="L577">
        <v>1368</v>
      </c>
      <c r="N577">
        <v>1011</v>
      </c>
      <c r="O577" t="s">
        <v>1154</v>
      </c>
      <c r="P577" t="s">
        <v>1154</v>
      </c>
      <c r="Q577">
        <v>1</v>
      </c>
      <c r="X577">
        <v>7.0000000000000007E-2</v>
      </c>
      <c r="Y577">
        <v>0</v>
      </c>
      <c r="Z577">
        <v>65.709999999999994</v>
      </c>
      <c r="AA577">
        <v>11.6</v>
      </c>
      <c r="AB577">
        <v>0</v>
      </c>
      <c r="AC577">
        <v>0</v>
      </c>
      <c r="AD577">
        <v>1</v>
      </c>
      <c r="AE577">
        <v>0</v>
      </c>
      <c r="AF577" t="s">
        <v>81</v>
      </c>
      <c r="AG577">
        <v>8.7500000000000008E-2</v>
      </c>
      <c r="AH577">
        <v>2</v>
      </c>
      <c r="AI577">
        <v>16632450</v>
      </c>
      <c r="AJ577">
        <v>596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ROW(Source!A273)</f>
        <v>273</v>
      </c>
      <c r="B578">
        <v>16632460</v>
      </c>
      <c r="C578">
        <v>16632446</v>
      </c>
      <c r="D578">
        <v>15165268</v>
      </c>
      <c r="E578">
        <v>1</v>
      </c>
      <c r="F578">
        <v>1</v>
      </c>
      <c r="G578">
        <v>1</v>
      </c>
      <c r="H578">
        <v>3</v>
      </c>
      <c r="I578" t="s">
        <v>1566</v>
      </c>
      <c r="J578" t="s">
        <v>1567</v>
      </c>
      <c r="K578" t="s">
        <v>1568</v>
      </c>
      <c r="L578">
        <v>1356</v>
      </c>
      <c r="N578">
        <v>1010</v>
      </c>
      <c r="O578" t="s">
        <v>278</v>
      </c>
      <c r="P578" t="s">
        <v>278</v>
      </c>
      <c r="Q578">
        <v>1000</v>
      </c>
      <c r="X578">
        <v>1E-3</v>
      </c>
      <c r="Y578">
        <v>5650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6</v>
      </c>
      <c r="AG578">
        <v>1E-3</v>
      </c>
      <c r="AH578">
        <v>2</v>
      </c>
      <c r="AI578">
        <v>16632451</v>
      </c>
      <c r="AJ578">
        <v>597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ROW(Source!A273)</f>
        <v>273</v>
      </c>
      <c r="B579">
        <v>16632461</v>
      </c>
      <c r="C579">
        <v>16632446</v>
      </c>
      <c r="D579">
        <v>15167963</v>
      </c>
      <c r="E579">
        <v>1</v>
      </c>
      <c r="F579">
        <v>1</v>
      </c>
      <c r="G579">
        <v>1</v>
      </c>
      <c r="H579">
        <v>3</v>
      </c>
      <c r="I579" t="s">
        <v>1533</v>
      </c>
      <c r="J579" t="s">
        <v>1534</v>
      </c>
      <c r="K579" t="s">
        <v>1535</v>
      </c>
      <c r="L579">
        <v>1346</v>
      </c>
      <c r="N579">
        <v>1009</v>
      </c>
      <c r="O579" t="s">
        <v>102</v>
      </c>
      <c r="P579" t="s">
        <v>102</v>
      </c>
      <c r="Q579">
        <v>1</v>
      </c>
      <c r="X579">
        <v>0.04</v>
      </c>
      <c r="Y579">
        <v>37.29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6</v>
      </c>
      <c r="AG579">
        <v>0.04</v>
      </c>
      <c r="AH579">
        <v>2</v>
      </c>
      <c r="AI579">
        <v>16632452</v>
      </c>
      <c r="AJ579">
        <v>598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ROW(Source!A273)</f>
        <v>273</v>
      </c>
      <c r="B580">
        <v>16632462</v>
      </c>
      <c r="C580">
        <v>16632446</v>
      </c>
      <c r="D580">
        <v>15203740</v>
      </c>
      <c r="E580">
        <v>1</v>
      </c>
      <c r="F580">
        <v>1</v>
      </c>
      <c r="G580">
        <v>1</v>
      </c>
      <c r="H580">
        <v>3</v>
      </c>
      <c r="I580" t="s">
        <v>1542</v>
      </c>
      <c r="J580" t="s">
        <v>1543</v>
      </c>
      <c r="K580" t="s">
        <v>1544</v>
      </c>
      <c r="L580">
        <v>1348</v>
      </c>
      <c r="N580">
        <v>1009</v>
      </c>
      <c r="O580" t="s">
        <v>98</v>
      </c>
      <c r="P580" t="s">
        <v>98</v>
      </c>
      <c r="Q580">
        <v>1000</v>
      </c>
      <c r="X580">
        <v>6.9999999999999994E-5</v>
      </c>
      <c r="Y580">
        <v>15119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6</v>
      </c>
      <c r="AG580">
        <v>6.9999999999999994E-5</v>
      </c>
      <c r="AH580">
        <v>2</v>
      </c>
      <c r="AI580">
        <v>16632453</v>
      </c>
      <c r="AJ580">
        <v>599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ROW(Source!A273)</f>
        <v>273</v>
      </c>
      <c r="B581">
        <v>16632463</v>
      </c>
      <c r="C581">
        <v>16632446</v>
      </c>
      <c r="D581">
        <v>15204468</v>
      </c>
      <c r="E581">
        <v>1</v>
      </c>
      <c r="F581">
        <v>1</v>
      </c>
      <c r="G581">
        <v>1</v>
      </c>
      <c r="H581">
        <v>3</v>
      </c>
      <c r="I581" t="s">
        <v>1545</v>
      </c>
      <c r="J581" t="s">
        <v>1546</v>
      </c>
      <c r="K581" t="s">
        <v>1547</v>
      </c>
      <c r="L581">
        <v>1348</v>
      </c>
      <c r="N581">
        <v>1009</v>
      </c>
      <c r="O581" t="s">
        <v>98</v>
      </c>
      <c r="P581" t="s">
        <v>98</v>
      </c>
      <c r="Q581">
        <v>1000</v>
      </c>
      <c r="X581">
        <v>4.0000000000000003E-5</v>
      </c>
      <c r="Y581">
        <v>16950</v>
      </c>
      <c r="Z581">
        <v>0</v>
      </c>
      <c r="AA581">
        <v>0</v>
      </c>
      <c r="AB581">
        <v>0</v>
      </c>
      <c r="AC581">
        <v>0</v>
      </c>
      <c r="AD581">
        <v>1</v>
      </c>
      <c r="AE581">
        <v>0</v>
      </c>
      <c r="AF581" t="s">
        <v>6</v>
      </c>
      <c r="AG581">
        <v>4.0000000000000003E-5</v>
      </c>
      <c r="AH581">
        <v>2</v>
      </c>
      <c r="AI581">
        <v>16632454</v>
      </c>
      <c r="AJ581">
        <v>600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ROW(Source!A273)</f>
        <v>273</v>
      </c>
      <c r="B582">
        <v>16632464</v>
      </c>
      <c r="C582">
        <v>16632446</v>
      </c>
      <c r="D582">
        <v>15163266</v>
      </c>
      <c r="E582">
        <v>17</v>
      </c>
      <c r="F582">
        <v>1</v>
      </c>
      <c r="G582">
        <v>1</v>
      </c>
      <c r="H582">
        <v>3</v>
      </c>
      <c r="I582" t="s">
        <v>1724</v>
      </c>
      <c r="J582" t="s">
        <v>6</v>
      </c>
      <c r="K582" t="s">
        <v>1725</v>
      </c>
      <c r="L582">
        <v>1354</v>
      </c>
      <c r="N582">
        <v>1010</v>
      </c>
      <c r="O582" t="s">
        <v>132</v>
      </c>
      <c r="P582" t="s">
        <v>132</v>
      </c>
      <c r="Q582">
        <v>1</v>
      </c>
      <c r="X582">
        <v>1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 t="s">
        <v>6</v>
      </c>
      <c r="AG582">
        <v>1</v>
      </c>
      <c r="AH582">
        <v>3</v>
      </c>
      <c r="AI582">
        <v>-1</v>
      </c>
      <c r="AJ582" t="s">
        <v>6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ROW(Source!A273)</f>
        <v>273</v>
      </c>
      <c r="B583">
        <v>16632465</v>
      </c>
      <c r="C583">
        <v>16632446</v>
      </c>
      <c r="D583">
        <v>15161732</v>
      </c>
      <c r="E583">
        <v>17</v>
      </c>
      <c r="F583">
        <v>1</v>
      </c>
      <c r="G583">
        <v>1</v>
      </c>
      <c r="H583">
        <v>3</v>
      </c>
      <c r="I583" t="s">
        <v>1722</v>
      </c>
      <c r="J583" t="s">
        <v>6</v>
      </c>
      <c r="K583" t="s">
        <v>1723</v>
      </c>
      <c r="L583">
        <v>1354</v>
      </c>
      <c r="N583">
        <v>1010</v>
      </c>
      <c r="O583" t="s">
        <v>132</v>
      </c>
      <c r="P583" t="s">
        <v>132</v>
      </c>
      <c r="Q583">
        <v>1</v>
      </c>
      <c r="X583">
        <v>1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 t="s">
        <v>6</v>
      </c>
      <c r="AG583">
        <v>1</v>
      </c>
      <c r="AH583">
        <v>3</v>
      </c>
      <c r="AI583">
        <v>-1</v>
      </c>
      <c r="AJ583" t="s">
        <v>6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ROW(Source!A275)</f>
        <v>275</v>
      </c>
      <c r="B584">
        <v>16632477</v>
      </c>
      <c r="C584">
        <v>16632467</v>
      </c>
      <c r="D584">
        <v>15446300</v>
      </c>
      <c r="E584">
        <v>1</v>
      </c>
      <c r="F584">
        <v>1</v>
      </c>
      <c r="G584">
        <v>1</v>
      </c>
      <c r="H584">
        <v>1</v>
      </c>
      <c r="I584" t="s">
        <v>1220</v>
      </c>
      <c r="J584" t="s">
        <v>6</v>
      </c>
      <c r="K584" t="s">
        <v>1221</v>
      </c>
      <c r="L584">
        <v>1191</v>
      </c>
      <c r="N584">
        <v>1013</v>
      </c>
      <c r="O584" t="s">
        <v>1148</v>
      </c>
      <c r="P584" t="s">
        <v>1148</v>
      </c>
      <c r="Q584">
        <v>1</v>
      </c>
      <c r="X584">
        <v>4.46</v>
      </c>
      <c r="Y584">
        <v>0</v>
      </c>
      <c r="Z584">
        <v>0</v>
      </c>
      <c r="AA584">
        <v>0</v>
      </c>
      <c r="AB584">
        <v>9.92</v>
      </c>
      <c r="AC584">
        <v>0</v>
      </c>
      <c r="AD584">
        <v>1</v>
      </c>
      <c r="AE584">
        <v>1</v>
      </c>
      <c r="AF584" t="s">
        <v>82</v>
      </c>
      <c r="AG584">
        <v>5.1289999999999996</v>
      </c>
      <c r="AH584">
        <v>2</v>
      </c>
      <c r="AI584">
        <v>16632468</v>
      </c>
      <c r="AJ584">
        <v>602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ROW(Source!A275)</f>
        <v>275</v>
      </c>
      <c r="B585">
        <v>16632478</v>
      </c>
      <c r="C585">
        <v>16632467</v>
      </c>
      <c r="D585">
        <v>15430395</v>
      </c>
      <c r="E585">
        <v>1</v>
      </c>
      <c r="F585">
        <v>1</v>
      </c>
      <c r="G585">
        <v>1</v>
      </c>
      <c r="H585">
        <v>1</v>
      </c>
      <c r="I585" t="s">
        <v>1149</v>
      </c>
      <c r="J585" t="s">
        <v>6</v>
      </c>
      <c r="K585" t="s">
        <v>1150</v>
      </c>
      <c r="L585">
        <v>1191</v>
      </c>
      <c r="N585">
        <v>1013</v>
      </c>
      <c r="O585" t="s">
        <v>1148</v>
      </c>
      <c r="P585" t="s">
        <v>1148</v>
      </c>
      <c r="Q585">
        <v>1</v>
      </c>
      <c r="X585">
        <v>0.01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1</v>
      </c>
      <c r="AE585">
        <v>2</v>
      </c>
      <c r="AF585" t="s">
        <v>81</v>
      </c>
      <c r="AG585">
        <v>1.2500000000000001E-2</v>
      </c>
      <c r="AH585">
        <v>2</v>
      </c>
      <c r="AI585">
        <v>16632469</v>
      </c>
      <c r="AJ585">
        <v>603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ROW(Source!A275)</f>
        <v>275</v>
      </c>
      <c r="B586">
        <v>16632479</v>
      </c>
      <c r="C586">
        <v>16632467</v>
      </c>
      <c r="D586">
        <v>15249073</v>
      </c>
      <c r="E586">
        <v>1</v>
      </c>
      <c r="F586">
        <v>1</v>
      </c>
      <c r="G586">
        <v>1</v>
      </c>
      <c r="H586">
        <v>2</v>
      </c>
      <c r="I586" t="s">
        <v>1157</v>
      </c>
      <c r="J586" t="s">
        <v>1158</v>
      </c>
      <c r="K586" t="s">
        <v>1159</v>
      </c>
      <c r="L586">
        <v>1368</v>
      </c>
      <c r="N586">
        <v>1011</v>
      </c>
      <c r="O586" t="s">
        <v>1154</v>
      </c>
      <c r="P586" t="s">
        <v>1154</v>
      </c>
      <c r="Q586">
        <v>1</v>
      </c>
      <c r="X586">
        <v>0.01</v>
      </c>
      <c r="Y586">
        <v>0</v>
      </c>
      <c r="Z586">
        <v>65.709999999999994</v>
      </c>
      <c r="AA586">
        <v>11.6</v>
      </c>
      <c r="AB586">
        <v>0</v>
      </c>
      <c r="AC586">
        <v>0</v>
      </c>
      <c r="AD586">
        <v>1</v>
      </c>
      <c r="AE586">
        <v>0</v>
      </c>
      <c r="AF586" t="s">
        <v>81</v>
      </c>
      <c r="AG586">
        <v>1.2500000000000001E-2</v>
      </c>
      <c r="AH586">
        <v>2</v>
      </c>
      <c r="AI586">
        <v>16632470</v>
      </c>
      <c r="AJ586">
        <v>604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ROW(Source!A275)</f>
        <v>275</v>
      </c>
      <c r="B587">
        <v>16632480</v>
      </c>
      <c r="C587">
        <v>16632467</v>
      </c>
      <c r="D587">
        <v>15249308</v>
      </c>
      <c r="E587">
        <v>1</v>
      </c>
      <c r="F587">
        <v>1</v>
      </c>
      <c r="G587">
        <v>1</v>
      </c>
      <c r="H587">
        <v>2</v>
      </c>
      <c r="I587" t="s">
        <v>1521</v>
      </c>
      <c r="J587" t="s">
        <v>1522</v>
      </c>
      <c r="K587" t="s">
        <v>1523</v>
      </c>
      <c r="L587">
        <v>1368</v>
      </c>
      <c r="N587">
        <v>1011</v>
      </c>
      <c r="O587" t="s">
        <v>1154</v>
      </c>
      <c r="P587" t="s">
        <v>1154</v>
      </c>
      <c r="Q587">
        <v>1</v>
      </c>
      <c r="X587">
        <v>0.49</v>
      </c>
      <c r="Y587">
        <v>0</v>
      </c>
      <c r="Z587">
        <v>1.2</v>
      </c>
      <c r="AA587">
        <v>0</v>
      </c>
      <c r="AB587">
        <v>0</v>
      </c>
      <c r="AC587">
        <v>0</v>
      </c>
      <c r="AD587">
        <v>1</v>
      </c>
      <c r="AE587">
        <v>0</v>
      </c>
      <c r="AF587" t="s">
        <v>81</v>
      </c>
      <c r="AG587">
        <v>0.61250000000000004</v>
      </c>
      <c r="AH587">
        <v>2</v>
      </c>
      <c r="AI587">
        <v>16632471</v>
      </c>
      <c r="AJ587">
        <v>605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ROW(Source!A275)</f>
        <v>275</v>
      </c>
      <c r="B588">
        <v>16632481</v>
      </c>
      <c r="C588">
        <v>16632467</v>
      </c>
      <c r="D588">
        <v>15249377</v>
      </c>
      <c r="E588">
        <v>1</v>
      </c>
      <c r="F588">
        <v>1</v>
      </c>
      <c r="G588">
        <v>1</v>
      </c>
      <c r="H588">
        <v>2</v>
      </c>
      <c r="I588" t="s">
        <v>1222</v>
      </c>
      <c r="J588" t="s">
        <v>1223</v>
      </c>
      <c r="K588" t="s">
        <v>1224</v>
      </c>
      <c r="L588">
        <v>1368</v>
      </c>
      <c r="N588">
        <v>1011</v>
      </c>
      <c r="O588" t="s">
        <v>1154</v>
      </c>
      <c r="P588" t="s">
        <v>1154</v>
      </c>
      <c r="Q588">
        <v>1</v>
      </c>
      <c r="X588">
        <v>0.43</v>
      </c>
      <c r="Y588">
        <v>0</v>
      </c>
      <c r="Z588">
        <v>8.1</v>
      </c>
      <c r="AA588">
        <v>0</v>
      </c>
      <c r="AB588">
        <v>0</v>
      </c>
      <c r="AC588">
        <v>0</v>
      </c>
      <c r="AD588">
        <v>1</v>
      </c>
      <c r="AE588">
        <v>0</v>
      </c>
      <c r="AF588" t="s">
        <v>81</v>
      </c>
      <c r="AG588">
        <v>0.53749999999999998</v>
      </c>
      <c r="AH588">
        <v>2</v>
      </c>
      <c r="AI588">
        <v>16632472</v>
      </c>
      <c r="AJ588">
        <v>606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ROW(Source!A275)</f>
        <v>275</v>
      </c>
      <c r="B589">
        <v>16632482</v>
      </c>
      <c r="C589">
        <v>16632467</v>
      </c>
      <c r="D589">
        <v>15165634</v>
      </c>
      <c r="E589">
        <v>1</v>
      </c>
      <c r="F589">
        <v>1</v>
      </c>
      <c r="G589">
        <v>1</v>
      </c>
      <c r="H589">
        <v>3</v>
      </c>
      <c r="I589" t="s">
        <v>1524</v>
      </c>
      <c r="J589" t="s">
        <v>1525</v>
      </c>
      <c r="K589" t="s">
        <v>1526</v>
      </c>
      <c r="L589">
        <v>1339</v>
      </c>
      <c r="N589">
        <v>1007</v>
      </c>
      <c r="O589" t="s">
        <v>203</v>
      </c>
      <c r="P589" t="s">
        <v>203</v>
      </c>
      <c r="Q589">
        <v>1</v>
      </c>
      <c r="X589">
        <v>8.3999999999999995E-3</v>
      </c>
      <c r="Y589">
        <v>38.51</v>
      </c>
      <c r="Z589">
        <v>0</v>
      </c>
      <c r="AA589">
        <v>0</v>
      </c>
      <c r="AB589">
        <v>0</v>
      </c>
      <c r="AC589">
        <v>0</v>
      </c>
      <c r="AD589">
        <v>1</v>
      </c>
      <c r="AE589">
        <v>0</v>
      </c>
      <c r="AF589" t="s">
        <v>6</v>
      </c>
      <c r="AG589">
        <v>8.3999999999999995E-3</v>
      </c>
      <c r="AH589">
        <v>2</v>
      </c>
      <c r="AI589">
        <v>16632473</v>
      </c>
      <c r="AJ589">
        <v>607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ROW(Source!A275)</f>
        <v>275</v>
      </c>
      <c r="B590">
        <v>16632483</v>
      </c>
      <c r="C590">
        <v>16632467</v>
      </c>
      <c r="D590">
        <v>15165653</v>
      </c>
      <c r="E590">
        <v>1</v>
      </c>
      <c r="F590">
        <v>1</v>
      </c>
      <c r="G590">
        <v>1</v>
      </c>
      <c r="H590">
        <v>3</v>
      </c>
      <c r="I590" t="s">
        <v>1527</v>
      </c>
      <c r="J590" t="s">
        <v>1528</v>
      </c>
      <c r="K590" t="s">
        <v>1529</v>
      </c>
      <c r="L590">
        <v>1339</v>
      </c>
      <c r="N590">
        <v>1007</v>
      </c>
      <c r="O590" t="s">
        <v>203</v>
      </c>
      <c r="P590" t="s">
        <v>203</v>
      </c>
      <c r="Q590">
        <v>1</v>
      </c>
      <c r="X590">
        <v>3.6999999999999998E-2</v>
      </c>
      <c r="Y590">
        <v>6.22</v>
      </c>
      <c r="Z590">
        <v>0</v>
      </c>
      <c r="AA590">
        <v>0</v>
      </c>
      <c r="AB590">
        <v>0</v>
      </c>
      <c r="AC590">
        <v>0</v>
      </c>
      <c r="AD590">
        <v>1</v>
      </c>
      <c r="AE590">
        <v>0</v>
      </c>
      <c r="AF590" t="s">
        <v>6</v>
      </c>
      <c r="AG590">
        <v>3.6999999999999998E-2</v>
      </c>
      <c r="AH590">
        <v>2</v>
      </c>
      <c r="AI590">
        <v>16632474</v>
      </c>
      <c r="AJ590">
        <v>608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ROW(Source!A275)</f>
        <v>275</v>
      </c>
      <c r="B591">
        <v>16632484</v>
      </c>
      <c r="C591">
        <v>16632467</v>
      </c>
      <c r="D591">
        <v>15168763</v>
      </c>
      <c r="E591">
        <v>1</v>
      </c>
      <c r="F591">
        <v>1</v>
      </c>
      <c r="G591">
        <v>1</v>
      </c>
      <c r="H591">
        <v>3</v>
      </c>
      <c r="I591" t="s">
        <v>1560</v>
      </c>
      <c r="J591" t="s">
        <v>1561</v>
      </c>
      <c r="K591" t="s">
        <v>1562</v>
      </c>
      <c r="L591">
        <v>1348</v>
      </c>
      <c r="N591">
        <v>1009</v>
      </c>
      <c r="O591" t="s">
        <v>98</v>
      </c>
      <c r="P591" t="s">
        <v>98</v>
      </c>
      <c r="Q591">
        <v>1000</v>
      </c>
      <c r="X591">
        <v>1.4999999999999999E-4</v>
      </c>
      <c r="Y591">
        <v>10362</v>
      </c>
      <c r="Z591">
        <v>0</v>
      </c>
      <c r="AA591">
        <v>0</v>
      </c>
      <c r="AB591">
        <v>0</v>
      </c>
      <c r="AC591">
        <v>0</v>
      </c>
      <c r="AD591">
        <v>1</v>
      </c>
      <c r="AE591">
        <v>0</v>
      </c>
      <c r="AF591" t="s">
        <v>6</v>
      </c>
      <c r="AG591">
        <v>1.4999999999999999E-4</v>
      </c>
      <c r="AH591">
        <v>2</v>
      </c>
      <c r="AI591">
        <v>16632475</v>
      </c>
      <c r="AJ591">
        <v>609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ROW(Source!A275)</f>
        <v>275</v>
      </c>
      <c r="B592">
        <v>16632485</v>
      </c>
      <c r="C592">
        <v>16632467</v>
      </c>
      <c r="D592">
        <v>15162883</v>
      </c>
      <c r="E592">
        <v>17</v>
      </c>
      <c r="F592">
        <v>1</v>
      </c>
      <c r="G592">
        <v>1</v>
      </c>
      <c r="H592">
        <v>3</v>
      </c>
      <c r="I592" t="s">
        <v>1715</v>
      </c>
      <c r="J592" t="s">
        <v>6</v>
      </c>
      <c r="K592" t="s">
        <v>1716</v>
      </c>
      <c r="L592">
        <v>1354</v>
      </c>
      <c r="N592">
        <v>1010</v>
      </c>
      <c r="O592" t="s">
        <v>132</v>
      </c>
      <c r="P592" t="s">
        <v>132</v>
      </c>
      <c r="Q592">
        <v>1</v>
      </c>
      <c r="X592">
        <v>1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 t="s">
        <v>6</v>
      </c>
      <c r="AG592">
        <v>1</v>
      </c>
      <c r="AH592">
        <v>3</v>
      </c>
      <c r="AI592">
        <v>-1</v>
      </c>
      <c r="AJ592" t="s">
        <v>6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ROW(Source!A275)</f>
        <v>275</v>
      </c>
      <c r="B593">
        <v>16632486</v>
      </c>
      <c r="C593">
        <v>16632467</v>
      </c>
      <c r="D593">
        <v>15227602</v>
      </c>
      <c r="E593">
        <v>1</v>
      </c>
      <c r="F593">
        <v>1</v>
      </c>
      <c r="G593">
        <v>1</v>
      </c>
      <c r="H593">
        <v>3</v>
      </c>
      <c r="I593" t="s">
        <v>1569</v>
      </c>
      <c r="J593" t="s">
        <v>1570</v>
      </c>
      <c r="K593" t="s">
        <v>1571</v>
      </c>
      <c r="L593">
        <v>1301</v>
      </c>
      <c r="N593">
        <v>1003</v>
      </c>
      <c r="O593" t="s">
        <v>150</v>
      </c>
      <c r="P593" t="s">
        <v>150</v>
      </c>
      <c r="Q593">
        <v>1</v>
      </c>
      <c r="X593">
        <v>0.4</v>
      </c>
      <c r="Y593">
        <v>31.2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6</v>
      </c>
      <c r="AG593">
        <v>0.4</v>
      </c>
      <c r="AH593">
        <v>2</v>
      </c>
      <c r="AI593">
        <v>16632476</v>
      </c>
      <c r="AJ593">
        <v>610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ROW(Source!A276)</f>
        <v>276</v>
      </c>
      <c r="B594">
        <v>16632494</v>
      </c>
      <c r="C594">
        <v>16632487</v>
      </c>
      <c r="D594">
        <v>15478831</v>
      </c>
      <c r="E594">
        <v>1</v>
      </c>
      <c r="F594">
        <v>1</v>
      </c>
      <c r="G594">
        <v>1</v>
      </c>
      <c r="H594">
        <v>1</v>
      </c>
      <c r="I594" t="s">
        <v>1572</v>
      </c>
      <c r="J594" t="s">
        <v>6</v>
      </c>
      <c r="K594" t="s">
        <v>1573</v>
      </c>
      <c r="L594">
        <v>1191</v>
      </c>
      <c r="N594">
        <v>1013</v>
      </c>
      <c r="O594" t="s">
        <v>1148</v>
      </c>
      <c r="P594" t="s">
        <v>1148</v>
      </c>
      <c r="Q594">
        <v>1</v>
      </c>
      <c r="X594">
        <v>5.01</v>
      </c>
      <c r="Y594">
        <v>0</v>
      </c>
      <c r="Z594">
        <v>0</v>
      </c>
      <c r="AA594">
        <v>0</v>
      </c>
      <c r="AB594">
        <v>11.64</v>
      </c>
      <c r="AC594">
        <v>0</v>
      </c>
      <c r="AD594">
        <v>1</v>
      </c>
      <c r="AE594">
        <v>1</v>
      </c>
      <c r="AF594" t="s">
        <v>82</v>
      </c>
      <c r="AG594">
        <v>5.761499999999999</v>
      </c>
      <c r="AH594">
        <v>2</v>
      </c>
      <c r="AI594">
        <v>16632488</v>
      </c>
      <c r="AJ594">
        <v>611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ROW(Source!A276)</f>
        <v>276</v>
      </c>
      <c r="B595">
        <v>16632495</v>
      </c>
      <c r="C595">
        <v>16632487</v>
      </c>
      <c r="D595">
        <v>15248793</v>
      </c>
      <c r="E595">
        <v>1</v>
      </c>
      <c r="F595">
        <v>1</v>
      </c>
      <c r="G595">
        <v>1</v>
      </c>
      <c r="H595">
        <v>2</v>
      </c>
      <c r="I595" t="s">
        <v>1548</v>
      </c>
      <c r="J595" t="s">
        <v>1549</v>
      </c>
      <c r="K595" t="s">
        <v>1550</v>
      </c>
      <c r="L595">
        <v>1368</v>
      </c>
      <c r="N595">
        <v>1011</v>
      </c>
      <c r="O595" t="s">
        <v>1154</v>
      </c>
      <c r="P595" t="s">
        <v>1154</v>
      </c>
      <c r="Q595">
        <v>1</v>
      </c>
      <c r="X595">
        <v>1.5</v>
      </c>
      <c r="Y595">
        <v>0</v>
      </c>
      <c r="Z595">
        <v>29.67</v>
      </c>
      <c r="AA595">
        <v>0</v>
      </c>
      <c r="AB595">
        <v>0</v>
      </c>
      <c r="AC595">
        <v>0</v>
      </c>
      <c r="AD595">
        <v>1</v>
      </c>
      <c r="AE595">
        <v>0</v>
      </c>
      <c r="AF595" t="s">
        <v>81</v>
      </c>
      <c r="AG595">
        <v>1.875</v>
      </c>
      <c r="AH595">
        <v>2</v>
      </c>
      <c r="AI595">
        <v>16632489</v>
      </c>
      <c r="AJ595">
        <v>612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ROW(Source!A276)</f>
        <v>276</v>
      </c>
      <c r="B596">
        <v>16632496</v>
      </c>
      <c r="C596">
        <v>16632487</v>
      </c>
      <c r="D596">
        <v>15167286</v>
      </c>
      <c r="E596">
        <v>1</v>
      </c>
      <c r="F596">
        <v>1</v>
      </c>
      <c r="G596">
        <v>1</v>
      </c>
      <c r="H596">
        <v>3</v>
      </c>
      <c r="I596" t="s">
        <v>1265</v>
      </c>
      <c r="J596" t="s">
        <v>1266</v>
      </c>
      <c r="K596" t="s">
        <v>1267</v>
      </c>
      <c r="L596">
        <v>1339</v>
      </c>
      <c r="N596">
        <v>1007</v>
      </c>
      <c r="O596" t="s">
        <v>203</v>
      </c>
      <c r="P596" t="s">
        <v>203</v>
      </c>
      <c r="Q596">
        <v>1</v>
      </c>
      <c r="X596">
        <v>1</v>
      </c>
      <c r="Y596">
        <v>2.44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0</v>
      </c>
      <c r="AF596" t="s">
        <v>6</v>
      </c>
      <c r="AG596">
        <v>1</v>
      </c>
      <c r="AH596">
        <v>2</v>
      </c>
      <c r="AI596">
        <v>16632490</v>
      </c>
      <c r="AJ596">
        <v>613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ROW(Source!A276)</f>
        <v>276</v>
      </c>
      <c r="B597">
        <v>16632497</v>
      </c>
      <c r="C597">
        <v>16632487</v>
      </c>
      <c r="D597">
        <v>15167963</v>
      </c>
      <c r="E597">
        <v>1</v>
      </c>
      <c r="F597">
        <v>1</v>
      </c>
      <c r="G597">
        <v>1</v>
      </c>
      <c r="H597">
        <v>3</v>
      </c>
      <c r="I597" t="s">
        <v>1533</v>
      </c>
      <c r="J597" t="s">
        <v>1534</v>
      </c>
      <c r="K597" t="s">
        <v>1535</v>
      </c>
      <c r="L597">
        <v>1346</v>
      </c>
      <c r="N597">
        <v>1009</v>
      </c>
      <c r="O597" t="s">
        <v>102</v>
      </c>
      <c r="P597" t="s">
        <v>102</v>
      </c>
      <c r="Q597">
        <v>1</v>
      </c>
      <c r="X597">
        <v>0.02</v>
      </c>
      <c r="Y597">
        <v>37.29</v>
      </c>
      <c r="Z597">
        <v>0</v>
      </c>
      <c r="AA597">
        <v>0</v>
      </c>
      <c r="AB597">
        <v>0</v>
      </c>
      <c r="AC597">
        <v>0</v>
      </c>
      <c r="AD597">
        <v>1</v>
      </c>
      <c r="AE597">
        <v>0</v>
      </c>
      <c r="AF597" t="s">
        <v>6</v>
      </c>
      <c r="AG597">
        <v>0.02</v>
      </c>
      <c r="AH597">
        <v>2</v>
      </c>
      <c r="AI597">
        <v>16632491</v>
      </c>
      <c r="AJ597">
        <v>614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ROW(Source!A276)</f>
        <v>276</v>
      </c>
      <c r="B598">
        <v>16632498</v>
      </c>
      <c r="C598">
        <v>16632487</v>
      </c>
      <c r="D598">
        <v>15203740</v>
      </c>
      <c r="E598">
        <v>1</v>
      </c>
      <c r="F598">
        <v>1</v>
      </c>
      <c r="G598">
        <v>1</v>
      </c>
      <c r="H598">
        <v>3</v>
      </c>
      <c r="I598" t="s">
        <v>1542</v>
      </c>
      <c r="J598" t="s">
        <v>1543</v>
      </c>
      <c r="K598" t="s">
        <v>1544</v>
      </c>
      <c r="L598">
        <v>1348</v>
      </c>
      <c r="N598">
        <v>1009</v>
      </c>
      <c r="O598" t="s">
        <v>98</v>
      </c>
      <c r="P598" t="s">
        <v>98</v>
      </c>
      <c r="Q598">
        <v>1000</v>
      </c>
      <c r="X598">
        <v>5.0000000000000002E-5</v>
      </c>
      <c r="Y598">
        <v>15119</v>
      </c>
      <c r="Z598">
        <v>0</v>
      </c>
      <c r="AA598">
        <v>0</v>
      </c>
      <c r="AB598">
        <v>0</v>
      </c>
      <c r="AC598">
        <v>0</v>
      </c>
      <c r="AD598">
        <v>1</v>
      </c>
      <c r="AE598">
        <v>0</v>
      </c>
      <c r="AF598" t="s">
        <v>6</v>
      </c>
      <c r="AG598">
        <v>5.0000000000000002E-5</v>
      </c>
      <c r="AH598">
        <v>2</v>
      </c>
      <c r="AI598">
        <v>16632492</v>
      </c>
      <c r="AJ598">
        <v>615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ROW(Source!A276)</f>
        <v>276</v>
      </c>
      <c r="B599">
        <v>16632499</v>
      </c>
      <c r="C599">
        <v>16632487</v>
      </c>
      <c r="D599">
        <v>15204468</v>
      </c>
      <c r="E599">
        <v>1</v>
      </c>
      <c r="F599">
        <v>1</v>
      </c>
      <c r="G599">
        <v>1</v>
      </c>
      <c r="H599">
        <v>3</v>
      </c>
      <c r="I599" t="s">
        <v>1545</v>
      </c>
      <c r="J599" t="s">
        <v>1546</v>
      </c>
      <c r="K599" t="s">
        <v>1547</v>
      </c>
      <c r="L599">
        <v>1348</v>
      </c>
      <c r="N599">
        <v>1009</v>
      </c>
      <c r="O599" t="s">
        <v>98</v>
      </c>
      <c r="P599" t="s">
        <v>98</v>
      </c>
      <c r="Q599">
        <v>1000</v>
      </c>
      <c r="X599">
        <v>2.0000000000000002E-5</v>
      </c>
      <c r="Y599">
        <v>16950</v>
      </c>
      <c r="Z599">
        <v>0</v>
      </c>
      <c r="AA599">
        <v>0</v>
      </c>
      <c r="AB599">
        <v>0</v>
      </c>
      <c r="AC599">
        <v>0</v>
      </c>
      <c r="AD599">
        <v>1</v>
      </c>
      <c r="AE599">
        <v>0</v>
      </c>
      <c r="AF599" t="s">
        <v>6</v>
      </c>
      <c r="AG599">
        <v>2.0000000000000002E-5</v>
      </c>
      <c r="AH599">
        <v>2</v>
      </c>
      <c r="AI599">
        <v>16632493</v>
      </c>
      <c r="AJ599">
        <v>616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ROW(Source!A277)</f>
        <v>277</v>
      </c>
      <c r="B600">
        <v>16632513</v>
      </c>
      <c r="C600">
        <v>16632500</v>
      </c>
      <c r="D600">
        <v>15436014</v>
      </c>
      <c r="E600">
        <v>1</v>
      </c>
      <c r="F600">
        <v>1</v>
      </c>
      <c r="G600">
        <v>1</v>
      </c>
      <c r="H600">
        <v>1</v>
      </c>
      <c r="I600" t="s">
        <v>1181</v>
      </c>
      <c r="J600" t="s">
        <v>6</v>
      </c>
      <c r="K600" t="s">
        <v>1182</v>
      </c>
      <c r="L600">
        <v>1191</v>
      </c>
      <c r="N600">
        <v>1013</v>
      </c>
      <c r="O600" t="s">
        <v>1148</v>
      </c>
      <c r="P600" t="s">
        <v>1148</v>
      </c>
      <c r="Q600">
        <v>1</v>
      </c>
      <c r="X600">
        <v>167.86</v>
      </c>
      <c r="Y600">
        <v>0</v>
      </c>
      <c r="Z600">
        <v>0</v>
      </c>
      <c r="AA600">
        <v>0</v>
      </c>
      <c r="AB600">
        <v>8.74</v>
      </c>
      <c r="AC600">
        <v>0</v>
      </c>
      <c r="AD600">
        <v>1</v>
      </c>
      <c r="AE600">
        <v>1</v>
      </c>
      <c r="AF600" t="s">
        <v>82</v>
      </c>
      <c r="AG600">
        <v>193.03899999999999</v>
      </c>
      <c r="AH600">
        <v>2</v>
      </c>
      <c r="AI600">
        <v>16632501</v>
      </c>
      <c r="AJ600">
        <v>617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ROW(Source!A277)</f>
        <v>277</v>
      </c>
      <c r="B601">
        <v>16632514</v>
      </c>
      <c r="C601">
        <v>16632500</v>
      </c>
      <c r="D601">
        <v>15430395</v>
      </c>
      <c r="E601">
        <v>1</v>
      </c>
      <c r="F601">
        <v>1</v>
      </c>
      <c r="G601">
        <v>1</v>
      </c>
      <c r="H601">
        <v>1</v>
      </c>
      <c r="I601" t="s">
        <v>1149</v>
      </c>
      <c r="J601" t="s">
        <v>6</v>
      </c>
      <c r="K601" t="s">
        <v>1150</v>
      </c>
      <c r="L601">
        <v>1191</v>
      </c>
      <c r="N601">
        <v>1013</v>
      </c>
      <c r="O601" t="s">
        <v>1148</v>
      </c>
      <c r="P601" t="s">
        <v>1148</v>
      </c>
      <c r="Q601">
        <v>1</v>
      </c>
      <c r="X601">
        <v>1.3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2</v>
      </c>
      <c r="AF601" t="s">
        <v>81</v>
      </c>
      <c r="AG601">
        <v>1.625</v>
      </c>
      <c r="AH601">
        <v>2</v>
      </c>
      <c r="AI601">
        <v>16632502</v>
      </c>
      <c r="AJ601">
        <v>618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ROW(Source!A277)</f>
        <v>277</v>
      </c>
      <c r="B602">
        <v>16632515</v>
      </c>
      <c r="C602">
        <v>16632500</v>
      </c>
      <c r="D602">
        <v>15247680</v>
      </c>
      <c r="E602">
        <v>1</v>
      </c>
      <c r="F602">
        <v>1</v>
      </c>
      <c r="G602">
        <v>1</v>
      </c>
      <c r="H602">
        <v>2</v>
      </c>
      <c r="I602" t="s">
        <v>1419</v>
      </c>
      <c r="J602" t="s">
        <v>1420</v>
      </c>
      <c r="K602" t="s">
        <v>1421</v>
      </c>
      <c r="L602">
        <v>1368</v>
      </c>
      <c r="N602">
        <v>1011</v>
      </c>
      <c r="O602" t="s">
        <v>1154</v>
      </c>
      <c r="P602" t="s">
        <v>1154</v>
      </c>
      <c r="Q602">
        <v>1</v>
      </c>
      <c r="X602">
        <v>0.52</v>
      </c>
      <c r="Y602">
        <v>0</v>
      </c>
      <c r="Z602">
        <v>111.99</v>
      </c>
      <c r="AA602">
        <v>13.5</v>
      </c>
      <c r="AB602">
        <v>0</v>
      </c>
      <c r="AC602">
        <v>0</v>
      </c>
      <c r="AD602">
        <v>1</v>
      </c>
      <c r="AE602">
        <v>0</v>
      </c>
      <c r="AF602" t="s">
        <v>81</v>
      </c>
      <c r="AG602">
        <v>0.65</v>
      </c>
      <c r="AH602">
        <v>2</v>
      </c>
      <c r="AI602">
        <v>16632503</v>
      </c>
      <c r="AJ602">
        <v>619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ROW(Source!A277)</f>
        <v>277</v>
      </c>
      <c r="B603">
        <v>16632516</v>
      </c>
      <c r="C603">
        <v>16632500</v>
      </c>
      <c r="D603">
        <v>15247873</v>
      </c>
      <c r="E603">
        <v>1</v>
      </c>
      <c r="F603">
        <v>1</v>
      </c>
      <c r="G603">
        <v>1</v>
      </c>
      <c r="H603">
        <v>2</v>
      </c>
      <c r="I603" t="s">
        <v>1574</v>
      </c>
      <c r="J603" t="s">
        <v>1575</v>
      </c>
      <c r="K603" t="s">
        <v>1576</v>
      </c>
      <c r="L603">
        <v>1368</v>
      </c>
      <c r="N603">
        <v>1011</v>
      </c>
      <c r="O603" t="s">
        <v>1154</v>
      </c>
      <c r="P603" t="s">
        <v>1154</v>
      </c>
      <c r="Q603">
        <v>1</v>
      </c>
      <c r="X603">
        <v>0.39</v>
      </c>
      <c r="Y603">
        <v>0</v>
      </c>
      <c r="Z603">
        <v>6.66</v>
      </c>
      <c r="AA603">
        <v>0</v>
      </c>
      <c r="AB603">
        <v>0</v>
      </c>
      <c r="AC603">
        <v>0</v>
      </c>
      <c r="AD603">
        <v>1</v>
      </c>
      <c r="AE603">
        <v>0</v>
      </c>
      <c r="AF603" t="s">
        <v>81</v>
      </c>
      <c r="AG603">
        <v>0.48750000000000004</v>
      </c>
      <c r="AH603">
        <v>2</v>
      </c>
      <c r="AI603">
        <v>16632504</v>
      </c>
      <c r="AJ603">
        <v>620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ROW(Source!A277)</f>
        <v>277</v>
      </c>
      <c r="B604">
        <v>16632517</v>
      </c>
      <c r="C604">
        <v>16632500</v>
      </c>
      <c r="D604">
        <v>15249073</v>
      </c>
      <c r="E604">
        <v>1</v>
      </c>
      <c r="F604">
        <v>1</v>
      </c>
      <c r="G604">
        <v>1</v>
      </c>
      <c r="H604">
        <v>2</v>
      </c>
      <c r="I604" t="s">
        <v>1157</v>
      </c>
      <c r="J604" t="s">
        <v>1158</v>
      </c>
      <c r="K604" t="s">
        <v>1159</v>
      </c>
      <c r="L604">
        <v>1368</v>
      </c>
      <c r="N604">
        <v>1011</v>
      </c>
      <c r="O604" t="s">
        <v>1154</v>
      </c>
      <c r="P604" t="s">
        <v>1154</v>
      </c>
      <c r="Q604">
        <v>1</v>
      </c>
      <c r="X604">
        <v>0.78</v>
      </c>
      <c r="Y604">
        <v>0</v>
      </c>
      <c r="Z604">
        <v>65.709999999999994</v>
      </c>
      <c r="AA604">
        <v>11.6</v>
      </c>
      <c r="AB604">
        <v>0</v>
      </c>
      <c r="AC604">
        <v>0</v>
      </c>
      <c r="AD604">
        <v>1</v>
      </c>
      <c r="AE604">
        <v>0</v>
      </c>
      <c r="AF604" t="s">
        <v>81</v>
      </c>
      <c r="AG604">
        <v>0.97500000000000009</v>
      </c>
      <c r="AH604">
        <v>2</v>
      </c>
      <c r="AI604">
        <v>16632505</v>
      </c>
      <c r="AJ604">
        <v>621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ROW(Source!A277)</f>
        <v>277</v>
      </c>
      <c r="B605">
        <v>16632518</v>
      </c>
      <c r="C605">
        <v>16632500</v>
      </c>
      <c r="D605">
        <v>15249377</v>
      </c>
      <c r="E605">
        <v>1</v>
      </c>
      <c r="F605">
        <v>1</v>
      </c>
      <c r="G605">
        <v>1</v>
      </c>
      <c r="H605">
        <v>2</v>
      </c>
      <c r="I605" t="s">
        <v>1222</v>
      </c>
      <c r="J605" t="s">
        <v>1223</v>
      </c>
      <c r="K605" t="s">
        <v>1224</v>
      </c>
      <c r="L605">
        <v>1368</v>
      </c>
      <c r="N605">
        <v>1011</v>
      </c>
      <c r="O605" t="s">
        <v>1154</v>
      </c>
      <c r="P605" t="s">
        <v>1154</v>
      </c>
      <c r="Q605">
        <v>1</v>
      </c>
      <c r="X605">
        <v>1.79</v>
      </c>
      <c r="Y605">
        <v>0</v>
      </c>
      <c r="Z605">
        <v>8.1</v>
      </c>
      <c r="AA605">
        <v>0</v>
      </c>
      <c r="AB605">
        <v>0</v>
      </c>
      <c r="AC605">
        <v>0</v>
      </c>
      <c r="AD605">
        <v>1</v>
      </c>
      <c r="AE605">
        <v>0</v>
      </c>
      <c r="AF605" t="s">
        <v>81</v>
      </c>
      <c r="AG605">
        <v>2.2374999999999998</v>
      </c>
      <c r="AH605">
        <v>2</v>
      </c>
      <c r="AI605">
        <v>16632506</v>
      </c>
      <c r="AJ605">
        <v>622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ROW(Source!A277)</f>
        <v>277</v>
      </c>
      <c r="B606">
        <v>16632519</v>
      </c>
      <c r="C606">
        <v>16632500</v>
      </c>
      <c r="D606">
        <v>15165170</v>
      </c>
      <c r="E606">
        <v>1</v>
      </c>
      <c r="F606">
        <v>1</v>
      </c>
      <c r="G606">
        <v>1</v>
      </c>
      <c r="H606">
        <v>3</v>
      </c>
      <c r="I606" t="s">
        <v>1577</v>
      </c>
      <c r="J606" t="s">
        <v>1578</v>
      </c>
      <c r="K606" t="s">
        <v>1579</v>
      </c>
      <c r="L606">
        <v>1348</v>
      </c>
      <c r="N606">
        <v>1009</v>
      </c>
      <c r="O606" t="s">
        <v>98</v>
      </c>
      <c r="P606" t="s">
        <v>98</v>
      </c>
      <c r="Q606">
        <v>1000</v>
      </c>
      <c r="X606">
        <v>8.8999999999999995E-4</v>
      </c>
      <c r="Y606">
        <v>26499</v>
      </c>
      <c r="Z606">
        <v>0</v>
      </c>
      <c r="AA606">
        <v>0</v>
      </c>
      <c r="AB606">
        <v>0</v>
      </c>
      <c r="AC606">
        <v>0</v>
      </c>
      <c r="AD606">
        <v>1</v>
      </c>
      <c r="AE606">
        <v>0</v>
      </c>
      <c r="AF606" t="s">
        <v>6</v>
      </c>
      <c r="AG606">
        <v>8.8999999999999995E-4</v>
      </c>
      <c r="AH606">
        <v>2</v>
      </c>
      <c r="AI606">
        <v>16632507</v>
      </c>
      <c r="AJ606">
        <v>623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ROW(Source!A277)</f>
        <v>277</v>
      </c>
      <c r="B607">
        <v>16632520</v>
      </c>
      <c r="C607">
        <v>16632500</v>
      </c>
      <c r="D607">
        <v>15168763</v>
      </c>
      <c r="E607">
        <v>1</v>
      </c>
      <c r="F607">
        <v>1</v>
      </c>
      <c r="G607">
        <v>1</v>
      </c>
      <c r="H607">
        <v>3</v>
      </c>
      <c r="I607" t="s">
        <v>1560</v>
      </c>
      <c r="J607" t="s">
        <v>1561</v>
      </c>
      <c r="K607" t="s">
        <v>1562</v>
      </c>
      <c r="L607">
        <v>1348</v>
      </c>
      <c r="N607">
        <v>1009</v>
      </c>
      <c r="O607" t="s">
        <v>98</v>
      </c>
      <c r="P607" t="s">
        <v>98</v>
      </c>
      <c r="Q607">
        <v>1000</v>
      </c>
      <c r="X607">
        <v>4.4999999999999999E-4</v>
      </c>
      <c r="Y607">
        <v>10362</v>
      </c>
      <c r="Z607">
        <v>0</v>
      </c>
      <c r="AA607">
        <v>0</v>
      </c>
      <c r="AB607">
        <v>0</v>
      </c>
      <c r="AC607">
        <v>0</v>
      </c>
      <c r="AD607">
        <v>1</v>
      </c>
      <c r="AE607">
        <v>0</v>
      </c>
      <c r="AF607" t="s">
        <v>6</v>
      </c>
      <c r="AG607">
        <v>4.4999999999999999E-4</v>
      </c>
      <c r="AH607">
        <v>2</v>
      </c>
      <c r="AI607">
        <v>16632508</v>
      </c>
      <c r="AJ607">
        <v>624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ROW(Source!A277)</f>
        <v>277</v>
      </c>
      <c r="B608">
        <v>16632521</v>
      </c>
      <c r="C608">
        <v>16632500</v>
      </c>
      <c r="D608">
        <v>15169941</v>
      </c>
      <c r="E608">
        <v>1</v>
      </c>
      <c r="F608">
        <v>1</v>
      </c>
      <c r="G608">
        <v>1</v>
      </c>
      <c r="H608">
        <v>3</v>
      </c>
      <c r="I608" t="s">
        <v>1580</v>
      </c>
      <c r="J608" t="s">
        <v>1581</v>
      </c>
      <c r="K608" t="s">
        <v>1427</v>
      </c>
      <c r="L608">
        <v>1348</v>
      </c>
      <c r="N608">
        <v>1009</v>
      </c>
      <c r="O608" t="s">
        <v>98</v>
      </c>
      <c r="P608" t="s">
        <v>98</v>
      </c>
      <c r="Q608">
        <v>1000</v>
      </c>
      <c r="X608">
        <v>1.4999999999999999E-2</v>
      </c>
      <c r="Y608">
        <v>9040.01</v>
      </c>
      <c r="Z608">
        <v>0</v>
      </c>
      <c r="AA608">
        <v>0</v>
      </c>
      <c r="AB608">
        <v>0</v>
      </c>
      <c r="AC608">
        <v>0</v>
      </c>
      <c r="AD608">
        <v>1</v>
      </c>
      <c r="AE608">
        <v>0</v>
      </c>
      <c r="AF608" t="s">
        <v>6</v>
      </c>
      <c r="AG608">
        <v>1.4999999999999999E-2</v>
      </c>
      <c r="AH608">
        <v>2</v>
      </c>
      <c r="AI608">
        <v>16632509</v>
      </c>
      <c r="AJ608">
        <v>625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ROW(Source!A277)</f>
        <v>277</v>
      </c>
      <c r="B609">
        <v>16632522</v>
      </c>
      <c r="C609">
        <v>16632500</v>
      </c>
      <c r="D609">
        <v>15170824</v>
      </c>
      <c r="E609">
        <v>1</v>
      </c>
      <c r="F609">
        <v>1</v>
      </c>
      <c r="G609">
        <v>1</v>
      </c>
      <c r="H609">
        <v>3</v>
      </c>
      <c r="I609" t="s">
        <v>1582</v>
      </c>
      <c r="J609" t="s">
        <v>1583</v>
      </c>
      <c r="K609" t="s">
        <v>1584</v>
      </c>
      <c r="L609">
        <v>1346</v>
      </c>
      <c r="N609">
        <v>1009</v>
      </c>
      <c r="O609" t="s">
        <v>102</v>
      </c>
      <c r="P609" t="s">
        <v>102</v>
      </c>
      <c r="Q609">
        <v>1</v>
      </c>
      <c r="X609">
        <v>8</v>
      </c>
      <c r="Y609">
        <v>23.09</v>
      </c>
      <c r="Z609">
        <v>0</v>
      </c>
      <c r="AA609">
        <v>0</v>
      </c>
      <c r="AB609">
        <v>0</v>
      </c>
      <c r="AC609">
        <v>0</v>
      </c>
      <c r="AD609">
        <v>1</v>
      </c>
      <c r="AE609">
        <v>0</v>
      </c>
      <c r="AF609" t="s">
        <v>6</v>
      </c>
      <c r="AG609">
        <v>8</v>
      </c>
      <c r="AH609">
        <v>2</v>
      </c>
      <c r="AI609">
        <v>16632510</v>
      </c>
      <c r="AJ609">
        <v>626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ROW(Source!A277)</f>
        <v>277</v>
      </c>
      <c r="B610">
        <v>16632523</v>
      </c>
      <c r="C610">
        <v>16632500</v>
      </c>
      <c r="D610">
        <v>15162102</v>
      </c>
      <c r="E610">
        <v>17</v>
      </c>
      <c r="F610">
        <v>1</v>
      </c>
      <c r="G610">
        <v>1</v>
      </c>
      <c r="H610">
        <v>3</v>
      </c>
      <c r="I610" t="s">
        <v>1726</v>
      </c>
      <c r="J610" t="s">
        <v>6</v>
      </c>
      <c r="K610" t="s">
        <v>1727</v>
      </c>
      <c r="L610">
        <v>1327</v>
      </c>
      <c r="N610">
        <v>1005</v>
      </c>
      <c r="O610" t="s">
        <v>87</v>
      </c>
      <c r="P610" t="s">
        <v>87</v>
      </c>
      <c r="Q610">
        <v>1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1</v>
      </c>
      <c r="AD610">
        <v>0</v>
      </c>
      <c r="AE610">
        <v>0</v>
      </c>
      <c r="AF610" t="s">
        <v>6</v>
      </c>
      <c r="AG610">
        <v>0</v>
      </c>
      <c r="AH610">
        <v>3</v>
      </c>
      <c r="AI610">
        <v>-1</v>
      </c>
      <c r="AJ610" t="s">
        <v>6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ROW(Source!A277)</f>
        <v>277</v>
      </c>
      <c r="B611">
        <v>16632524</v>
      </c>
      <c r="C611">
        <v>16632500</v>
      </c>
      <c r="D611">
        <v>15204408</v>
      </c>
      <c r="E611">
        <v>1</v>
      </c>
      <c r="F611">
        <v>1</v>
      </c>
      <c r="G611">
        <v>1</v>
      </c>
      <c r="H611">
        <v>3</v>
      </c>
      <c r="I611" t="s">
        <v>1585</v>
      </c>
      <c r="J611" t="s">
        <v>1586</v>
      </c>
      <c r="K611" t="s">
        <v>1587</v>
      </c>
      <c r="L611">
        <v>1348</v>
      </c>
      <c r="N611">
        <v>1009</v>
      </c>
      <c r="O611" t="s">
        <v>98</v>
      </c>
      <c r="P611" t="s">
        <v>98</v>
      </c>
      <c r="Q611">
        <v>1000</v>
      </c>
      <c r="X611">
        <v>5.0099999999999997E-3</v>
      </c>
      <c r="Y611">
        <v>17183</v>
      </c>
      <c r="Z611">
        <v>0</v>
      </c>
      <c r="AA611">
        <v>0</v>
      </c>
      <c r="AB611">
        <v>0</v>
      </c>
      <c r="AC611">
        <v>0</v>
      </c>
      <c r="AD611">
        <v>1</v>
      </c>
      <c r="AE611">
        <v>0</v>
      </c>
      <c r="AF611" t="s">
        <v>6</v>
      </c>
      <c r="AG611">
        <v>5.0099999999999997E-3</v>
      </c>
      <c r="AH611">
        <v>2</v>
      </c>
      <c r="AI611">
        <v>16632511</v>
      </c>
      <c r="AJ611">
        <v>627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ROW(Source!A277)</f>
        <v>277</v>
      </c>
      <c r="B612">
        <v>16632525</v>
      </c>
      <c r="C612">
        <v>16632500</v>
      </c>
      <c r="D612">
        <v>15163115</v>
      </c>
      <c r="E612">
        <v>17</v>
      </c>
      <c r="F612">
        <v>1</v>
      </c>
      <c r="G612">
        <v>1</v>
      </c>
      <c r="H612">
        <v>3</v>
      </c>
      <c r="I612" t="s">
        <v>1717</v>
      </c>
      <c r="J612" t="s">
        <v>6</v>
      </c>
      <c r="K612" t="s">
        <v>1718</v>
      </c>
      <c r="L612">
        <v>1346</v>
      </c>
      <c r="N612">
        <v>1009</v>
      </c>
      <c r="O612" t="s">
        <v>102</v>
      </c>
      <c r="P612" t="s">
        <v>102</v>
      </c>
      <c r="Q612">
        <v>1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1</v>
      </c>
      <c r="AD612">
        <v>0</v>
      </c>
      <c r="AE612">
        <v>0</v>
      </c>
      <c r="AF612" t="s">
        <v>6</v>
      </c>
      <c r="AG612">
        <v>0</v>
      </c>
      <c r="AH612">
        <v>3</v>
      </c>
      <c r="AI612">
        <v>-1</v>
      </c>
      <c r="AJ612" t="s">
        <v>6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ROW(Source!A277)</f>
        <v>277</v>
      </c>
      <c r="B613">
        <v>16632526</v>
      </c>
      <c r="C613">
        <v>16632500</v>
      </c>
      <c r="D613">
        <v>15163312</v>
      </c>
      <c r="E613">
        <v>17</v>
      </c>
      <c r="F613">
        <v>1</v>
      </c>
      <c r="G613">
        <v>1</v>
      </c>
      <c r="H613">
        <v>3</v>
      </c>
      <c r="I613" t="s">
        <v>1728</v>
      </c>
      <c r="J613" t="s">
        <v>6</v>
      </c>
      <c r="K613" t="s">
        <v>1729</v>
      </c>
      <c r="L613">
        <v>1327</v>
      </c>
      <c r="N613">
        <v>1005</v>
      </c>
      <c r="O613" t="s">
        <v>87</v>
      </c>
      <c r="P613" t="s">
        <v>87</v>
      </c>
      <c r="Q613">
        <v>1</v>
      </c>
      <c r="X613">
        <v>100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 t="s">
        <v>6</v>
      </c>
      <c r="AG613">
        <v>100</v>
      </c>
      <c r="AH613">
        <v>3</v>
      </c>
      <c r="AI613">
        <v>-1</v>
      </c>
      <c r="AJ613" t="s">
        <v>6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ROW(Source!A277)</f>
        <v>277</v>
      </c>
      <c r="B614">
        <v>16632527</v>
      </c>
      <c r="C614">
        <v>16632500</v>
      </c>
      <c r="D614">
        <v>15163315</v>
      </c>
      <c r="E614">
        <v>17</v>
      </c>
      <c r="F614">
        <v>1</v>
      </c>
      <c r="G614">
        <v>1</v>
      </c>
      <c r="H614">
        <v>3</v>
      </c>
      <c r="I614" t="s">
        <v>1730</v>
      </c>
      <c r="J614" t="s">
        <v>6</v>
      </c>
      <c r="K614" t="s">
        <v>1731</v>
      </c>
      <c r="L614">
        <v>1354</v>
      </c>
      <c r="N614">
        <v>1010</v>
      </c>
      <c r="O614" t="s">
        <v>132</v>
      </c>
      <c r="P614" t="s">
        <v>132</v>
      </c>
      <c r="Q614">
        <v>1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1</v>
      </c>
      <c r="AD614">
        <v>0</v>
      </c>
      <c r="AE614">
        <v>0</v>
      </c>
      <c r="AF614" t="s">
        <v>6</v>
      </c>
      <c r="AG614">
        <v>0</v>
      </c>
      <c r="AH614">
        <v>3</v>
      </c>
      <c r="AI614">
        <v>-1</v>
      </c>
      <c r="AJ614" t="s">
        <v>6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ROW(Source!A277)</f>
        <v>277</v>
      </c>
      <c r="B615">
        <v>16632528</v>
      </c>
      <c r="C615">
        <v>16632500</v>
      </c>
      <c r="D615">
        <v>15163318</v>
      </c>
      <c r="E615">
        <v>17</v>
      </c>
      <c r="F615">
        <v>1</v>
      </c>
      <c r="G615">
        <v>1</v>
      </c>
      <c r="H615">
        <v>3</v>
      </c>
      <c r="I615" t="s">
        <v>1732</v>
      </c>
      <c r="J615" t="s">
        <v>6</v>
      </c>
      <c r="K615" t="s">
        <v>1733</v>
      </c>
      <c r="L615">
        <v>1354</v>
      </c>
      <c r="N615">
        <v>1010</v>
      </c>
      <c r="O615" t="s">
        <v>132</v>
      </c>
      <c r="P615" t="s">
        <v>132</v>
      </c>
      <c r="Q615">
        <v>1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1</v>
      </c>
      <c r="AD615">
        <v>0</v>
      </c>
      <c r="AE615">
        <v>0</v>
      </c>
      <c r="AF615" t="s">
        <v>6</v>
      </c>
      <c r="AG615">
        <v>0</v>
      </c>
      <c r="AH615">
        <v>3</v>
      </c>
      <c r="AI615">
        <v>-1</v>
      </c>
      <c r="AJ615" t="s">
        <v>6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ROW(Source!A277)</f>
        <v>277</v>
      </c>
      <c r="B616">
        <v>16632529</v>
      </c>
      <c r="C616">
        <v>16632500</v>
      </c>
      <c r="D616">
        <v>15163321</v>
      </c>
      <c r="E616">
        <v>17</v>
      </c>
      <c r="F616">
        <v>1</v>
      </c>
      <c r="G616">
        <v>1</v>
      </c>
      <c r="H616">
        <v>3</v>
      </c>
      <c r="I616" t="s">
        <v>1734</v>
      </c>
      <c r="J616" t="s">
        <v>6</v>
      </c>
      <c r="K616" t="s">
        <v>1735</v>
      </c>
      <c r="L616">
        <v>1354</v>
      </c>
      <c r="N616">
        <v>1010</v>
      </c>
      <c r="O616" t="s">
        <v>132</v>
      </c>
      <c r="P616" t="s">
        <v>132</v>
      </c>
      <c r="Q616">
        <v>1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1</v>
      </c>
      <c r="AD616">
        <v>0</v>
      </c>
      <c r="AE616">
        <v>0</v>
      </c>
      <c r="AF616" t="s">
        <v>6</v>
      </c>
      <c r="AG616">
        <v>0</v>
      </c>
      <c r="AH616">
        <v>3</v>
      </c>
      <c r="AI616">
        <v>-1</v>
      </c>
      <c r="AJ616" t="s">
        <v>6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ROW(Source!A279)</f>
        <v>279</v>
      </c>
      <c r="B617">
        <v>16632540</v>
      </c>
      <c r="C617">
        <v>16632531</v>
      </c>
      <c r="D617">
        <v>15430767</v>
      </c>
      <c r="E617">
        <v>1</v>
      </c>
      <c r="F617">
        <v>1</v>
      </c>
      <c r="G617">
        <v>1</v>
      </c>
      <c r="H617">
        <v>1</v>
      </c>
      <c r="I617" t="s">
        <v>1171</v>
      </c>
      <c r="J617" t="s">
        <v>6</v>
      </c>
      <c r="K617" t="s">
        <v>1172</v>
      </c>
      <c r="L617">
        <v>1191</v>
      </c>
      <c r="N617">
        <v>1013</v>
      </c>
      <c r="O617" t="s">
        <v>1148</v>
      </c>
      <c r="P617" t="s">
        <v>1148</v>
      </c>
      <c r="Q617">
        <v>1</v>
      </c>
      <c r="X617">
        <v>2.92</v>
      </c>
      <c r="Y617">
        <v>0</v>
      </c>
      <c r="Z617">
        <v>0</v>
      </c>
      <c r="AA617">
        <v>0</v>
      </c>
      <c r="AB617">
        <v>8.5299999999999994</v>
      </c>
      <c r="AC617">
        <v>0</v>
      </c>
      <c r="AD617">
        <v>1</v>
      </c>
      <c r="AE617">
        <v>1</v>
      </c>
      <c r="AF617" t="s">
        <v>82</v>
      </c>
      <c r="AG617">
        <v>3.3579999999999997</v>
      </c>
      <c r="AH617">
        <v>2</v>
      </c>
      <c r="AI617">
        <v>16632532</v>
      </c>
      <c r="AJ617">
        <v>629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ROW(Source!A279)</f>
        <v>279</v>
      </c>
      <c r="B618">
        <v>16632541</v>
      </c>
      <c r="C618">
        <v>16632531</v>
      </c>
      <c r="D618">
        <v>15430395</v>
      </c>
      <c r="E618">
        <v>1</v>
      </c>
      <c r="F618">
        <v>1</v>
      </c>
      <c r="G618">
        <v>1</v>
      </c>
      <c r="H618">
        <v>1</v>
      </c>
      <c r="I618" t="s">
        <v>1149</v>
      </c>
      <c r="J618" t="s">
        <v>6</v>
      </c>
      <c r="K618" t="s">
        <v>1150</v>
      </c>
      <c r="L618">
        <v>1191</v>
      </c>
      <c r="N618">
        <v>1013</v>
      </c>
      <c r="O618" t="s">
        <v>1148</v>
      </c>
      <c r="P618" t="s">
        <v>1148</v>
      </c>
      <c r="Q618">
        <v>1</v>
      </c>
      <c r="X618">
        <v>0.01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1</v>
      </c>
      <c r="AE618">
        <v>2</v>
      </c>
      <c r="AF618" t="s">
        <v>81</v>
      </c>
      <c r="AG618">
        <v>1.2500000000000001E-2</v>
      </c>
      <c r="AH618">
        <v>2</v>
      </c>
      <c r="AI618">
        <v>16632533</v>
      </c>
      <c r="AJ618">
        <v>630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ROW(Source!A279)</f>
        <v>279</v>
      </c>
      <c r="B619">
        <v>16632542</v>
      </c>
      <c r="C619">
        <v>16632531</v>
      </c>
      <c r="D619">
        <v>15247860</v>
      </c>
      <c r="E619">
        <v>1</v>
      </c>
      <c r="F619">
        <v>1</v>
      </c>
      <c r="G619">
        <v>1</v>
      </c>
      <c r="H619">
        <v>2</v>
      </c>
      <c r="I619" t="s">
        <v>1588</v>
      </c>
      <c r="J619" t="s">
        <v>1589</v>
      </c>
      <c r="K619" t="s">
        <v>1590</v>
      </c>
      <c r="L619">
        <v>1368</v>
      </c>
      <c r="N619">
        <v>1011</v>
      </c>
      <c r="O619" t="s">
        <v>1154</v>
      </c>
      <c r="P619" t="s">
        <v>1154</v>
      </c>
      <c r="Q619">
        <v>1</v>
      </c>
      <c r="X619">
        <v>0.66</v>
      </c>
      <c r="Y619">
        <v>0</v>
      </c>
      <c r="Z619">
        <v>3.12</v>
      </c>
      <c r="AA619">
        <v>0</v>
      </c>
      <c r="AB619">
        <v>0</v>
      </c>
      <c r="AC619">
        <v>0</v>
      </c>
      <c r="AD619">
        <v>1</v>
      </c>
      <c r="AE619">
        <v>0</v>
      </c>
      <c r="AF619" t="s">
        <v>81</v>
      </c>
      <c r="AG619">
        <v>0.82500000000000007</v>
      </c>
      <c r="AH619">
        <v>2</v>
      </c>
      <c r="AI619">
        <v>16632534</v>
      </c>
      <c r="AJ619">
        <v>631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ROW(Source!A279)</f>
        <v>279</v>
      </c>
      <c r="B620">
        <v>16632543</v>
      </c>
      <c r="C620">
        <v>16632531</v>
      </c>
      <c r="D620">
        <v>15249073</v>
      </c>
      <c r="E620">
        <v>1</v>
      </c>
      <c r="F620">
        <v>1</v>
      </c>
      <c r="G620">
        <v>1</v>
      </c>
      <c r="H620">
        <v>2</v>
      </c>
      <c r="I620" t="s">
        <v>1157</v>
      </c>
      <c r="J620" t="s">
        <v>1158</v>
      </c>
      <c r="K620" t="s">
        <v>1159</v>
      </c>
      <c r="L620">
        <v>1368</v>
      </c>
      <c r="N620">
        <v>1011</v>
      </c>
      <c r="O620" t="s">
        <v>1154</v>
      </c>
      <c r="P620" t="s">
        <v>1154</v>
      </c>
      <c r="Q620">
        <v>1</v>
      </c>
      <c r="X620">
        <v>0.01</v>
      </c>
      <c r="Y620">
        <v>0</v>
      </c>
      <c r="Z620">
        <v>65.709999999999994</v>
      </c>
      <c r="AA620">
        <v>11.6</v>
      </c>
      <c r="AB620">
        <v>0</v>
      </c>
      <c r="AC620">
        <v>0</v>
      </c>
      <c r="AD620">
        <v>1</v>
      </c>
      <c r="AE620">
        <v>0</v>
      </c>
      <c r="AF620" t="s">
        <v>81</v>
      </c>
      <c r="AG620">
        <v>1.2500000000000001E-2</v>
      </c>
      <c r="AH620">
        <v>2</v>
      </c>
      <c r="AI620">
        <v>16632535</v>
      </c>
      <c r="AJ620">
        <v>632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ROW(Source!A279)</f>
        <v>279</v>
      </c>
      <c r="B621">
        <v>16632544</v>
      </c>
      <c r="C621">
        <v>16632531</v>
      </c>
      <c r="D621">
        <v>15165170</v>
      </c>
      <c r="E621">
        <v>1</v>
      </c>
      <c r="F621">
        <v>1</v>
      </c>
      <c r="G621">
        <v>1</v>
      </c>
      <c r="H621">
        <v>3</v>
      </c>
      <c r="I621" t="s">
        <v>1577</v>
      </c>
      <c r="J621" t="s">
        <v>1578</v>
      </c>
      <c r="K621" t="s">
        <v>1579</v>
      </c>
      <c r="L621">
        <v>1348</v>
      </c>
      <c r="N621">
        <v>1009</v>
      </c>
      <c r="O621" t="s">
        <v>98</v>
      </c>
      <c r="P621" t="s">
        <v>98</v>
      </c>
      <c r="Q621">
        <v>1000</v>
      </c>
      <c r="X621">
        <v>5.0000000000000002E-5</v>
      </c>
      <c r="Y621">
        <v>26499</v>
      </c>
      <c r="Z621">
        <v>0</v>
      </c>
      <c r="AA621">
        <v>0</v>
      </c>
      <c r="AB621">
        <v>0</v>
      </c>
      <c r="AC621">
        <v>0</v>
      </c>
      <c r="AD621">
        <v>1</v>
      </c>
      <c r="AE621">
        <v>0</v>
      </c>
      <c r="AF621" t="s">
        <v>6</v>
      </c>
      <c r="AG621">
        <v>5.0000000000000002E-5</v>
      </c>
      <c r="AH621">
        <v>2</v>
      </c>
      <c r="AI621">
        <v>16632536</v>
      </c>
      <c r="AJ621">
        <v>633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ROW(Source!A279)</f>
        <v>279</v>
      </c>
      <c r="B622">
        <v>16632545</v>
      </c>
      <c r="C622">
        <v>16632531</v>
      </c>
      <c r="D622">
        <v>15169941</v>
      </c>
      <c r="E622">
        <v>1</v>
      </c>
      <c r="F622">
        <v>1</v>
      </c>
      <c r="G622">
        <v>1</v>
      </c>
      <c r="H622">
        <v>3</v>
      </c>
      <c r="I622" t="s">
        <v>1580</v>
      </c>
      <c r="J622" t="s">
        <v>1581</v>
      </c>
      <c r="K622" t="s">
        <v>1427</v>
      </c>
      <c r="L622">
        <v>1348</v>
      </c>
      <c r="N622">
        <v>1009</v>
      </c>
      <c r="O622" t="s">
        <v>98</v>
      </c>
      <c r="P622" t="s">
        <v>98</v>
      </c>
      <c r="Q622">
        <v>1000</v>
      </c>
      <c r="X622">
        <v>3.0000000000000001E-5</v>
      </c>
      <c r="Y622">
        <v>9040.01</v>
      </c>
      <c r="Z622">
        <v>0</v>
      </c>
      <c r="AA622">
        <v>0</v>
      </c>
      <c r="AB622">
        <v>0</v>
      </c>
      <c r="AC622">
        <v>0</v>
      </c>
      <c r="AD622">
        <v>1</v>
      </c>
      <c r="AE622">
        <v>0</v>
      </c>
      <c r="AF622" t="s">
        <v>6</v>
      </c>
      <c r="AG622">
        <v>3.0000000000000001E-5</v>
      </c>
      <c r="AH622">
        <v>2</v>
      </c>
      <c r="AI622">
        <v>16632537</v>
      </c>
      <c r="AJ622">
        <v>634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ROW(Source!A279)</f>
        <v>279</v>
      </c>
      <c r="B623">
        <v>16632546</v>
      </c>
      <c r="C623">
        <v>16632531</v>
      </c>
      <c r="D623">
        <v>15170824</v>
      </c>
      <c r="E623">
        <v>1</v>
      </c>
      <c r="F623">
        <v>1</v>
      </c>
      <c r="G623">
        <v>1</v>
      </c>
      <c r="H623">
        <v>3</v>
      </c>
      <c r="I623" t="s">
        <v>1582</v>
      </c>
      <c r="J623" t="s">
        <v>1583</v>
      </c>
      <c r="K623" t="s">
        <v>1584</v>
      </c>
      <c r="L623">
        <v>1346</v>
      </c>
      <c r="N623">
        <v>1009</v>
      </c>
      <c r="O623" t="s">
        <v>102</v>
      </c>
      <c r="P623" t="s">
        <v>102</v>
      </c>
      <c r="Q623">
        <v>1</v>
      </c>
      <c r="X623">
        <v>0.115</v>
      </c>
      <c r="Y623">
        <v>23.09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0</v>
      </c>
      <c r="AF623" t="s">
        <v>6</v>
      </c>
      <c r="AG623">
        <v>0.115</v>
      </c>
      <c r="AH623">
        <v>2</v>
      </c>
      <c r="AI623">
        <v>16632538</v>
      </c>
      <c r="AJ623">
        <v>635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ROW(Source!A279)</f>
        <v>279</v>
      </c>
      <c r="B624">
        <v>16632547</v>
      </c>
      <c r="C624">
        <v>16632531</v>
      </c>
      <c r="D624">
        <v>15163347</v>
      </c>
      <c r="E624">
        <v>17</v>
      </c>
      <c r="F624">
        <v>1</v>
      </c>
      <c r="G624">
        <v>1</v>
      </c>
      <c r="H624">
        <v>3</v>
      </c>
      <c r="I624" t="s">
        <v>1736</v>
      </c>
      <c r="J624" t="s">
        <v>6</v>
      </c>
      <c r="K624" t="s">
        <v>1737</v>
      </c>
      <c r="L624">
        <v>1354</v>
      </c>
      <c r="N624">
        <v>1010</v>
      </c>
      <c r="O624" t="s">
        <v>132</v>
      </c>
      <c r="P624" t="s">
        <v>132</v>
      </c>
      <c r="Q624">
        <v>1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1</v>
      </c>
      <c r="AD624">
        <v>0</v>
      </c>
      <c r="AE624">
        <v>0</v>
      </c>
      <c r="AF624" t="s">
        <v>6</v>
      </c>
      <c r="AG624">
        <v>0</v>
      </c>
      <c r="AH624">
        <v>3</v>
      </c>
      <c r="AI624">
        <v>-1</v>
      </c>
      <c r="AJ624" t="s">
        <v>6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ROW(Source!A279)</f>
        <v>279</v>
      </c>
      <c r="B625">
        <v>16632548</v>
      </c>
      <c r="C625">
        <v>16632531</v>
      </c>
      <c r="D625">
        <v>15163352</v>
      </c>
      <c r="E625">
        <v>17</v>
      </c>
      <c r="F625">
        <v>1</v>
      </c>
      <c r="G625">
        <v>1</v>
      </c>
      <c r="H625">
        <v>3</v>
      </c>
      <c r="I625" t="s">
        <v>1738</v>
      </c>
      <c r="J625" t="s">
        <v>6</v>
      </c>
      <c r="K625" t="s">
        <v>1739</v>
      </c>
      <c r="L625">
        <v>1354</v>
      </c>
      <c r="N625">
        <v>1010</v>
      </c>
      <c r="O625" t="s">
        <v>132</v>
      </c>
      <c r="P625" t="s">
        <v>132</v>
      </c>
      <c r="Q625">
        <v>1</v>
      </c>
      <c r="X625">
        <v>1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 t="s">
        <v>6</v>
      </c>
      <c r="AG625">
        <v>1</v>
      </c>
      <c r="AH625">
        <v>3</v>
      </c>
      <c r="AI625">
        <v>-1</v>
      </c>
      <c r="AJ625" t="s">
        <v>6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ROW(Source!A281)</f>
        <v>281</v>
      </c>
      <c r="B626">
        <v>16632559</v>
      </c>
      <c r="C626">
        <v>16632550</v>
      </c>
      <c r="D626">
        <v>15436556</v>
      </c>
      <c r="E626">
        <v>1</v>
      </c>
      <c r="F626">
        <v>1</v>
      </c>
      <c r="G626">
        <v>1</v>
      </c>
      <c r="H626">
        <v>1</v>
      </c>
      <c r="I626" t="s">
        <v>1354</v>
      </c>
      <c r="J626" t="s">
        <v>6</v>
      </c>
      <c r="K626" t="s">
        <v>1355</v>
      </c>
      <c r="L626">
        <v>1191</v>
      </c>
      <c r="N626">
        <v>1013</v>
      </c>
      <c r="O626" t="s">
        <v>1148</v>
      </c>
      <c r="P626" t="s">
        <v>1148</v>
      </c>
      <c r="Q626">
        <v>1</v>
      </c>
      <c r="X626">
        <v>10.37</v>
      </c>
      <c r="Y626">
        <v>0</v>
      </c>
      <c r="Z626">
        <v>0</v>
      </c>
      <c r="AA626">
        <v>0</v>
      </c>
      <c r="AB626">
        <v>9.6199999999999992</v>
      </c>
      <c r="AC626">
        <v>0</v>
      </c>
      <c r="AD626">
        <v>1</v>
      </c>
      <c r="AE626">
        <v>1</v>
      </c>
      <c r="AF626" t="s">
        <v>82</v>
      </c>
      <c r="AG626">
        <v>11.925499999999998</v>
      </c>
      <c r="AH626">
        <v>2</v>
      </c>
      <c r="AI626">
        <v>16632551</v>
      </c>
      <c r="AJ626">
        <v>637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ROW(Source!A281)</f>
        <v>281</v>
      </c>
      <c r="B627">
        <v>16632560</v>
      </c>
      <c r="C627">
        <v>16632550</v>
      </c>
      <c r="D627">
        <v>15430395</v>
      </c>
      <c r="E627">
        <v>1</v>
      </c>
      <c r="F627">
        <v>1</v>
      </c>
      <c r="G627">
        <v>1</v>
      </c>
      <c r="H627">
        <v>1</v>
      </c>
      <c r="I627" t="s">
        <v>1149</v>
      </c>
      <c r="J627" t="s">
        <v>6</v>
      </c>
      <c r="K627" t="s">
        <v>1150</v>
      </c>
      <c r="L627">
        <v>1191</v>
      </c>
      <c r="N627">
        <v>1013</v>
      </c>
      <c r="O627" t="s">
        <v>1148</v>
      </c>
      <c r="P627" t="s">
        <v>1148</v>
      </c>
      <c r="Q627">
        <v>1</v>
      </c>
      <c r="X627">
        <v>0.19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2</v>
      </c>
      <c r="AF627" t="s">
        <v>81</v>
      </c>
      <c r="AG627">
        <v>0.23749999999999999</v>
      </c>
      <c r="AH627">
        <v>2</v>
      </c>
      <c r="AI627">
        <v>16632552</v>
      </c>
      <c r="AJ627">
        <v>638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ROW(Source!A281)</f>
        <v>281</v>
      </c>
      <c r="B628">
        <v>16632561</v>
      </c>
      <c r="C628">
        <v>16632550</v>
      </c>
      <c r="D628">
        <v>15247680</v>
      </c>
      <c r="E628">
        <v>1</v>
      </c>
      <c r="F628">
        <v>1</v>
      </c>
      <c r="G628">
        <v>1</v>
      </c>
      <c r="H628">
        <v>2</v>
      </c>
      <c r="I628" t="s">
        <v>1419</v>
      </c>
      <c r="J628" t="s">
        <v>1420</v>
      </c>
      <c r="K628" t="s">
        <v>1421</v>
      </c>
      <c r="L628">
        <v>1368</v>
      </c>
      <c r="N628">
        <v>1011</v>
      </c>
      <c r="O628" t="s">
        <v>1154</v>
      </c>
      <c r="P628" t="s">
        <v>1154</v>
      </c>
      <c r="Q628">
        <v>1</v>
      </c>
      <c r="X628">
        <v>0.02</v>
      </c>
      <c r="Y628">
        <v>0</v>
      </c>
      <c r="Z628">
        <v>111.99</v>
      </c>
      <c r="AA628">
        <v>13.5</v>
      </c>
      <c r="AB628">
        <v>0</v>
      </c>
      <c r="AC628">
        <v>0</v>
      </c>
      <c r="AD628">
        <v>1</v>
      </c>
      <c r="AE628">
        <v>0</v>
      </c>
      <c r="AF628" t="s">
        <v>81</v>
      </c>
      <c r="AG628">
        <v>2.5000000000000001E-2</v>
      </c>
      <c r="AH628">
        <v>2</v>
      </c>
      <c r="AI628">
        <v>16632553</v>
      </c>
      <c r="AJ628">
        <v>639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ROW(Source!A281)</f>
        <v>281</v>
      </c>
      <c r="B629">
        <v>16632562</v>
      </c>
      <c r="C629">
        <v>16632550</v>
      </c>
      <c r="D629">
        <v>15247860</v>
      </c>
      <c r="E629">
        <v>1</v>
      </c>
      <c r="F629">
        <v>1</v>
      </c>
      <c r="G629">
        <v>1</v>
      </c>
      <c r="H629">
        <v>2</v>
      </c>
      <c r="I629" t="s">
        <v>1588</v>
      </c>
      <c r="J629" t="s">
        <v>1589</v>
      </c>
      <c r="K629" t="s">
        <v>1590</v>
      </c>
      <c r="L629">
        <v>1368</v>
      </c>
      <c r="N629">
        <v>1011</v>
      </c>
      <c r="O629" t="s">
        <v>1154</v>
      </c>
      <c r="P629" t="s">
        <v>1154</v>
      </c>
      <c r="Q629">
        <v>1</v>
      </c>
      <c r="X629">
        <v>2.37</v>
      </c>
      <c r="Y629">
        <v>0</v>
      </c>
      <c r="Z629">
        <v>3.12</v>
      </c>
      <c r="AA629">
        <v>0</v>
      </c>
      <c r="AB629">
        <v>0</v>
      </c>
      <c r="AC629">
        <v>0</v>
      </c>
      <c r="AD629">
        <v>1</v>
      </c>
      <c r="AE629">
        <v>0</v>
      </c>
      <c r="AF629" t="s">
        <v>81</v>
      </c>
      <c r="AG629">
        <v>2.9625000000000004</v>
      </c>
      <c r="AH629">
        <v>2</v>
      </c>
      <c r="AI629">
        <v>16632554</v>
      </c>
      <c r="AJ629">
        <v>640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ROW(Source!A281)</f>
        <v>281</v>
      </c>
      <c r="B630">
        <v>16632563</v>
      </c>
      <c r="C630">
        <v>16632550</v>
      </c>
      <c r="D630">
        <v>15249073</v>
      </c>
      <c r="E630">
        <v>1</v>
      </c>
      <c r="F630">
        <v>1</v>
      </c>
      <c r="G630">
        <v>1</v>
      </c>
      <c r="H630">
        <v>2</v>
      </c>
      <c r="I630" t="s">
        <v>1157</v>
      </c>
      <c r="J630" t="s">
        <v>1158</v>
      </c>
      <c r="K630" t="s">
        <v>1159</v>
      </c>
      <c r="L630">
        <v>1368</v>
      </c>
      <c r="N630">
        <v>1011</v>
      </c>
      <c r="O630" t="s">
        <v>1154</v>
      </c>
      <c r="P630" t="s">
        <v>1154</v>
      </c>
      <c r="Q630">
        <v>1</v>
      </c>
      <c r="X630">
        <v>0.17</v>
      </c>
      <c r="Y630">
        <v>0</v>
      </c>
      <c r="Z630">
        <v>65.709999999999994</v>
      </c>
      <c r="AA630">
        <v>11.6</v>
      </c>
      <c r="AB630">
        <v>0</v>
      </c>
      <c r="AC630">
        <v>0</v>
      </c>
      <c r="AD630">
        <v>1</v>
      </c>
      <c r="AE630">
        <v>0</v>
      </c>
      <c r="AF630" t="s">
        <v>81</v>
      </c>
      <c r="AG630">
        <v>0.21250000000000002</v>
      </c>
      <c r="AH630">
        <v>2</v>
      </c>
      <c r="AI630">
        <v>16632555</v>
      </c>
      <c r="AJ630">
        <v>641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ROW(Source!A281)</f>
        <v>281</v>
      </c>
      <c r="B631">
        <v>16632564</v>
      </c>
      <c r="C631">
        <v>16632550</v>
      </c>
      <c r="D631">
        <v>15161671</v>
      </c>
      <c r="E631">
        <v>17</v>
      </c>
      <c r="F631">
        <v>1</v>
      </c>
      <c r="G631">
        <v>1</v>
      </c>
      <c r="H631">
        <v>3</v>
      </c>
      <c r="I631" t="s">
        <v>1740</v>
      </c>
      <c r="J631" t="s">
        <v>6</v>
      </c>
      <c r="K631" t="s">
        <v>1741</v>
      </c>
      <c r="L631">
        <v>1348</v>
      </c>
      <c r="N631">
        <v>1009</v>
      </c>
      <c r="O631" t="s">
        <v>98</v>
      </c>
      <c r="P631" t="s">
        <v>98</v>
      </c>
      <c r="Q631">
        <v>1000</v>
      </c>
      <c r="X631">
        <v>9.4000000000000004E-3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 t="s">
        <v>6</v>
      </c>
      <c r="AG631">
        <v>9.4000000000000004E-3</v>
      </c>
      <c r="AH631">
        <v>3</v>
      </c>
      <c r="AI631">
        <v>-1</v>
      </c>
      <c r="AJ631" t="s">
        <v>6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ROW(Source!A281)</f>
        <v>281</v>
      </c>
      <c r="B632">
        <v>16632565</v>
      </c>
      <c r="C632">
        <v>16632550</v>
      </c>
      <c r="D632">
        <v>15169941</v>
      </c>
      <c r="E632">
        <v>1</v>
      </c>
      <c r="F632">
        <v>1</v>
      </c>
      <c r="G632">
        <v>1</v>
      </c>
      <c r="H632">
        <v>3</v>
      </c>
      <c r="I632" t="s">
        <v>1580</v>
      </c>
      <c r="J632" t="s">
        <v>1581</v>
      </c>
      <c r="K632" t="s">
        <v>1427</v>
      </c>
      <c r="L632">
        <v>1348</v>
      </c>
      <c r="N632">
        <v>1009</v>
      </c>
      <c r="O632" t="s">
        <v>98</v>
      </c>
      <c r="P632" t="s">
        <v>98</v>
      </c>
      <c r="Q632">
        <v>1000</v>
      </c>
      <c r="X632">
        <v>3.0000000000000001E-5</v>
      </c>
      <c r="Y632">
        <v>9040.01</v>
      </c>
      <c r="Z632">
        <v>0</v>
      </c>
      <c r="AA632">
        <v>0</v>
      </c>
      <c r="AB632">
        <v>0</v>
      </c>
      <c r="AC632">
        <v>0</v>
      </c>
      <c r="AD632">
        <v>1</v>
      </c>
      <c r="AE632">
        <v>0</v>
      </c>
      <c r="AF632" t="s">
        <v>6</v>
      </c>
      <c r="AG632">
        <v>3.0000000000000001E-5</v>
      </c>
      <c r="AH632">
        <v>2</v>
      </c>
      <c r="AI632">
        <v>16632556</v>
      </c>
      <c r="AJ632">
        <v>642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ROW(Source!A281)</f>
        <v>281</v>
      </c>
      <c r="B633">
        <v>16632566</v>
      </c>
      <c r="C633">
        <v>16632550</v>
      </c>
      <c r="D633">
        <v>15170824</v>
      </c>
      <c r="E633">
        <v>1</v>
      </c>
      <c r="F633">
        <v>1</v>
      </c>
      <c r="G633">
        <v>1</v>
      </c>
      <c r="H633">
        <v>3</v>
      </c>
      <c r="I633" t="s">
        <v>1582</v>
      </c>
      <c r="J633" t="s">
        <v>1583</v>
      </c>
      <c r="K633" t="s">
        <v>1584</v>
      </c>
      <c r="L633">
        <v>1346</v>
      </c>
      <c r="N633">
        <v>1009</v>
      </c>
      <c r="O633" t="s">
        <v>102</v>
      </c>
      <c r="P633" t="s">
        <v>102</v>
      </c>
      <c r="Q633">
        <v>1</v>
      </c>
      <c r="X633">
        <v>0.12</v>
      </c>
      <c r="Y633">
        <v>23.09</v>
      </c>
      <c r="Z633">
        <v>0</v>
      </c>
      <c r="AA633">
        <v>0</v>
      </c>
      <c r="AB633">
        <v>0</v>
      </c>
      <c r="AC633">
        <v>0</v>
      </c>
      <c r="AD633">
        <v>1</v>
      </c>
      <c r="AE633">
        <v>0</v>
      </c>
      <c r="AF633" t="s">
        <v>6</v>
      </c>
      <c r="AG633">
        <v>0.12</v>
      </c>
      <c r="AH633">
        <v>2</v>
      </c>
      <c r="AI633">
        <v>16632557</v>
      </c>
      <c r="AJ633">
        <v>643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ROW(Source!A283)</f>
        <v>283</v>
      </c>
      <c r="B634">
        <v>16632574</v>
      </c>
      <c r="C634">
        <v>16632568</v>
      </c>
      <c r="D634">
        <v>15430397</v>
      </c>
      <c r="E634">
        <v>1</v>
      </c>
      <c r="F634">
        <v>1</v>
      </c>
      <c r="G634">
        <v>1</v>
      </c>
      <c r="H634">
        <v>1</v>
      </c>
      <c r="I634" t="s">
        <v>1356</v>
      </c>
      <c r="J634" t="s">
        <v>6</v>
      </c>
      <c r="K634" t="s">
        <v>1357</v>
      </c>
      <c r="L634">
        <v>1191</v>
      </c>
      <c r="N634">
        <v>1013</v>
      </c>
      <c r="O634" t="s">
        <v>1148</v>
      </c>
      <c r="P634" t="s">
        <v>1148</v>
      </c>
      <c r="Q634">
        <v>1</v>
      </c>
      <c r="X634">
        <v>0.6</v>
      </c>
      <c r="Y634">
        <v>0</v>
      </c>
      <c r="Z634">
        <v>0</v>
      </c>
      <c r="AA634">
        <v>0</v>
      </c>
      <c r="AB634">
        <v>9.4</v>
      </c>
      <c r="AC634">
        <v>0</v>
      </c>
      <c r="AD634">
        <v>1</v>
      </c>
      <c r="AE634">
        <v>1</v>
      </c>
      <c r="AF634" t="s">
        <v>6</v>
      </c>
      <c r="AG634">
        <v>0.6</v>
      </c>
      <c r="AH634">
        <v>2</v>
      </c>
      <c r="AI634">
        <v>16632569</v>
      </c>
      <c r="AJ634">
        <v>645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ROW(Source!A283)</f>
        <v>283</v>
      </c>
      <c r="B635">
        <v>16632575</v>
      </c>
      <c r="C635">
        <v>16632568</v>
      </c>
      <c r="D635">
        <v>15226032</v>
      </c>
      <c r="E635">
        <v>1</v>
      </c>
      <c r="F635">
        <v>1</v>
      </c>
      <c r="G635">
        <v>1</v>
      </c>
      <c r="H635">
        <v>3</v>
      </c>
      <c r="I635" t="s">
        <v>1591</v>
      </c>
      <c r="J635" t="s">
        <v>1592</v>
      </c>
      <c r="K635" t="s">
        <v>1593</v>
      </c>
      <c r="L635">
        <v>1348</v>
      </c>
      <c r="N635">
        <v>1009</v>
      </c>
      <c r="O635" t="s">
        <v>98</v>
      </c>
      <c r="P635" t="s">
        <v>98</v>
      </c>
      <c r="Q635">
        <v>1000</v>
      </c>
      <c r="X635">
        <v>6.0000000000000002E-5</v>
      </c>
      <c r="Y635">
        <v>14969.51</v>
      </c>
      <c r="Z635">
        <v>0</v>
      </c>
      <c r="AA635">
        <v>0</v>
      </c>
      <c r="AB635">
        <v>0</v>
      </c>
      <c r="AC635">
        <v>0</v>
      </c>
      <c r="AD635">
        <v>1</v>
      </c>
      <c r="AE635">
        <v>0</v>
      </c>
      <c r="AF635" t="s">
        <v>6</v>
      </c>
      <c r="AG635">
        <v>6.0000000000000002E-5</v>
      </c>
      <c r="AH635">
        <v>2</v>
      </c>
      <c r="AI635">
        <v>16632570</v>
      </c>
      <c r="AJ635">
        <v>646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ROW(Source!A283)</f>
        <v>283</v>
      </c>
      <c r="B636">
        <v>16632576</v>
      </c>
      <c r="C636">
        <v>16632568</v>
      </c>
      <c r="D636">
        <v>15164559</v>
      </c>
      <c r="E636">
        <v>17</v>
      </c>
      <c r="F636">
        <v>1</v>
      </c>
      <c r="G636">
        <v>1</v>
      </c>
      <c r="H636">
        <v>3</v>
      </c>
      <c r="I636" t="s">
        <v>1431</v>
      </c>
      <c r="J636" t="s">
        <v>6</v>
      </c>
      <c r="K636" t="s">
        <v>1432</v>
      </c>
      <c r="L636">
        <v>1374</v>
      </c>
      <c r="N636">
        <v>1013</v>
      </c>
      <c r="O636" t="s">
        <v>1433</v>
      </c>
      <c r="P636" t="s">
        <v>1433</v>
      </c>
      <c r="Q636">
        <v>1</v>
      </c>
      <c r="X636">
        <v>0.11</v>
      </c>
      <c r="Y636">
        <v>1</v>
      </c>
      <c r="Z636">
        <v>0</v>
      </c>
      <c r="AA636">
        <v>0</v>
      </c>
      <c r="AB636">
        <v>0</v>
      </c>
      <c r="AC636">
        <v>0</v>
      </c>
      <c r="AD636">
        <v>1</v>
      </c>
      <c r="AE636">
        <v>0</v>
      </c>
      <c r="AF636" t="s">
        <v>6</v>
      </c>
      <c r="AG636">
        <v>0.11</v>
      </c>
      <c r="AH636">
        <v>2</v>
      </c>
      <c r="AI636">
        <v>16632571</v>
      </c>
      <c r="AJ636">
        <v>648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ROW(Source!A322)</f>
        <v>322</v>
      </c>
      <c r="B637">
        <v>16632583</v>
      </c>
      <c r="C637">
        <v>16632579</v>
      </c>
      <c r="D637">
        <v>15432258</v>
      </c>
      <c r="E637">
        <v>1</v>
      </c>
      <c r="F637">
        <v>1</v>
      </c>
      <c r="G637">
        <v>1</v>
      </c>
      <c r="H637">
        <v>1</v>
      </c>
      <c r="I637" t="s">
        <v>1594</v>
      </c>
      <c r="J637" t="s">
        <v>6</v>
      </c>
      <c r="K637" t="s">
        <v>1595</v>
      </c>
      <c r="L637">
        <v>1191</v>
      </c>
      <c r="N637">
        <v>1013</v>
      </c>
      <c r="O637" t="s">
        <v>1148</v>
      </c>
      <c r="P637" t="s">
        <v>1148</v>
      </c>
      <c r="Q637">
        <v>1</v>
      </c>
      <c r="X637">
        <v>68.8</v>
      </c>
      <c r="Y637">
        <v>0</v>
      </c>
      <c r="Z637">
        <v>0</v>
      </c>
      <c r="AA637">
        <v>0</v>
      </c>
      <c r="AB637">
        <v>8.4600000000000009</v>
      </c>
      <c r="AC637">
        <v>0</v>
      </c>
      <c r="AD637">
        <v>1</v>
      </c>
      <c r="AE637">
        <v>1</v>
      </c>
      <c r="AF637" t="s">
        <v>6</v>
      </c>
      <c r="AG637">
        <v>68.8</v>
      </c>
      <c r="AH637">
        <v>2</v>
      </c>
      <c r="AI637">
        <v>16632580</v>
      </c>
      <c r="AJ637">
        <v>649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ROW(Source!A322)</f>
        <v>322</v>
      </c>
      <c r="B638">
        <v>16632584</v>
      </c>
      <c r="C638">
        <v>16632579</v>
      </c>
      <c r="D638">
        <v>15430395</v>
      </c>
      <c r="E638">
        <v>1</v>
      </c>
      <c r="F638">
        <v>1</v>
      </c>
      <c r="G638">
        <v>1</v>
      </c>
      <c r="H638">
        <v>1</v>
      </c>
      <c r="I638" t="s">
        <v>1149</v>
      </c>
      <c r="J638" t="s">
        <v>6</v>
      </c>
      <c r="K638" t="s">
        <v>1150</v>
      </c>
      <c r="L638">
        <v>1191</v>
      </c>
      <c r="N638">
        <v>1013</v>
      </c>
      <c r="O638" t="s">
        <v>1148</v>
      </c>
      <c r="P638" t="s">
        <v>1148</v>
      </c>
      <c r="Q638">
        <v>1</v>
      </c>
      <c r="X638">
        <v>0.16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1</v>
      </c>
      <c r="AE638">
        <v>2</v>
      </c>
      <c r="AF638" t="s">
        <v>6</v>
      </c>
      <c r="AG638">
        <v>0.16</v>
      </c>
      <c r="AH638">
        <v>2</v>
      </c>
      <c r="AI638">
        <v>16632581</v>
      </c>
      <c r="AJ638">
        <v>650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ROW(Source!A322)</f>
        <v>322</v>
      </c>
      <c r="B639">
        <v>16632585</v>
      </c>
      <c r="C639">
        <v>16632579</v>
      </c>
      <c r="D639">
        <v>15247974</v>
      </c>
      <c r="E639">
        <v>1</v>
      </c>
      <c r="F639">
        <v>1</v>
      </c>
      <c r="G639">
        <v>1</v>
      </c>
      <c r="H639">
        <v>2</v>
      </c>
      <c r="I639" t="s">
        <v>1151</v>
      </c>
      <c r="J639" t="s">
        <v>1152</v>
      </c>
      <c r="K639" t="s">
        <v>1153</v>
      </c>
      <c r="L639">
        <v>1368</v>
      </c>
      <c r="N639">
        <v>1011</v>
      </c>
      <c r="O639" t="s">
        <v>1154</v>
      </c>
      <c r="P639" t="s">
        <v>1154</v>
      </c>
      <c r="Q639">
        <v>1</v>
      </c>
      <c r="X639">
        <v>0.16</v>
      </c>
      <c r="Y639">
        <v>0</v>
      </c>
      <c r="Z639">
        <v>31.26</v>
      </c>
      <c r="AA639">
        <v>13.5</v>
      </c>
      <c r="AB639">
        <v>0</v>
      </c>
      <c r="AC639">
        <v>0</v>
      </c>
      <c r="AD639">
        <v>1</v>
      </c>
      <c r="AE639">
        <v>0</v>
      </c>
      <c r="AF639" t="s">
        <v>6</v>
      </c>
      <c r="AG639">
        <v>0.16</v>
      </c>
      <c r="AH639">
        <v>2</v>
      </c>
      <c r="AI639">
        <v>16632582</v>
      </c>
      <c r="AJ639">
        <v>651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ROW(Source!A322)</f>
        <v>322</v>
      </c>
      <c r="B640">
        <v>16632586</v>
      </c>
      <c r="C640">
        <v>16632579</v>
      </c>
      <c r="D640">
        <v>15164566</v>
      </c>
      <c r="E640">
        <v>17</v>
      </c>
      <c r="F640">
        <v>1</v>
      </c>
      <c r="G640">
        <v>1</v>
      </c>
      <c r="H640">
        <v>3</v>
      </c>
      <c r="I640" t="s">
        <v>1670</v>
      </c>
      <c r="J640" t="s">
        <v>6</v>
      </c>
      <c r="K640" t="s">
        <v>1714</v>
      </c>
      <c r="L640">
        <v>1348</v>
      </c>
      <c r="N640">
        <v>1009</v>
      </c>
      <c r="O640" t="s">
        <v>98</v>
      </c>
      <c r="P640" t="s">
        <v>98</v>
      </c>
      <c r="Q640">
        <v>1000</v>
      </c>
      <c r="X640">
        <v>0.59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 t="s">
        <v>6</v>
      </c>
      <c r="AG640">
        <v>0.59</v>
      </c>
      <c r="AH640">
        <v>3</v>
      </c>
      <c r="AI640">
        <v>-1</v>
      </c>
      <c r="AJ640" t="s">
        <v>6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ROW(Source!A323)</f>
        <v>323</v>
      </c>
      <c r="B641">
        <v>16632591</v>
      </c>
      <c r="C641">
        <v>16632587</v>
      </c>
      <c r="D641">
        <v>15432258</v>
      </c>
      <c r="E641">
        <v>1</v>
      </c>
      <c r="F641">
        <v>1</v>
      </c>
      <c r="G641">
        <v>1</v>
      </c>
      <c r="H641">
        <v>1</v>
      </c>
      <c r="I641" t="s">
        <v>1594</v>
      </c>
      <c r="J641" t="s">
        <v>6</v>
      </c>
      <c r="K641" t="s">
        <v>1595</v>
      </c>
      <c r="L641">
        <v>1191</v>
      </c>
      <c r="N641">
        <v>1013</v>
      </c>
      <c r="O641" t="s">
        <v>1148</v>
      </c>
      <c r="P641" t="s">
        <v>1148</v>
      </c>
      <c r="Q641">
        <v>1</v>
      </c>
      <c r="X641">
        <v>85.3</v>
      </c>
      <c r="Y641">
        <v>0</v>
      </c>
      <c r="Z641">
        <v>0</v>
      </c>
      <c r="AA641">
        <v>0</v>
      </c>
      <c r="AB641">
        <v>8.4600000000000009</v>
      </c>
      <c r="AC641">
        <v>0</v>
      </c>
      <c r="AD641">
        <v>1</v>
      </c>
      <c r="AE641">
        <v>1</v>
      </c>
      <c r="AF641" t="s">
        <v>6</v>
      </c>
      <c r="AG641">
        <v>85.3</v>
      </c>
      <c r="AH641">
        <v>2</v>
      </c>
      <c r="AI641">
        <v>16632588</v>
      </c>
      <c r="AJ641">
        <v>652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ROW(Source!A323)</f>
        <v>323</v>
      </c>
      <c r="B642">
        <v>16632592</v>
      </c>
      <c r="C642">
        <v>16632587</v>
      </c>
      <c r="D642">
        <v>15430395</v>
      </c>
      <c r="E642">
        <v>1</v>
      </c>
      <c r="F642">
        <v>1</v>
      </c>
      <c r="G642">
        <v>1</v>
      </c>
      <c r="H642">
        <v>1</v>
      </c>
      <c r="I642" t="s">
        <v>1149</v>
      </c>
      <c r="J642" t="s">
        <v>6</v>
      </c>
      <c r="K642" t="s">
        <v>1150</v>
      </c>
      <c r="L642">
        <v>1191</v>
      </c>
      <c r="N642">
        <v>1013</v>
      </c>
      <c r="O642" t="s">
        <v>1148</v>
      </c>
      <c r="P642" t="s">
        <v>1148</v>
      </c>
      <c r="Q642">
        <v>1</v>
      </c>
      <c r="X642">
        <v>0.32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1</v>
      </c>
      <c r="AE642">
        <v>2</v>
      </c>
      <c r="AF642" t="s">
        <v>6</v>
      </c>
      <c r="AG642">
        <v>0.32</v>
      </c>
      <c r="AH642">
        <v>2</v>
      </c>
      <c r="AI642">
        <v>16632589</v>
      </c>
      <c r="AJ642">
        <v>653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ROW(Source!A323)</f>
        <v>323</v>
      </c>
      <c r="B643">
        <v>16632593</v>
      </c>
      <c r="C643">
        <v>16632587</v>
      </c>
      <c r="D643">
        <v>15247974</v>
      </c>
      <c r="E643">
        <v>1</v>
      </c>
      <c r="F643">
        <v>1</v>
      </c>
      <c r="G643">
        <v>1</v>
      </c>
      <c r="H643">
        <v>2</v>
      </c>
      <c r="I643" t="s">
        <v>1151</v>
      </c>
      <c r="J643" t="s">
        <v>1152</v>
      </c>
      <c r="K643" t="s">
        <v>1153</v>
      </c>
      <c r="L643">
        <v>1368</v>
      </c>
      <c r="N643">
        <v>1011</v>
      </c>
      <c r="O643" t="s">
        <v>1154</v>
      </c>
      <c r="P643" t="s">
        <v>1154</v>
      </c>
      <c r="Q643">
        <v>1</v>
      </c>
      <c r="X643">
        <v>0.32</v>
      </c>
      <c r="Y643">
        <v>0</v>
      </c>
      <c r="Z643">
        <v>31.26</v>
      </c>
      <c r="AA643">
        <v>13.5</v>
      </c>
      <c r="AB643">
        <v>0</v>
      </c>
      <c r="AC643">
        <v>0</v>
      </c>
      <c r="AD643">
        <v>1</v>
      </c>
      <c r="AE643">
        <v>0</v>
      </c>
      <c r="AF643" t="s">
        <v>6</v>
      </c>
      <c r="AG643">
        <v>0.32</v>
      </c>
      <c r="AH643">
        <v>2</v>
      </c>
      <c r="AI643">
        <v>16632590</v>
      </c>
      <c r="AJ643">
        <v>654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ROW(Source!A323)</f>
        <v>323</v>
      </c>
      <c r="B644">
        <v>16632594</v>
      </c>
      <c r="C644">
        <v>16632587</v>
      </c>
      <c r="D644">
        <v>15164566</v>
      </c>
      <c r="E644">
        <v>17</v>
      </c>
      <c r="F644">
        <v>1</v>
      </c>
      <c r="G644">
        <v>1</v>
      </c>
      <c r="H644">
        <v>3</v>
      </c>
      <c r="I644" t="s">
        <v>1670</v>
      </c>
      <c r="J644" t="s">
        <v>6</v>
      </c>
      <c r="K644" t="s">
        <v>1714</v>
      </c>
      <c r="L644">
        <v>1348</v>
      </c>
      <c r="N644">
        <v>1009</v>
      </c>
      <c r="O644" t="s">
        <v>98</v>
      </c>
      <c r="P644" t="s">
        <v>98</v>
      </c>
      <c r="Q644">
        <v>1000</v>
      </c>
      <c r="X644">
        <v>1.34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 t="s">
        <v>6</v>
      </c>
      <c r="AG644">
        <v>1.34</v>
      </c>
      <c r="AH644">
        <v>3</v>
      </c>
      <c r="AI644">
        <v>-1</v>
      </c>
      <c r="AJ644" t="s">
        <v>6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ROW(Source!A324)</f>
        <v>324</v>
      </c>
      <c r="B645">
        <v>16632603</v>
      </c>
      <c r="C645">
        <v>16632595</v>
      </c>
      <c r="D645">
        <v>15430447</v>
      </c>
      <c r="E645">
        <v>1</v>
      </c>
      <c r="F645">
        <v>1</v>
      </c>
      <c r="G645">
        <v>1</v>
      </c>
      <c r="H645">
        <v>1</v>
      </c>
      <c r="I645" t="s">
        <v>1464</v>
      </c>
      <c r="J645" t="s">
        <v>6</v>
      </c>
      <c r="K645" t="s">
        <v>1465</v>
      </c>
      <c r="L645">
        <v>1191</v>
      </c>
      <c r="N645">
        <v>1013</v>
      </c>
      <c r="O645" t="s">
        <v>1148</v>
      </c>
      <c r="P645" t="s">
        <v>1148</v>
      </c>
      <c r="Q645">
        <v>1</v>
      </c>
      <c r="X645">
        <v>96</v>
      </c>
      <c r="Y645">
        <v>0</v>
      </c>
      <c r="Z645">
        <v>0</v>
      </c>
      <c r="AA645">
        <v>0</v>
      </c>
      <c r="AB645">
        <v>9.07</v>
      </c>
      <c r="AC645">
        <v>0</v>
      </c>
      <c r="AD645">
        <v>1</v>
      </c>
      <c r="AE645">
        <v>1</v>
      </c>
      <c r="AF645" t="s">
        <v>6</v>
      </c>
      <c r="AG645">
        <v>96</v>
      </c>
      <c r="AH645">
        <v>2</v>
      </c>
      <c r="AI645">
        <v>16632596</v>
      </c>
      <c r="AJ645">
        <v>655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ROW(Source!A324)</f>
        <v>324</v>
      </c>
      <c r="B646">
        <v>16632604</v>
      </c>
      <c r="C646">
        <v>16632595</v>
      </c>
      <c r="D646">
        <v>15430395</v>
      </c>
      <c r="E646">
        <v>1</v>
      </c>
      <c r="F646">
        <v>1</v>
      </c>
      <c r="G646">
        <v>1</v>
      </c>
      <c r="H646">
        <v>1</v>
      </c>
      <c r="I646" t="s">
        <v>1149</v>
      </c>
      <c r="J646" t="s">
        <v>6</v>
      </c>
      <c r="K646" t="s">
        <v>1150</v>
      </c>
      <c r="L646">
        <v>1191</v>
      </c>
      <c r="N646">
        <v>1013</v>
      </c>
      <c r="O646" t="s">
        <v>1148</v>
      </c>
      <c r="P646" t="s">
        <v>1148</v>
      </c>
      <c r="Q646">
        <v>1</v>
      </c>
      <c r="X646">
        <v>0.66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1</v>
      </c>
      <c r="AE646">
        <v>2</v>
      </c>
      <c r="AF646" t="s">
        <v>6</v>
      </c>
      <c r="AG646">
        <v>0.66</v>
      </c>
      <c r="AH646">
        <v>2</v>
      </c>
      <c r="AI646">
        <v>16632597</v>
      </c>
      <c r="AJ646">
        <v>656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ROW(Source!A324)</f>
        <v>324</v>
      </c>
      <c r="B647">
        <v>16632605</v>
      </c>
      <c r="C647">
        <v>16632595</v>
      </c>
      <c r="D647">
        <v>15247974</v>
      </c>
      <c r="E647">
        <v>1</v>
      </c>
      <c r="F647">
        <v>1</v>
      </c>
      <c r="G647">
        <v>1</v>
      </c>
      <c r="H647">
        <v>2</v>
      </c>
      <c r="I647" t="s">
        <v>1151</v>
      </c>
      <c r="J647" t="s">
        <v>1152</v>
      </c>
      <c r="K647" t="s">
        <v>1153</v>
      </c>
      <c r="L647">
        <v>1368</v>
      </c>
      <c r="N647">
        <v>1011</v>
      </c>
      <c r="O647" t="s">
        <v>1154</v>
      </c>
      <c r="P647" t="s">
        <v>1154</v>
      </c>
      <c r="Q647">
        <v>1</v>
      </c>
      <c r="X647">
        <v>0.33</v>
      </c>
      <c r="Y647">
        <v>0</v>
      </c>
      <c r="Z647">
        <v>31.26</v>
      </c>
      <c r="AA647">
        <v>13.5</v>
      </c>
      <c r="AB647">
        <v>0</v>
      </c>
      <c r="AC647">
        <v>0</v>
      </c>
      <c r="AD647">
        <v>1</v>
      </c>
      <c r="AE647">
        <v>0</v>
      </c>
      <c r="AF647" t="s">
        <v>6</v>
      </c>
      <c r="AG647">
        <v>0.33</v>
      </c>
      <c r="AH647">
        <v>2</v>
      </c>
      <c r="AI647">
        <v>16632598</v>
      </c>
      <c r="AJ647">
        <v>657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ROW(Source!A324)</f>
        <v>324</v>
      </c>
      <c r="B648">
        <v>16632606</v>
      </c>
      <c r="C648">
        <v>16632595</v>
      </c>
      <c r="D648">
        <v>15249073</v>
      </c>
      <c r="E648">
        <v>1</v>
      </c>
      <c r="F648">
        <v>1</v>
      </c>
      <c r="G648">
        <v>1</v>
      </c>
      <c r="H648">
        <v>2</v>
      </c>
      <c r="I648" t="s">
        <v>1157</v>
      </c>
      <c r="J648" t="s">
        <v>1158</v>
      </c>
      <c r="K648" t="s">
        <v>1159</v>
      </c>
      <c r="L648">
        <v>1368</v>
      </c>
      <c r="N648">
        <v>1011</v>
      </c>
      <c r="O648" t="s">
        <v>1154</v>
      </c>
      <c r="P648" t="s">
        <v>1154</v>
      </c>
      <c r="Q648">
        <v>1</v>
      </c>
      <c r="X648">
        <v>0.33</v>
      </c>
      <c r="Y648">
        <v>0</v>
      </c>
      <c r="Z648">
        <v>65.709999999999994</v>
      </c>
      <c r="AA648">
        <v>11.6</v>
      </c>
      <c r="AB648">
        <v>0</v>
      </c>
      <c r="AC648">
        <v>0</v>
      </c>
      <c r="AD648">
        <v>1</v>
      </c>
      <c r="AE648">
        <v>0</v>
      </c>
      <c r="AF648" t="s">
        <v>6</v>
      </c>
      <c r="AG648">
        <v>0.33</v>
      </c>
      <c r="AH648">
        <v>2</v>
      </c>
      <c r="AI648">
        <v>16632599</v>
      </c>
      <c r="AJ648">
        <v>658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ROW(Source!A324)</f>
        <v>324</v>
      </c>
      <c r="B649">
        <v>16632607</v>
      </c>
      <c r="C649">
        <v>16632595</v>
      </c>
      <c r="D649">
        <v>15167955</v>
      </c>
      <c r="E649">
        <v>1</v>
      </c>
      <c r="F649">
        <v>1</v>
      </c>
      <c r="G649">
        <v>1</v>
      </c>
      <c r="H649">
        <v>3</v>
      </c>
      <c r="I649" t="s">
        <v>1596</v>
      </c>
      <c r="J649" t="s">
        <v>1597</v>
      </c>
      <c r="K649" t="s">
        <v>1598</v>
      </c>
      <c r="L649">
        <v>1348</v>
      </c>
      <c r="N649">
        <v>1009</v>
      </c>
      <c r="O649" t="s">
        <v>98</v>
      </c>
      <c r="P649" t="s">
        <v>98</v>
      </c>
      <c r="Q649">
        <v>1000</v>
      </c>
      <c r="X649">
        <v>7.0000000000000001E-3</v>
      </c>
      <c r="Y649">
        <v>30030</v>
      </c>
      <c r="Z649">
        <v>0</v>
      </c>
      <c r="AA649">
        <v>0</v>
      </c>
      <c r="AB649">
        <v>0</v>
      </c>
      <c r="AC649">
        <v>0</v>
      </c>
      <c r="AD649">
        <v>1</v>
      </c>
      <c r="AE649">
        <v>0</v>
      </c>
      <c r="AF649" t="s">
        <v>6</v>
      </c>
      <c r="AG649">
        <v>7.0000000000000001E-3</v>
      </c>
      <c r="AH649">
        <v>2</v>
      </c>
      <c r="AI649">
        <v>16632600</v>
      </c>
      <c r="AJ649">
        <v>659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ROW(Source!A324)</f>
        <v>324</v>
      </c>
      <c r="B650">
        <v>16632608</v>
      </c>
      <c r="C650">
        <v>16632595</v>
      </c>
      <c r="D650">
        <v>15172118</v>
      </c>
      <c r="E650">
        <v>1</v>
      </c>
      <c r="F650">
        <v>1</v>
      </c>
      <c r="G650">
        <v>1</v>
      </c>
      <c r="H650">
        <v>3</v>
      </c>
      <c r="I650" t="s">
        <v>1599</v>
      </c>
      <c r="J650" t="s">
        <v>1600</v>
      </c>
      <c r="K650" t="s">
        <v>1601</v>
      </c>
      <c r="L650">
        <v>1348</v>
      </c>
      <c r="N650">
        <v>1009</v>
      </c>
      <c r="O650" t="s">
        <v>98</v>
      </c>
      <c r="P650" t="s">
        <v>98</v>
      </c>
      <c r="Q650">
        <v>1000</v>
      </c>
      <c r="X650">
        <v>2.4E-2</v>
      </c>
      <c r="Y650">
        <v>2165.8000000000002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0</v>
      </c>
      <c r="AF650" t="s">
        <v>6</v>
      </c>
      <c r="AG650">
        <v>2.4E-2</v>
      </c>
      <c r="AH650">
        <v>2</v>
      </c>
      <c r="AI650">
        <v>16632601</v>
      </c>
      <c r="AJ650">
        <v>660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ROW(Source!A324)</f>
        <v>324</v>
      </c>
      <c r="B651">
        <v>16632609</v>
      </c>
      <c r="C651">
        <v>16632595</v>
      </c>
      <c r="D651">
        <v>15161722</v>
      </c>
      <c r="E651">
        <v>17</v>
      </c>
      <c r="F651">
        <v>1</v>
      </c>
      <c r="G651">
        <v>1</v>
      </c>
      <c r="H651">
        <v>3</v>
      </c>
      <c r="I651" t="s">
        <v>1742</v>
      </c>
      <c r="J651" t="s">
        <v>6</v>
      </c>
      <c r="K651" t="s">
        <v>1743</v>
      </c>
      <c r="L651">
        <v>1035</v>
      </c>
      <c r="N651">
        <v>1013</v>
      </c>
      <c r="O651" t="s">
        <v>177</v>
      </c>
      <c r="P651" t="s">
        <v>177</v>
      </c>
      <c r="Q651">
        <v>1</v>
      </c>
      <c r="X651">
        <v>100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 t="s">
        <v>6</v>
      </c>
      <c r="AG651">
        <v>100</v>
      </c>
      <c r="AH651">
        <v>3</v>
      </c>
      <c r="AI651">
        <v>-1</v>
      </c>
      <c r="AJ651" t="s">
        <v>6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ROW(Source!A326)</f>
        <v>326</v>
      </c>
      <c r="B652">
        <v>16632615</v>
      </c>
      <c r="C652">
        <v>16632611</v>
      </c>
      <c r="D652">
        <v>15430767</v>
      </c>
      <c r="E652">
        <v>1</v>
      </c>
      <c r="F652">
        <v>1</v>
      </c>
      <c r="G652">
        <v>1</v>
      </c>
      <c r="H652">
        <v>1</v>
      </c>
      <c r="I652" t="s">
        <v>1171</v>
      </c>
      <c r="J652" t="s">
        <v>6</v>
      </c>
      <c r="K652" t="s">
        <v>1172</v>
      </c>
      <c r="L652">
        <v>1191</v>
      </c>
      <c r="N652">
        <v>1013</v>
      </c>
      <c r="O652" t="s">
        <v>1148</v>
      </c>
      <c r="P652" t="s">
        <v>1148</v>
      </c>
      <c r="Q652">
        <v>1</v>
      </c>
      <c r="X652">
        <v>293</v>
      </c>
      <c r="Y652">
        <v>0</v>
      </c>
      <c r="Z652">
        <v>0</v>
      </c>
      <c r="AA652">
        <v>0</v>
      </c>
      <c r="AB652">
        <v>8.5299999999999994</v>
      </c>
      <c r="AC652">
        <v>0</v>
      </c>
      <c r="AD652">
        <v>1</v>
      </c>
      <c r="AE652">
        <v>1</v>
      </c>
      <c r="AF652" t="s">
        <v>6</v>
      </c>
      <c r="AG652">
        <v>293</v>
      </c>
      <c r="AH652">
        <v>2</v>
      </c>
      <c r="AI652">
        <v>16632612</v>
      </c>
      <c r="AJ652">
        <v>662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ROW(Source!A326)</f>
        <v>326</v>
      </c>
      <c r="B653">
        <v>16632616</v>
      </c>
      <c r="C653">
        <v>16632611</v>
      </c>
      <c r="D653">
        <v>15430395</v>
      </c>
      <c r="E653">
        <v>1</v>
      </c>
      <c r="F653">
        <v>1</v>
      </c>
      <c r="G653">
        <v>1</v>
      </c>
      <c r="H653">
        <v>1</v>
      </c>
      <c r="I653" t="s">
        <v>1149</v>
      </c>
      <c r="J653" t="s">
        <v>6</v>
      </c>
      <c r="K653" t="s">
        <v>1150</v>
      </c>
      <c r="L653">
        <v>1191</v>
      </c>
      <c r="N653">
        <v>1013</v>
      </c>
      <c r="O653" t="s">
        <v>1148</v>
      </c>
      <c r="P653" t="s">
        <v>1148</v>
      </c>
      <c r="Q653">
        <v>1</v>
      </c>
      <c r="X653">
        <v>2.63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1</v>
      </c>
      <c r="AE653">
        <v>2</v>
      </c>
      <c r="AF653" t="s">
        <v>6</v>
      </c>
      <c r="AG653">
        <v>2.63</v>
      </c>
      <c r="AH653">
        <v>2</v>
      </c>
      <c r="AI653">
        <v>16632613</v>
      </c>
      <c r="AJ653">
        <v>663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ROW(Source!A326)</f>
        <v>326</v>
      </c>
      <c r="B654">
        <v>16632617</v>
      </c>
      <c r="C654">
        <v>16632611</v>
      </c>
      <c r="D654">
        <v>15247974</v>
      </c>
      <c r="E654">
        <v>1</v>
      </c>
      <c r="F654">
        <v>1</v>
      </c>
      <c r="G654">
        <v>1</v>
      </c>
      <c r="H654">
        <v>2</v>
      </c>
      <c r="I654" t="s">
        <v>1151</v>
      </c>
      <c r="J654" t="s">
        <v>1152</v>
      </c>
      <c r="K654" t="s">
        <v>1153</v>
      </c>
      <c r="L654">
        <v>1368</v>
      </c>
      <c r="N654">
        <v>1011</v>
      </c>
      <c r="O654" t="s">
        <v>1154</v>
      </c>
      <c r="P654" t="s">
        <v>1154</v>
      </c>
      <c r="Q654">
        <v>1</v>
      </c>
      <c r="X654">
        <v>2.63</v>
      </c>
      <c r="Y654">
        <v>0</v>
      </c>
      <c r="Z654">
        <v>31.26</v>
      </c>
      <c r="AA654">
        <v>13.5</v>
      </c>
      <c r="AB654">
        <v>0</v>
      </c>
      <c r="AC654">
        <v>0</v>
      </c>
      <c r="AD654">
        <v>1</v>
      </c>
      <c r="AE654">
        <v>0</v>
      </c>
      <c r="AF654" t="s">
        <v>6</v>
      </c>
      <c r="AG654">
        <v>2.63</v>
      </c>
      <c r="AH654">
        <v>2</v>
      </c>
      <c r="AI654">
        <v>16632614</v>
      </c>
      <c r="AJ654">
        <v>664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ROW(Source!A326)</f>
        <v>326</v>
      </c>
      <c r="B655">
        <v>16632618</v>
      </c>
      <c r="C655">
        <v>16632611</v>
      </c>
      <c r="D655">
        <v>15164566</v>
      </c>
      <c r="E655">
        <v>17</v>
      </c>
      <c r="F655">
        <v>1</v>
      </c>
      <c r="G655">
        <v>1</v>
      </c>
      <c r="H655">
        <v>3</v>
      </c>
      <c r="I655" t="s">
        <v>1670</v>
      </c>
      <c r="J655" t="s">
        <v>6</v>
      </c>
      <c r="K655" t="s">
        <v>1714</v>
      </c>
      <c r="L655">
        <v>1348</v>
      </c>
      <c r="N655">
        <v>1009</v>
      </c>
      <c r="O655" t="s">
        <v>98</v>
      </c>
      <c r="P655" t="s">
        <v>98</v>
      </c>
      <c r="Q655">
        <v>1000</v>
      </c>
      <c r="X655">
        <v>11.4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 t="s">
        <v>6</v>
      </c>
      <c r="AG655">
        <v>11.4</v>
      </c>
      <c r="AH655">
        <v>3</v>
      </c>
      <c r="AI655">
        <v>-1</v>
      </c>
      <c r="AJ655" t="s">
        <v>6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ROW(Source!A327)</f>
        <v>327</v>
      </c>
      <c r="B656">
        <v>16632623</v>
      </c>
      <c r="C656">
        <v>16632619</v>
      </c>
      <c r="D656">
        <v>15430767</v>
      </c>
      <c r="E656">
        <v>1</v>
      </c>
      <c r="F656">
        <v>1</v>
      </c>
      <c r="G656">
        <v>1</v>
      </c>
      <c r="H656">
        <v>1</v>
      </c>
      <c r="I656" t="s">
        <v>1171</v>
      </c>
      <c r="J656" t="s">
        <v>6</v>
      </c>
      <c r="K656" t="s">
        <v>1172</v>
      </c>
      <c r="L656">
        <v>1191</v>
      </c>
      <c r="N656">
        <v>1013</v>
      </c>
      <c r="O656" t="s">
        <v>1148</v>
      </c>
      <c r="P656" t="s">
        <v>1148</v>
      </c>
      <c r="Q656">
        <v>1</v>
      </c>
      <c r="X656">
        <v>102.6</v>
      </c>
      <c r="Y656">
        <v>0</v>
      </c>
      <c r="Z656">
        <v>0</v>
      </c>
      <c r="AA656">
        <v>0</v>
      </c>
      <c r="AB656">
        <v>8.5299999999999994</v>
      </c>
      <c r="AC656">
        <v>0</v>
      </c>
      <c r="AD656">
        <v>1</v>
      </c>
      <c r="AE656">
        <v>1</v>
      </c>
      <c r="AF656" t="s">
        <v>6</v>
      </c>
      <c r="AG656">
        <v>102.6</v>
      </c>
      <c r="AH656">
        <v>2</v>
      </c>
      <c r="AI656">
        <v>16632620</v>
      </c>
      <c r="AJ656">
        <v>665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ROW(Source!A327)</f>
        <v>327</v>
      </c>
      <c r="B657">
        <v>16632624</v>
      </c>
      <c r="C657">
        <v>16632619</v>
      </c>
      <c r="D657">
        <v>15430395</v>
      </c>
      <c r="E657">
        <v>1</v>
      </c>
      <c r="F657">
        <v>1</v>
      </c>
      <c r="G657">
        <v>1</v>
      </c>
      <c r="H657">
        <v>1</v>
      </c>
      <c r="I657" t="s">
        <v>1149</v>
      </c>
      <c r="J657" t="s">
        <v>6</v>
      </c>
      <c r="K657" t="s">
        <v>1150</v>
      </c>
      <c r="L657">
        <v>1191</v>
      </c>
      <c r="N657">
        <v>1013</v>
      </c>
      <c r="O657" t="s">
        <v>1148</v>
      </c>
      <c r="P657" t="s">
        <v>1148</v>
      </c>
      <c r="Q657">
        <v>1</v>
      </c>
      <c r="X657">
        <v>0.79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2</v>
      </c>
      <c r="AF657" t="s">
        <v>6</v>
      </c>
      <c r="AG657">
        <v>0.79</v>
      </c>
      <c r="AH657">
        <v>2</v>
      </c>
      <c r="AI657">
        <v>16632621</v>
      </c>
      <c r="AJ657">
        <v>666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ROW(Source!A327)</f>
        <v>327</v>
      </c>
      <c r="B658">
        <v>16632625</v>
      </c>
      <c r="C658">
        <v>16632619</v>
      </c>
      <c r="D658">
        <v>15247974</v>
      </c>
      <c r="E658">
        <v>1</v>
      </c>
      <c r="F658">
        <v>1</v>
      </c>
      <c r="G658">
        <v>1</v>
      </c>
      <c r="H658">
        <v>2</v>
      </c>
      <c r="I658" t="s">
        <v>1151</v>
      </c>
      <c r="J658" t="s">
        <v>1152</v>
      </c>
      <c r="K658" t="s">
        <v>1153</v>
      </c>
      <c r="L658">
        <v>1368</v>
      </c>
      <c r="N658">
        <v>1011</v>
      </c>
      <c r="O658" t="s">
        <v>1154</v>
      </c>
      <c r="P658" t="s">
        <v>1154</v>
      </c>
      <c r="Q658">
        <v>1</v>
      </c>
      <c r="X658">
        <v>0.79</v>
      </c>
      <c r="Y658">
        <v>0</v>
      </c>
      <c r="Z658">
        <v>31.26</v>
      </c>
      <c r="AA658">
        <v>13.5</v>
      </c>
      <c r="AB658">
        <v>0</v>
      </c>
      <c r="AC658">
        <v>0</v>
      </c>
      <c r="AD658">
        <v>1</v>
      </c>
      <c r="AE658">
        <v>0</v>
      </c>
      <c r="AF658" t="s">
        <v>6</v>
      </c>
      <c r="AG658">
        <v>0.79</v>
      </c>
      <c r="AH658">
        <v>2</v>
      </c>
      <c r="AI658">
        <v>16632622</v>
      </c>
      <c r="AJ658">
        <v>667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ROW(Source!A327)</f>
        <v>327</v>
      </c>
      <c r="B659">
        <v>16632626</v>
      </c>
      <c r="C659">
        <v>16632619</v>
      </c>
      <c r="D659">
        <v>15164566</v>
      </c>
      <c r="E659">
        <v>17</v>
      </c>
      <c r="F659">
        <v>1</v>
      </c>
      <c r="G659">
        <v>1</v>
      </c>
      <c r="H659">
        <v>3</v>
      </c>
      <c r="I659" t="s">
        <v>1670</v>
      </c>
      <c r="J659" t="s">
        <v>6</v>
      </c>
      <c r="K659" t="s">
        <v>1714</v>
      </c>
      <c r="L659">
        <v>1348</v>
      </c>
      <c r="N659">
        <v>1009</v>
      </c>
      <c r="O659" t="s">
        <v>98</v>
      </c>
      <c r="P659" t="s">
        <v>98</v>
      </c>
      <c r="Q659">
        <v>1000</v>
      </c>
      <c r="X659">
        <v>1.18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 t="s">
        <v>6</v>
      </c>
      <c r="AG659">
        <v>1.18</v>
      </c>
      <c r="AH659">
        <v>3</v>
      </c>
      <c r="AI659">
        <v>-1</v>
      </c>
      <c r="AJ659" t="s">
        <v>6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ROW(Source!A328)</f>
        <v>328</v>
      </c>
      <c r="B660">
        <v>16632631</v>
      </c>
      <c r="C660">
        <v>16632627</v>
      </c>
      <c r="D660">
        <v>15430767</v>
      </c>
      <c r="E660">
        <v>1</v>
      </c>
      <c r="F660">
        <v>1</v>
      </c>
      <c r="G660">
        <v>1</v>
      </c>
      <c r="H660">
        <v>1</v>
      </c>
      <c r="I660" t="s">
        <v>1171</v>
      </c>
      <c r="J660" t="s">
        <v>6</v>
      </c>
      <c r="K660" t="s">
        <v>1172</v>
      </c>
      <c r="L660">
        <v>1191</v>
      </c>
      <c r="N660">
        <v>1013</v>
      </c>
      <c r="O660" t="s">
        <v>1148</v>
      </c>
      <c r="P660" t="s">
        <v>1148</v>
      </c>
      <c r="Q660">
        <v>1</v>
      </c>
      <c r="X660">
        <v>51.3</v>
      </c>
      <c r="Y660">
        <v>0</v>
      </c>
      <c r="Z660">
        <v>0</v>
      </c>
      <c r="AA660">
        <v>0</v>
      </c>
      <c r="AB660">
        <v>8.5299999999999994</v>
      </c>
      <c r="AC660">
        <v>0</v>
      </c>
      <c r="AD660">
        <v>1</v>
      </c>
      <c r="AE660">
        <v>1</v>
      </c>
      <c r="AF660" t="s">
        <v>6</v>
      </c>
      <c r="AG660">
        <v>51.3</v>
      </c>
      <c r="AH660">
        <v>2</v>
      </c>
      <c r="AI660">
        <v>16632628</v>
      </c>
      <c r="AJ660">
        <v>668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ROW(Source!A328)</f>
        <v>328</v>
      </c>
      <c r="B661">
        <v>16632632</v>
      </c>
      <c r="C661">
        <v>16632627</v>
      </c>
      <c r="D661">
        <v>15430395</v>
      </c>
      <c r="E661">
        <v>1</v>
      </c>
      <c r="F661">
        <v>1</v>
      </c>
      <c r="G661">
        <v>1</v>
      </c>
      <c r="H661">
        <v>1</v>
      </c>
      <c r="I661" t="s">
        <v>1149</v>
      </c>
      <c r="J661" t="s">
        <v>6</v>
      </c>
      <c r="K661" t="s">
        <v>1150</v>
      </c>
      <c r="L661">
        <v>1191</v>
      </c>
      <c r="N661">
        <v>1013</v>
      </c>
      <c r="O661" t="s">
        <v>1148</v>
      </c>
      <c r="P661" t="s">
        <v>1148</v>
      </c>
      <c r="Q661">
        <v>1</v>
      </c>
      <c r="X661">
        <v>0.26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1</v>
      </c>
      <c r="AE661">
        <v>2</v>
      </c>
      <c r="AF661" t="s">
        <v>6</v>
      </c>
      <c r="AG661">
        <v>0.26</v>
      </c>
      <c r="AH661">
        <v>2</v>
      </c>
      <c r="AI661">
        <v>16632629</v>
      </c>
      <c r="AJ661">
        <v>669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ROW(Source!A328)</f>
        <v>328</v>
      </c>
      <c r="B662">
        <v>16632633</v>
      </c>
      <c r="C662">
        <v>16632627</v>
      </c>
      <c r="D662">
        <v>15247974</v>
      </c>
      <c r="E662">
        <v>1</v>
      </c>
      <c r="F662">
        <v>1</v>
      </c>
      <c r="G662">
        <v>1</v>
      </c>
      <c r="H662">
        <v>2</v>
      </c>
      <c r="I662" t="s">
        <v>1151</v>
      </c>
      <c r="J662" t="s">
        <v>1152</v>
      </c>
      <c r="K662" t="s">
        <v>1153</v>
      </c>
      <c r="L662">
        <v>1368</v>
      </c>
      <c r="N662">
        <v>1011</v>
      </c>
      <c r="O662" t="s">
        <v>1154</v>
      </c>
      <c r="P662" t="s">
        <v>1154</v>
      </c>
      <c r="Q662">
        <v>1</v>
      </c>
      <c r="X662">
        <v>0.26</v>
      </c>
      <c r="Y662">
        <v>0</v>
      </c>
      <c r="Z662">
        <v>31.26</v>
      </c>
      <c r="AA662">
        <v>13.5</v>
      </c>
      <c r="AB662">
        <v>0</v>
      </c>
      <c r="AC662">
        <v>0</v>
      </c>
      <c r="AD662">
        <v>1</v>
      </c>
      <c r="AE662">
        <v>0</v>
      </c>
      <c r="AF662" t="s">
        <v>6</v>
      </c>
      <c r="AG662">
        <v>0.26</v>
      </c>
      <c r="AH662">
        <v>2</v>
      </c>
      <c r="AI662">
        <v>16632630</v>
      </c>
      <c r="AJ662">
        <v>670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ROW(Source!A328)</f>
        <v>328</v>
      </c>
      <c r="B663">
        <v>16632634</v>
      </c>
      <c r="C663">
        <v>16632627</v>
      </c>
      <c r="D663">
        <v>15164566</v>
      </c>
      <c r="E663">
        <v>17</v>
      </c>
      <c r="F663">
        <v>1</v>
      </c>
      <c r="G663">
        <v>1</v>
      </c>
      <c r="H663">
        <v>3</v>
      </c>
      <c r="I663" t="s">
        <v>1670</v>
      </c>
      <c r="J663" t="s">
        <v>6</v>
      </c>
      <c r="K663" t="s">
        <v>1714</v>
      </c>
      <c r="L663">
        <v>1348</v>
      </c>
      <c r="N663">
        <v>1009</v>
      </c>
      <c r="O663" t="s">
        <v>98</v>
      </c>
      <c r="P663" t="s">
        <v>98</v>
      </c>
      <c r="Q663">
        <v>1000</v>
      </c>
      <c r="X663">
        <v>1.82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 t="s">
        <v>6</v>
      </c>
      <c r="AG663">
        <v>1.82</v>
      </c>
      <c r="AH663">
        <v>3</v>
      </c>
      <c r="AI663">
        <v>-1</v>
      </c>
      <c r="AJ663" t="s">
        <v>6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ROW(Source!A329)</f>
        <v>329</v>
      </c>
      <c r="B664">
        <v>16632639</v>
      </c>
      <c r="C664">
        <v>16632635</v>
      </c>
      <c r="D664">
        <v>15430767</v>
      </c>
      <c r="E664">
        <v>1</v>
      </c>
      <c r="F664">
        <v>1</v>
      </c>
      <c r="G664">
        <v>1</v>
      </c>
      <c r="H664">
        <v>1</v>
      </c>
      <c r="I664" t="s">
        <v>1171</v>
      </c>
      <c r="J664" t="s">
        <v>6</v>
      </c>
      <c r="K664" t="s">
        <v>1172</v>
      </c>
      <c r="L664">
        <v>1191</v>
      </c>
      <c r="N664">
        <v>1013</v>
      </c>
      <c r="O664" t="s">
        <v>1148</v>
      </c>
      <c r="P664" t="s">
        <v>1148</v>
      </c>
      <c r="Q664">
        <v>1</v>
      </c>
      <c r="X664">
        <v>63.84</v>
      </c>
      <c r="Y664">
        <v>0</v>
      </c>
      <c r="Z664">
        <v>0</v>
      </c>
      <c r="AA664">
        <v>0</v>
      </c>
      <c r="AB664">
        <v>8.5299999999999994</v>
      </c>
      <c r="AC664">
        <v>0</v>
      </c>
      <c r="AD664">
        <v>1</v>
      </c>
      <c r="AE664">
        <v>1</v>
      </c>
      <c r="AF664" t="s">
        <v>6</v>
      </c>
      <c r="AG664">
        <v>63.84</v>
      </c>
      <c r="AH664">
        <v>2</v>
      </c>
      <c r="AI664">
        <v>16632636</v>
      </c>
      <c r="AJ664">
        <v>671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ROW(Source!A329)</f>
        <v>329</v>
      </c>
      <c r="B665">
        <v>16632640</v>
      </c>
      <c r="C665">
        <v>16632635</v>
      </c>
      <c r="D665">
        <v>15430395</v>
      </c>
      <c r="E665">
        <v>1</v>
      </c>
      <c r="F665">
        <v>1</v>
      </c>
      <c r="G665">
        <v>1</v>
      </c>
      <c r="H665">
        <v>1</v>
      </c>
      <c r="I665" t="s">
        <v>1149</v>
      </c>
      <c r="J665" t="s">
        <v>6</v>
      </c>
      <c r="K665" t="s">
        <v>1150</v>
      </c>
      <c r="L665">
        <v>1191</v>
      </c>
      <c r="N665">
        <v>1013</v>
      </c>
      <c r="O665" t="s">
        <v>1148</v>
      </c>
      <c r="P665" t="s">
        <v>1148</v>
      </c>
      <c r="Q665">
        <v>1</v>
      </c>
      <c r="X665">
        <v>0.28999999999999998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1</v>
      </c>
      <c r="AE665">
        <v>2</v>
      </c>
      <c r="AF665" t="s">
        <v>6</v>
      </c>
      <c r="AG665">
        <v>0.28999999999999998</v>
      </c>
      <c r="AH665">
        <v>2</v>
      </c>
      <c r="AI665">
        <v>16632637</v>
      </c>
      <c r="AJ665">
        <v>672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ROW(Source!A329)</f>
        <v>329</v>
      </c>
      <c r="B666">
        <v>16632641</v>
      </c>
      <c r="C666">
        <v>16632635</v>
      </c>
      <c r="D666">
        <v>15247974</v>
      </c>
      <c r="E666">
        <v>1</v>
      </c>
      <c r="F666">
        <v>1</v>
      </c>
      <c r="G666">
        <v>1</v>
      </c>
      <c r="H666">
        <v>2</v>
      </c>
      <c r="I666" t="s">
        <v>1151</v>
      </c>
      <c r="J666" t="s">
        <v>1152</v>
      </c>
      <c r="K666" t="s">
        <v>1153</v>
      </c>
      <c r="L666">
        <v>1368</v>
      </c>
      <c r="N666">
        <v>1011</v>
      </c>
      <c r="O666" t="s">
        <v>1154</v>
      </c>
      <c r="P666" t="s">
        <v>1154</v>
      </c>
      <c r="Q666">
        <v>1</v>
      </c>
      <c r="X666">
        <v>0.28999999999999998</v>
      </c>
      <c r="Y666">
        <v>0</v>
      </c>
      <c r="Z666">
        <v>31.26</v>
      </c>
      <c r="AA666">
        <v>13.5</v>
      </c>
      <c r="AB666">
        <v>0</v>
      </c>
      <c r="AC666">
        <v>0</v>
      </c>
      <c r="AD666">
        <v>1</v>
      </c>
      <c r="AE666">
        <v>0</v>
      </c>
      <c r="AF666" t="s">
        <v>6</v>
      </c>
      <c r="AG666">
        <v>0.28999999999999998</v>
      </c>
      <c r="AH666">
        <v>2</v>
      </c>
      <c r="AI666">
        <v>16632638</v>
      </c>
      <c r="AJ666">
        <v>673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ROW(Source!A329)</f>
        <v>329</v>
      </c>
      <c r="B667">
        <v>16632642</v>
      </c>
      <c r="C667">
        <v>16632635</v>
      </c>
      <c r="D667">
        <v>15164566</v>
      </c>
      <c r="E667">
        <v>17</v>
      </c>
      <c r="F667">
        <v>1</v>
      </c>
      <c r="G667">
        <v>1</v>
      </c>
      <c r="H667">
        <v>3</v>
      </c>
      <c r="I667" t="s">
        <v>1670</v>
      </c>
      <c r="J667" t="s">
        <v>6</v>
      </c>
      <c r="K667" t="s">
        <v>1714</v>
      </c>
      <c r="L667">
        <v>1348</v>
      </c>
      <c r="N667">
        <v>1009</v>
      </c>
      <c r="O667" t="s">
        <v>98</v>
      </c>
      <c r="P667" t="s">
        <v>98</v>
      </c>
      <c r="Q667">
        <v>1000</v>
      </c>
      <c r="X667">
        <v>2.65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 t="s">
        <v>6</v>
      </c>
      <c r="AG667">
        <v>2.65</v>
      </c>
      <c r="AH667">
        <v>3</v>
      </c>
      <c r="AI667">
        <v>-1</v>
      </c>
      <c r="AJ667" t="s">
        <v>6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ROW(Source!A330)</f>
        <v>330</v>
      </c>
      <c r="B668">
        <v>16632647</v>
      </c>
      <c r="C668">
        <v>16632643</v>
      </c>
      <c r="D668">
        <v>15430767</v>
      </c>
      <c r="E668">
        <v>1</v>
      </c>
      <c r="F668">
        <v>1</v>
      </c>
      <c r="G668">
        <v>1</v>
      </c>
      <c r="H668">
        <v>1</v>
      </c>
      <c r="I668" t="s">
        <v>1171</v>
      </c>
      <c r="J668" t="s">
        <v>6</v>
      </c>
      <c r="K668" t="s">
        <v>1172</v>
      </c>
      <c r="L668">
        <v>1191</v>
      </c>
      <c r="N668">
        <v>1013</v>
      </c>
      <c r="O668" t="s">
        <v>1148</v>
      </c>
      <c r="P668" t="s">
        <v>1148</v>
      </c>
      <c r="Q668">
        <v>1</v>
      </c>
      <c r="X668">
        <v>37.28</v>
      </c>
      <c r="Y668">
        <v>0</v>
      </c>
      <c r="Z668">
        <v>0</v>
      </c>
      <c r="AA668">
        <v>0</v>
      </c>
      <c r="AB668">
        <v>8.5299999999999994</v>
      </c>
      <c r="AC668">
        <v>0</v>
      </c>
      <c r="AD668">
        <v>1</v>
      </c>
      <c r="AE668">
        <v>1</v>
      </c>
      <c r="AF668" t="s">
        <v>6</v>
      </c>
      <c r="AG668">
        <v>37.28</v>
      </c>
      <c r="AH668">
        <v>2</v>
      </c>
      <c r="AI668">
        <v>16632644</v>
      </c>
      <c r="AJ668">
        <v>674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ROW(Source!A330)</f>
        <v>330</v>
      </c>
      <c r="B669">
        <v>16632648</v>
      </c>
      <c r="C669">
        <v>16632643</v>
      </c>
      <c r="D669">
        <v>15430395</v>
      </c>
      <c r="E669">
        <v>1</v>
      </c>
      <c r="F669">
        <v>1</v>
      </c>
      <c r="G669">
        <v>1</v>
      </c>
      <c r="H669">
        <v>1</v>
      </c>
      <c r="I669" t="s">
        <v>1149</v>
      </c>
      <c r="J669" t="s">
        <v>6</v>
      </c>
      <c r="K669" t="s">
        <v>1150</v>
      </c>
      <c r="L669">
        <v>1191</v>
      </c>
      <c r="N669">
        <v>1013</v>
      </c>
      <c r="O669" t="s">
        <v>1148</v>
      </c>
      <c r="P669" t="s">
        <v>1148</v>
      </c>
      <c r="Q669">
        <v>1</v>
      </c>
      <c r="X669">
        <v>0.26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1</v>
      </c>
      <c r="AE669">
        <v>2</v>
      </c>
      <c r="AF669" t="s">
        <v>6</v>
      </c>
      <c r="AG669">
        <v>0.26</v>
      </c>
      <c r="AH669">
        <v>2</v>
      </c>
      <c r="AI669">
        <v>16632645</v>
      </c>
      <c r="AJ669">
        <v>675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ROW(Source!A330)</f>
        <v>330</v>
      </c>
      <c r="B670">
        <v>16632649</v>
      </c>
      <c r="C670">
        <v>16632643</v>
      </c>
      <c r="D670">
        <v>15247974</v>
      </c>
      <c r="E670">
        <v>1</v>
      </c>
      <c r="F670">
        <v>1</v>
      </c>
      <c r="G670">
        <v>1</v>
      </c>
      <c r="H670">
        <v>2</v>
      </c>
      <c r="I670" t="s">
        <v>1151</v>
      </c>
      <c r="J670" t="s">
        <v>1152</v>
      </c>
      <c r="K670" t="s">
        <v>1153</v>
      </c>
      <c r="L670">
        <v>1368</v>
      </c>
      <c r="N670">
        <v>1011</v>
      </c>
      <c r="O670" t="s">
        <v>1154</v>
      </c>
      <c r="P670" t="s">
        <v>1154</v>
      </c>
      <c r="Q670">
        <v>1</v>
      </c>
      <c r="X670">
        <v>0.26</v>
      </c>
      <c r="Y670">
        <v>0</v>
      </c>
      <c r="Z670">
        <v>31.26</v>
      </c>
      <c r="AA670">
        <v>13.5</v>
      </c>
      <c r="AB670">
        <v>0</v>
      </c>
      <c r="AC670">
        <v>0</v>
      </c>
      <c r="AD670">
        <v>1</v>
      </c>
      <c r="AE670">
        <v>0</v>
      </c>
      <c r="AF670" t="s">
        <v>6</v>
      </c>
      <c r="AG670">
        <v>0.26</v>
      </c>
      <c r="AH670">
        <v>2</v>
      </c>
      <c r="AI670">
        <v>16632646</v>
      </c>
      <c r="AJ670">
        <v>676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ROW(Source!A330)</f>
        <v>330</v>
      </c>
      <c r="B671">
        <v>16632650</v>
      </c>
      <c r="C671">
        <v>16632643</v>
      </c>
      <c r="D671">
        <v>15164566</v>
      </c>
      <c r="E671">
        <v>17</v>
      </c>
      <c r="F671">
        <v>1</v>
      </c>
      <c r="G671">
        <v>1</v>
      </c>
      <c r="H671">
        <v>3</v>
      </c>
      <c r="I671" t="s">
        <v>1670</v>
      </c>
      <c r="J671" t="s">
        <v>6</v>
      </c>
      <c r="K671" t="s">
        <v>1714</v>
      </c>
      <c r="L671">
        <v>1348</v>
      </c>
      <c r="N671">
        <v>1009</v>
      </c>
      <c r="O671" t="s">
        <v>98</v>
      </c>
      <c r="P671" t="s">
        <v>98</v>
      </c>
      <c r="Q671">
        <v>1000</v>
      </c>
      <c r="X671">
        <v>1.75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 t="s">
        <v>6</v>
      </c>
      <c r="AG671">
        <v>1.75</v>
      </c>
      <c r="AH671">
        <v>3</v>
      </c>
      <c r="AI671">
        <v>-1</v>
      </c>
      <c r="AJ671" t="s">
        <v>6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ROW(Source!A331)</f>
        <v>331</v>
      </c>
      <c r="B672">
        <v>16632664</v>
      </c>
      <c r="C672">
        <v>16632651</v>
      </c>
      <c r="D672">
        <v>15446300</v>
      </c>
      <c r="E672">
        <v>1</v>
      </c>
      <c r="F672">
        <v>1</v>
      </c>
      <c r="G672">
        <v>1</v>
      </c>
      <c r="H672">
        <v>1</v>
      </c>
      <c r="I672" t="s">
        <v>1220</v>
      </c>
      <c r="J672" t="s">
        <v>6</v>
      </c>
      <c r="K672" t="s">
        <v>1221</v>
      </c>
      <c r="L672">
        <v>1191</v>
      </c>
      <c r="N672">
        <v>1013</v>
      </c>
      <c r="O672" t="s">
        <v>1148</v>
      </c>
      <c r="P672" t="s">
        <v>1148</v>
      </c>
      <c r="Q672">
        <v>1</v>
      </c>
      <c r="X672">
        <v>64.239999999999995</v>
      </c>
      <c r="Y672">
        <v>0</v>
      </c>
      <c r="Z672">
        <v>0</v>
      </c>
      <c r="AA672">
        <v>0</v>
      </c>
      <c r="AB672">
        <v>9.92</v>
      </c>
      <c r="AC672">
        <v>0</v>
      </c>
      <c r="AD672">
        <v>1</v>
      </c>
      <c r="AE672">
        <v>1</v>
      </c>
      <c r="AF672" t="s">
        <v>82</v>
      </c>
      <c r="AG672">
        <v>73.875999999999991</v>
      </c>
      <c r="AH672">
        <v>2</v>
      </c>
      <c r="AI672">
        <v>16632652</v>
      </c>
      <c r="AJ672">
        <v>677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ROW(Source!A331)</f>
        <v>331</v>
      </c>
      <c r="B673">
        <v>16632665</v>
      </c>
      <c r="C673">
        <v>16632651</v>
      </c>
      <c r="D673">
        <v>15430395</v>
      </c>
      <c r="E673">
        <v>1</v>
      </c>
      <c r="F673">
        <v>1</v>
      </c>
      <c r="G673">
        <v>1</v>
      </c>
      <c r="H673">
        <v>1</v>
      </c>
      <c r="I673" t="s">
        <v>1149</v>
      </c>
      <c r="J673" t="s">
        <v>6</v>
      </c>
      <c r="K673" t="s">
        <v>1150</v>
      </c>
      <c r="L673">
        <v>1191</v>
      </c>
      <c r="N673">
        <v>1013</v>
      </c>
      <c r="O673" t="s">
        <v>1148</v>
      </c>
      <c r="P673" t="s">
        <v>1148</v>
      </c>
      <c r="Q673">
        <v>1</v>
      </c>
      <c r="X673">
        <v>0.03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1</v>
      </c>
      <c r="AE673">
        <v>2</v>
      </c>
      <c r="AF673" t="s">
        <v>81</v>
      </c>
      <c r="AG673">
        <v>3.7499999999999999E-2</v>
      </c>
      <c r="AH673">
        <v>2</v>
      </c>
      <c r="AI673">
        <v>16632653</v>
      </c>
      <c r="AJ673">
        <v>678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ROW(Source!A331)</f>
        <v>331</v>
      </c>
      <c r="B674">
        <v>16632666</v>
      </c>
      <c r="C674">
        <v>16632651</v>
      </c>
      <c r="D674">
        <v>15247578</v>
      </c>
      <c r="E674">
        <v>1</v>
      </c>
      <c r="F674">
        <v>1</v>
      </c>
      <c r="G674">
        <v>1</v>
      </c>
      <c r="H674">
        <v>2</v>
      </c>
      <c r="I674" t="s">
        <v>1246</v>
      </c>
      <c r="J674" t="s">
        <v>1247</v>
      </c>
      <c r="K674" t="s">
        <v>1248</v>
      </c>
      <c r="L674">
        <v>1368</v>
      </c>
      <c r="N674">
        <v>1011</v>
      </c>
      <c r="O674" t="s">
        <v>1154</v>
      </c>
      <c r="P674" t="s">
        <v>1154</v>
      </c>
      <c r="Q674">
        <v>1</v>
      </c>
      <c r="X674">
        <v>0.01</v>
      </c>
      <c r="Y674">
        <v>0</v>
      </c>
      <c r="Z674">
        <v>86.4</v>
      </c>
      <c r="AA674">
        <v>13.5</v>
      </c>
      <c r="AB674">
        <v>0</v>
      </c>
      <c r="AC674">
        <v>0</v>
      </c>
      <c r="AD674">
        <v>1</v>
      </c>
      <c r="AE674">
        <v>0</v>
      </c>
      <c r="AF674" t="s">
        <v>81</v>
      </c>
      <c r="AG674">
        <v>1.2500000000000001E-2</v>
      </c>
      <c r="AH674">
        <v>2</v>
      </c>
      <c r="AI674">
        <v>16632654</v>
      </c>
      <c r="AJ674">
        <v>679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ROW(Source!A331)</f>
        <v>331</v>
      </c>
      <c r="B675">
        <v>16632667</v>
      </c>
      <c r="C675">
        <v>16632651</v>
      </c>
      <c r="D675">
        <v>15247680</v>
      </c>
      <c r="E675">
        <v>1</v>
      </c>
      <c r="F675">
        <v>1</v>
      </c>
      <c r="G675">
        <v>1</v>
      </c>
      <c r="H675">
        <v>2</v>
      </c>
      <c r="I675" t="s">
        <v>1419</v>
      </c>
      <c r="J675" t="s">
        <v>1420</v>
      </c>
      <c r="K675" t="s">
        <v>1421</v>
      </c>
      <c r="L675">
        <v>1368</v>
      </c>
      <c r="N675">
        <v>1011</v>
      </c>
      <c r="O675" t="s">
        <v>1154</v>
      </c>
      <c r="P675" t="s">
        <v>1154</v>
      </c>
      <c r="Q675">
        <v>1</v>
      </c>
      <c r="X675">
        <v>0.01</v>
      </c>
      <c r="Y675">
        <v>0</v>
      </c>
      <c r="Z675">
        <v>111.99</v>
      </c>
      <c r="AA675">
        <v>13.5</v>
      </c>
      <c r="AB675">
        <v>0</v>
      </c>
      <c r="AC675">
        <v>0</v>
      </c>
      <c r="AD675">
        <v>1</v>
      </c>
      <c r="AE675">
        <v>0</v>
      </c>
      <c r="AF675" t="s">
        <v>81</v>
      </c>
      <c r="AG675">
        <v>1.2500000000000001E-2</v>
      </c>
      <c r="AH675">
        <v>2</v>
      </c>
      <c r="AI675">
        <v>16632655</v>
      </c>
      <c r="AJ675">
        <v>680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ROW(Source!A331)</f>
        <v>331</v>
      </c>
      <c r="B676">
        <v>16632668</v>
      </c>
      <c r="C676">
        <v>16632651</v>
      </c>
      <c r="D676">
        <v>15249073</v>
      </c>
      <c r="E676">
        <v>1</v>
      </c>
      <c r="F676">
        <v>1</v>
      </c>
      <c r="G676">
        <v>1</v>
      </c>
      <c r="H676">
        <v>2</v>
      </c>
      <c r="I676" t="s">
        <v>1157</v>
      </c>
      <c r="J676" t="s">
        <v>1158</v>
      </c>
      <c r="K676" t="s">
        <v>1159</v>
      </c>
      <c r="L676">
        <v>1368</v>
      </c>
      <c r="N676">
        <v>1011</v>
      </c>
      <c r="O676" t="s">
        <v>1154</v>
      </c>
      <c r="P676" t="s">
        <v>1154</v>
      </c>
      <c r="Q676">
        <v>1</v>
      </c>
      <c r="X676">
        <v>0.01</v>
      </c>
      <c r="Y676">
        <v>0</v>
      </c>
      <c r="Z676">
        <v>65.709999999999994</v>
      </c>
      <c r="AA676">
        <v>11.6</v>
      </c>
      <c r="AB676">
        <v>0</v>
      </c>
      <c r="AC676">
        <v>0</v>
      </c>
      <c r="AD676">
        <v>1</v>
      </c>
      <c r="AE676">
        <v>0</v>
      </c>
      <c r="AF676" t="s">
        <v>81</v>
      </c>
      <c r="AG676">
        <v>1.2500000000000001E-2</v>
      </c>
      <c r="AH676">
        <v>2</v>
      </c>
      <c r="AI676">
        <v>16632656</v>
      </c>
      <c r="AJ676">
        <v>681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ROW(Source!A331)</f>
        <v>331</v>
      </c>
      <c r="B677">
        <v>16632669</v>
      </c>
      <c r="C677">
        <v>16632651</v>
      </c>
      <c r="D677">
        <v>15167286</v>
      </c>
      <c r="E677">
        <v>1</v>
      </c>
      <c r="F677">
        <v>1</v>
      </c>
      <c r="G677">
        <v>1</v>
      </c>
      <c r="H677">
        <v>3</v>
      </c>
      <c r="I677" t="s">
        <v>1265</v>
      </c>
      <c r="J677" t="s">
        <v>1266</v>
      </c>
      <c r="K677" t="s">
        <v>1267</v>
      </c>
      <c r="L677">
        <v>1339</v>
      </c>
      <c r="N677">
        <v>1007</v>
      </c>
      <c r="O677" t="s">
        <v>203</v>
      </c>
      <c r="P677" t="s">
        <v>203</v>
      </c>
      <c r="Q677">
        <v>1</v>
      </c>
      <c r="X677">
        <v>0.39</v>
      </c>
      <c r="Y677">
        <v>2.44</v>
      </c>
      <c r="Z677">
        <v>0</v>
      </c>
      <c r="AA677">
        <v>0</v>
      </c>
      <c r="AB677">
        <v>0</v>
      </c>
      <c r="AC677">
        <v>0</v>
      </c>
      <c r="AD677">
        <v>1</v>
      </c>
      <c r="AE677">
        <v>0</v>
      </c>
      <c r="AF677" t="s">
        <v>6</v>
      </c>
      <c r="AG677">
        <v>0.39</v>
      </c>
      <c r="AH677">
        <v>2</v>
      </c>
      <c r="AI677">
        <v>16632657</v>
      </c>
      <c r="AJ677">
        <v>682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ROW(Source!A331)</f>
        <v>331</v>
      </c>
      <c r="B678">
        <v>16632670</v>
      </c>
      <c r="C678">
        <v>16632651</v>
      </c>
      <c r="D678">
        <v>15169924</v>
      </c>
      <c r="E678">
        <v>1</v>
      </c>
      <c r="F678">
        <v>1</v>
      </c>
      <c r="G678">
        <v>1</v>
      </c>
      <c r="H678">
        <v>3</v>
      </c>
      <c r="I678" t="s">
        <v>1602</v>
      </c>
      <c r="J678" t="s">
        <v>1603</v>
      </c>
      <c r="K678" t="s">
        <v>1604</v>
      </c>
      <c r="L678">
        <v>1348</v>
      </c>
      <c r="N678">
        <v>1009</v>
      </c>
      <c r="O678" t="s">
        <v>98</v>
      </c>
      <c r="P678" t="s">
        <v>98</v>
      </c>
      <c r="Q678">
        <v>1000</v>
      </c>
      <c r="X678">
        <v>1.1999999999999999E-3</v>
      </c>
      <c r="Y678">
        <v>14830</v>
      </c>
      <c r="Z678">
        <v>0</v>
      </c>
      <c r="AA678">
        <v>0</v>
      </c>
      <c r="AB678">
        <v>0</v>
      </c>
      <c r="AC678">
        <v>0</v>
      </c>
      <c r="AD678">
        <v>1</v>
      </c>
      <c r="AE678">
        <v>0</v>
      </c>
      <c r="AF678" t="s">
        <v>6</v>
      </c>
      <c r="AG678">
        <v>1.1999999999999999E-3</v>
      </c>
      <c r="AH678">
        <v>2</v>
      </c>
      <c r="AI678">
        <v>16632658</v>
      </c>
      <c r="AJ678">
        <v>683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ROW(Source!A331)</f>
        <v>331</v>
      </c>
      <c r="B679">
        <v>16632671</v>
      </c>
      <c r="C679">
        <v>16632651</v>
      </c>
      <c r="D679">
        <v>15170781</v>
      </c>
      <c r="E679">
        <v>1</v>
      </c>
      <c r="F679">
        <v>1</v>
      </c>
      <c r="G679">
        <v>1</v>
      </c>
      <c r="H679">
        <v>3</v>
      </c>
      <c r="I679" t="s">
        <v>1605</v>
      </c>
      <c r="J679" t="s">
        <v>1606</v>
      </c>
      <c r="K679" t="s">
        <v>1607</v>
      </c>
      <c r="L679">
        <v>1346</v>
      </c>
      <c r="N679">
        <v>1009</v>
      </c>
      <c r="O679" t="s">
        <v>102</v>
      </c>
      <c r="P679" t="s">
        <v>102</v>
      </c>
      <c r="Q679">
        <v>1</v>
      </c>
      <c r="X679">
        <v>1.5</v>
      </c>
      <c r="Y679">
        <v>24.41</v>
      </c>
      <c r="Z679">
        <v>0</v>
      </c>
      <c r="AA679">
        <v>0</v>
      </c>
      <c r="AB679">
        <v>0</v>
      </c>
      <c r="AC679">
        <v>0</v>
      </c>
      <c r="AD679">
        <v>1</v>
      </c>
      <c r="AE679">
        <v>0</v>
      </c>
      <c r="AF679" t="s">
        <v>6</v>
      </c>
      <c r="AG679">
        <v>1.5</v>
      </c>
      <c r="AH679">
        <v>2</v>
      </c>
      <c r="AI679">
        <v>16632659</v>
      </c>
      <c r="AJ679">
        <v>684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ROW(Source!A331)</f>
        <v>331</v>
      </c>
      <c r="B680">
        <v>16632672</v>
      </c>
      <c r="C680">
        <v>16632651</v>
      </c>
      <c r="D680">
        <v>15161573</v>
      </c>
      <c r="E680">
        <v>17</v>
      </c>
      <c r="F680">
        <v>1</v>
      </c>
      <c r="G680">
        <v>1</v>
      </c>
      <c r="H680">
        <v>3</v>
      </c>
      <c r="I680" t="s">
        <v>1744</v>
      </c>
      <c r="J680" t="s">
        <v>6</v>
      </c>
      <c r="K680" t="s">
        <v>1745</v>
      </c>
      <c r="L680">
        <v>1354</v>
      </c>
      <c r="N680">
        <v>1010</v>
      </c>
      <c r="O680" t="s">
        <v>132</v>
      </c>
      <c r="P680" t="s">
        <v>132</v>
      </c>
      <c r="Q680">
        <v>1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1</v>
      </c>
      <c r="AD680">
        <v>0</v>
      </c>
      <c r="AE680">
        <v>0</v>
      </c>
      <c r="AF680" t="s">
        <v>6</v>
      </c>
      <c r="AG680">
        <v>0</v>
      </c>
      <c r="AH680">
        <v>3</v>
      </c>
      <c r="AI680">
        <v>-1</v>
      </c>
      <c r="AJ680" t="s">
        <v>6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ROW(Source!A331)</f>
        <v>331</v>
      </c>
      <c r="B681">
        <v>16632673</v>
      </c>
      <c r="C681">
        <v>16632651</v>
      </c>
      <c r="D681">
        <v>15163115</v>
      </c>
      <c r="E681">
        <v>17</v>
      </c>
      <c r="F681">
        <v>1</v>
      </c>
      <c r="G681">
        <v>1</v>
      </c>
      <c r="H681">
        <v>3</v>
      </c>
      <c r="I681" t="s">
        <v>1717</v>
      </c>
      <c r="J681" t="s">
        <v>6</v>
      </c>
      <c r="K681" t="s">
        <v>1718</v>
      </c>
      <c r="L681">
        <v>1346</v>
      </c>
      <c r="N681">
        <v>1009</v>
      </c>
      <c r="O681" t="s">
        <v>102</v>
      </c>
      <c r="P681" t="s">
        <v>102</v>
      </c>
      <c r="Q681">
        <v>1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1</v>
      </c>
      <c r="AD681">
        <v>0</v>
      </c>
      <c r="AE681">
        <v>0</v>
      </c>
      <c r="AF681" t="s">
        <v>6</v>
      </c>
      <c r="AG681">
        <v>0</v>
      </c>
      <c r="AH681">
        <v>3</v>
      </c>
      <c r="AI681">
        <v>-1</v>
      </c>
      <c r="AJ681" t="s">
        <v>6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ROW(Source!A331)</f>
        <v>331</v>
      </c>
      <c r="B682">
        <v>16632674</v>
      </c>
      <c r="C682">
        <v>16632651</v>
      </c>
      <c r="D682">
        <v>15163153</v>
      </c>
      <c r="E682">
        <v>17</v>
      </c>
      <c r="F682">
        <v>1</v>
      </c>
      <c r="G682">
        <v>1</v>
      </c>
      <c r="H682">
        <v>3</v>
      </c>
      <c r="I682" t="s">
        <v>916</v>
      </c>
      <c r="J682" t="s">
        <v>6</v>
      </c>
      <c r="K682" t="s">
        <v>917</v>
      </c>
      <c r="L682">
        <v>1301</v>
      </c>
      <c r="N682">
        <v>1003</v>
      </c>
      <c r="O682" t="s">
        <v>150</v>
      </c>
      <c r="P682" t="s">
        <v>150</v>
      </c>
      <c r="Q682">
        <v>1</v>
      </c>
      <c r="X682">
        <v>99.8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 t="s">
        <v>6</v>
      </c>
      <c r="AG682">
        <v>99.8</v>
      </c>
      <c r="AH682">
        <v>2</v>
      </c>
      <c r="AI682">
        <v>16632660</v>
      </c>
      <c r="AJ682">
        <v>687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ROW(Source!A336)</f>
        <v>336</v>
      </c>
      <c r="B683">
        <v>16632692</v>
      </c>
      <c r="C683">
        <v>16632679</v>
      </c>
      <c r="D683">
        <v>15446300</v>
      </c>
      <c r="E683">
        <v>1</v>
      </c>
      <c r="F683">
        <v>1</v>
      </c>
      <c r="G683">
        <v>1</v>
      </c>
      <c r="H683">
        <v>1</v>
      </c>
      <c r="I683" t="s">
        <v>1220</v>
      </c>
      <c r="J683" t="s">
        <v>6</v>
      </c>
      <c r="K683" t="s">
        <v>1221</v>
      </c>
      <c r="L683">
        <v>1191</v>
      </c>
      <c r="N683">
        <v>1013</v>
      </c>
      <c r="O683" t="s">
        <v>1148</v>
      </c>
      <c r="P683" t="s">
        <v>1148</v>
      </c>
      <c r="Q683">
        <v>1</v>
      </c>
      <c r="X683">
        <v>61.6</v>
      </c>
      <c r="Y683">
        <v>0</v>
      </c>
      <c r="Z683">
        <v>0</v>
      </c>
      <c r="AA683">
        <v>0</v>
      </c>
      <c r="AB683">
        <v>9.92</v>
      </c>
      <c r="AC683">
        <v>0</v>
      </c>
      <c r="AD683">
        <v>1</v>
      </c>
      <c r="AE683">
        <v>1</v>
      </c>
      <c r="AF683" t="s">
        <v>82</v>
      </c>
      <c r="AG683">
        <v>70.839999999999989</v>
      </c>
      <c r="AH683">
        <v>2</v>
      </c>
      <c r="AI683">
        <v>16632680</v>
      </c>
      <c r="AJ683">
        <v>689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ROW(Source!A336)</f>
        <v>336</v>
      </c>
      <c r="B684">
        <v>16632693</v>
      </c>
      <c r="C684">
        <v>16632679</v>
      </c>
      <c r="D684">
        <v>15430395</v>
      </c>
      <c r="E684">
        <v>1</v>
      </c>
      <c r="F684">
        <v>1</v>
      </c>
      <c r="G684">
        <v>1</v>
      </c>
      <c r="H684">
        <v>1</v>
      </c>
      <c r="I684" t="s">
        <v>1149</v>
      </c>
      <c r="J684" t="s">
        <v>6</v>
      </c>
      <c r="K684" t="s">
        <v>1150</v>
      </c>
      <c r="L684">
        <v>1191</v>
      </c>
      <c r="N684">
        <v>1013</v>
      </c>
      <c r="O684" t="s">
        <v>1148</v>
      </c>
      <c r="P684" t="s">
        <v>1148</v>
      </c>
      <c r="Q684">
        <v>1</v>
      </c>
      <c r="X684">
        <v>7.0000000000000007E-2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1</v>
      </c>
      <c r="AE684">
        <v>2</v>
      </c>
      <c r="AF684" t="s">
        <v>81</v>
      </c>
      <c r="AG684">
        <v>8.7500000000000008E-2</v>
      </c>
      <c r="AH684">
        <v>2</v>
      </c>
      <c r="AI684">
        <v>16632681</v>
      </c>
      <c r="AJ684">
        <v>690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ROW(Source!A336)</f>
        <v>336</v>
      </c>
      <c r="B685">
        <v>16632694</v>
      </c>
      <c r="C685">
        <v>16632679</v>
      </c>
      <c r="D685">
        <v>15247578</v>
      </c>
      <c r="E685">
        <v>1</v>
      </c>
      <c r="F685">
        <v>1</v>
      </c>
      <c r="G685">
        <v>1</v>
      </c>
      <c r="H685">
        <v>2</v>
      </c>
      <c r="I685" t="s">
        <v>1246</v>
      </c>
      <c r="J685" t="s">
        <v>1247</v>
      </c>
      <c r="K685" t="s">
        <v>1248</v>
      </c>
      <c r="L685">
        <v>1368</v>
      </c>
      <c r="N685">
        <v>1011</v>
      </c>
      <c r="O685" t="s">
        <v>1154</v>
      </c>
      <c r="P685" t="s">
        <v>1154</v>
      </c>
      <c r="Q685">
        <v>1</v>
      </c>
      <c r="X685">
        <v>0.03</v>
      </c>
      <c r="Y685">
        <v>0</v>
      </c>
      <c r="Z685">
        <v>86.4</v>
      </c>
      <c r="AA685">
        <v>13.5</v>
      </c>
      <c r="AB685">
        <v>0</v>
      </c>
      <c r="AC685">
        <v>0</v>
      </c>
      <c r="AD685">
        <v>1</v>
      </c>
      <c r="AE685">
        <v>0</v>
      </c>
      <c r="AF685" t="s">
        <v>81</v>
      </c>
      <c r="AG685">
        <v>3.7499999999999999E-2</v>
      </c>
      <c r="AH685">
        <v>2</v>
      </c>
      <c r="AI685">
        <v>16632682</v>
      </c>
      <c r="AJ685">
        <v>691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ROW(Source!A336)</f>
        <v>336</v>
      </c>
      <c r="B686">
        <v>16632695</v>
      </c>
      <c r="C686">
        <v>16632679</v>
      </c>
      <c r="D686">
        <v>15247680</v>
      </c>
      <c r="E686">
        <v>1</v>
      </c>
      <c r="F686">
        <v>1</v>
      </c>
      <c r="G686">
        <v>1</v>
      </c>
      <c r="H686">
        <v>2</v>
      </c>
      <c r="I686" t="s">
        <v>1419</v>
      </c>
      <c r="J686" t="s">
        <v>1420</v>
      </c>
      <c r="K686" t="s">
        <v>1421</v>
      </c>
      <c r="L686">
        <v>1368</v>
      </c>
      <c r="N686">
        <v>1011</v>
      </c>
      <c r="O686" t="s">
        <v>1154</v>
      </c>
      <c r="P686" t="s">
        <v>1154</v>
      </c>
      <c r="Q686">
        <v>1</v>
      </c>
      <c r="X686">
        <v>0.02</v>
      </c>
      <c r="Y686">
        <v>0</v>
      </c>
      <c r="Z686">
        <v>111.99</v>
      </c>
      <c r="AA686">
        <v>13.5</v>
      </c>
      <c r="AB686">
        <v>0</v>
      </c>
      <c r="AC686">
        <v>0</v>
      </c>
      <c r="AD686">
        <v>1</v>
      </c>
      <c r="AE686">
        <v>0</v>
      </c>
      <c r="AF686" t="s">
        <v>81</v>
      </c>
      <c r="AG686">
        <v>2.5000000000000001E-2</v>
      </c>
      <c r="AH686">
        <v>2</v>
      </c>
      <c r="AI686">
        <v>16632683</v>
      </c>
      <c r="AJ686">
        <v>692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ROW(Source!A336)</f>
        <v>336</v>
      </c>
      <c r="B687">
        <v>16632696</v>
      </c>
      <c r="C687">
        <v>16632679</v>
      </c>
      <c r="D687">
        <v>15249073</v>
      </c>
      <c r="E687">
        <v>1</v>
      </c>
      <c r="F687">
        <v>1</v>
      </c>
      <c r="G687">
        <v>1</v>
      </c>
      <c r="H687">
        <v>2</v>
      </c>
      <c r="I687" t="s">
        <v>1157</v>
      </c>
      <c r="J687" t="s">
        <v>1158</v>
      </c>
      <c r="K687" t="s">
        <v>1159</v>
      </c>
      <c r="L687">
        <v>1368</v>
      </c>
      <c r="N687">
        <v>1011</v>
      </c>
      <c r="O687" t="s">
        <v>1154</v>
      </c>
      <c r="P687" t="s">
        <v>1154</v>
      </c>
      <c r="Q687">
        <v>1</v>
      </c>
      <c r="X687">
        <v>0.02</v>
      </c>
      <c r="Y687">
        <v>0</v>
      </c>
      <c r="Z687">
        <v>65.709999999999994</v>
      </c>
      <c r="AA687">
        <v>11.6</v>
      </c>
      <c r="AB687">
        <v>0</v>
      </c>
      <c r="AC687">
        <v>0</v>
      </c>
      <c r="AD687">
        <v>1</v>
      </c>
      <c r="AE687">
        <v>0</v>
      </c>
      <c r="AF687" t="s">
        <v>81</v>
      </c>
      <c r="AG687">
        <v>2.5000000000000001E-2</v>
      </c>
      <c r="AH687">
        <v>2</v>
      </c>
      <c r="AI687">
        <v>16632684</v>
      </c>
      <c r="AJ687">
        <v>693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ROW(Source!A336)</f>
        <v>336</v>
      </c>
      <c r="B688">
        <v>16632697</v>
      </c>
      <c r="C688">
        <v>16632679</v>
      </c>
      <c r="D688">
        <v>15167286</v>
      </c>
      <c r="E688">
        <v>1</v>
      </c>
      <c r="F688">
        <v>1</v>
      </c>
      <c r="G688">
        <v>1</v>
      </c>
      <c r="H688">
        <v>3</v>
      </c>
      <c r="I688" t="s">
        <v>1265</v>
      </c>
      <c r="J688" t="s">
        <v>1266</v>
      </c>
      <c r="K688" t="s">
        <v>1267</v>
      </c>
      <c r="L688">
        <v>1339</v>
      </c>
      <c r="N688">
        <v>1007</v>
      </c>
      <c r="O688" t="s">
        <v>203</v>
      </c>
      <c r="P688" t="s">
        <v>203</v>
      </c>
      <c r="Q688">
        <v>1</v>
      </c>
      <c r="X688">
        <v>1.57</v>
      </c>
      <c r="Y688">
        <v>2.44</v>
      </c>
      <c r="Z688">
        <v>0</v>
      </c>
      <c r="AA688">
        <v>0</v>
      </c>
      <c r="AB688">
        <v>0</v>
      </c>
      <c r="AC688">
        <v>0</v>
      </c>
      <c r="AD688">
        <v>1</v>
      </c>
      <c r="AE688">
        <v>0</v>
      </c>
      <c r="AF688" t="s">
        <v>6</v>
      </c>
      <c r="AG688">
        <v>1.57</v>
      </c>
      <c r="AH688">
        <v>2</v>
      </c>
      <c r="AI688">
        <v>16632685</v>
      </c>
      <c r="AJ688">
        <v>694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ROW(Source!A336)</f>
        <v>336</v>
      </c>
      <c r="B689">
        <v>16632698</v>
      </c>
      <c r="C689">
        <v>16632679</v>
      </c>
      <c r="D689">
        <v>15169924</v>
      </c>
      <c r="E689">
        <v>1</v>
      </c>
      <c r="F689">
        <v>1</v>
      </c>
      <c r="G689">
        <v>1</v>
      </c>
      <c r="H689">
        <v>3</v>
      </c>
      <c r="I689" t="s">
        <v>1602</v>
      </c>
      <c r="J689" t="s">
        <v>1603</v>
      </c>
      <c r="K689" t="s">
        <v>1604</v>
      </c>
      <c r="L689">
        <v>1348</v>
      </c>
      <c r="N689">
        <v>1009</v>
      </c>
      <c r="O689" t="s">
        <v>98</v>
      </c>
      <c r="P689" t="s">
        <v>98</v>
      </c>
      <c r="Q689">
        <v>1000</v>
      </c>
      <c r="X689">
        <v>2.66E-3</v>
      </c>
      <c r="Y689">
        <v>14830</v>
      </c>
      <c r="Z689">
        <v>0</v>
      </c>
      <c r="AA689">
        <v>0</v>
      </c>
      <c r="AB689">
        <v>0</v>
      </c>
      <c r="AC689">
        <v>0</v>
      </c>
      <c r="AD689">
        <v>1</v>
      </c>
      <c r="AE689">
        <v>0</v>
      </c>
      <c r="AF689" t="s">
        <v>6</v>
      </c>
      <c r="AG689">
        <v>2.66E-3</v>
      </c>
      <c r="AH689">
        <v>2</v>
      </c>
      <c r="AI689">
        <v>16632686</v>
      </c>
      <c r="AJ689">
        <v>695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ROW(Source!A336)</f>
        <v>336</v>
      </c>
      <c r="B690">
        <v>16632699</v>
      </c>
      <c r="C690">
        <v>16632679</v>
      </c>
      <c r="D690">
        <v>15170781</v>
      </c>
      <c r="E690">
        <v>1</v>
      </c>
      <c r="F690">
        <v>1</v>
      </c>
      <c r="G690">
        <v>1</v>
      </c>
      <c r="H690">
        <v>3</v>
      </c>
      <c r="I690" t="s">
        <v>1605</v>
      </c>
      <c r="J690" t="s">
        <v>1606</v>
      </c>
      <c r="K690" t="s">
        <v>1607</v>
      </c>
      <c r="L690">
        <v>1346</v>
      </c>
      <c r="N690">
        <v>1009</v>
      </c>
      <c r="O690" t="s">
        <v>102</v>
      </c>
      <c r="P690" t="s">
        <v>102</v>
      </c>
      <c r="Q690">
        <v>1</v>
      </c>
      <c r="X690">
        <v>4</v>
      </c>
      <c r="Y690">
        <v>24.41</v>
      </c>
      <c r="Z690">
        <v>0</v>
      </c>
      <c r="AA690">
        <v>0</v>
      </c>
      <c r="AB690">
        <v>0</v>
      </c>
      <c r="AC690">
        <v>0</v>
      </c>
      <c r="AD690">
        <v>1</v>
      </c>
      <c r="AE690">
        <v>0</v>
      </c>
      <c r="AF690" t="s">
        <v>6</v>
      </c>
      <c r="AG690">
        <v>4</v>
      </c>
      <c r="AH690">
        <v>2</v>
      </c>
      <c r="AI690">
        <v>16632687</v>
      </c>
      <c r="AJ690">
        <v>696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ROW(Source!A336)</f>
        <v>336</v>
      </c>
      <c r="B691">
        <v>16632700</v>
      </c>
      <c r="C691">
        <v>16632679</v>
      </c>
      <c r="D691">
        <v>15161573</v>
      </c>
      <c r="E691">
        <v>17</v>
      </c>
      <c r="F691">
        <v>1</v>
      </c>
      <c r="G691">
        <v>1</v>
      </c>
      <c r="H691">
        <v>3</v>
      </c>
      <c r="I691" t="s">
        <v>1744</v>
      </c>
      <c r="J691" t="s">
        <v>6</v>
      </c>
      <c r="K691" t="s">
        <v>1745</v>
      </c>
      <c r="L691">
        <v>1354</v>
      </c>
      <c r="N691">
        <v>1010</v>
      </c>
      <c r="O691" t="s">
        <v>132</v>
      </c>
      <c r="P691" t="s">
        <v>132</v>
      </c>
      <c r="Q691">
        <v>1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1</v>
      </c>
      <c r="AD691">
        <v>0</v>
      </c>
      <c r="AE691">
        <v>0</v>
      </c>
      <c r="AF691" t="s">
        <v>6</v>
      </c>
      <c r="AG691">
        <v>0</v>
      </c>
      <c r="AH691">
        <v>3</v>
      </c>
      <c r="AI691">
        <v>-1</v>
      </c>
      <c r="AJ691" t="s">
        <v>6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ROW(Source!A336)</f>
        <v>336</v>
      </c>
      <c r="B692">
        <v>16632701</v>
      </c>
      <c r="C692">
        <v>16632679</v>
      </c>
      <c r="D692">
        <v>15163115</v>
      </c>
      <c r="E692">
        <v>17</v>
      </c>
      <c r="F692">
        <v>1</v>
      </c>
      <c r="G692">
        <v>1</v>
      </c>
      <c r="H692">
        <v>3</v>
      </c>
      <c r="I692" t="s">
        <v>1717</v>
      </c>
      <c r="J692" t="s">
        <v>6</v>
      </c>
      <c r="K692" t="s">
        <v>1718</v>
      </c>
      <c r="L692">
        <v>1346</v>
      </c>
      <c r="N692">
        <v>1009</v>
      </c>
      <c r="O692" t="s">
        <v>102</v>
      </c>
      <c r="P692" t="s">
        <v>102</v>
      </c>
      <c r="Q692">
        <v>1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1</v>
      </c>
      <c r="AD692">
        <v>0</v>
      </c>
      <c r="AE692">
        <v>0</v>
      </c>
      <c r="AF692" t="s">
        <v>6</v>
      </c>
      <c r="AG692">
        <v>0</v>
      </c>
      <c r="AH692">
        <v>3</v>
      </c>
      <c r="AI692">
        <v>-1</v>
      </c>
      <c r="AJ692" t="s">
        <v>6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ROW(Source!A336)</f>
        <v>336</v>
      </c>
      <c r="B693">
        <v>16632702</v>
      </c>
      <c r="C693">
        <v>16632679</v>
      </c>
      <c r="D693">
        <v>15163153</v>
      </c>
      <c r="E693">
        <v>17</v>
      </c>
      <c r="F693">
        <v>1</v>
      </c>
      <c r="G693">
        <v>1</v>
      </c>
      <c r="H693">
        <v>3</v>
      </c>
      <c r="I693" t="s">
        <v>916</v>
      </c>
      <c r="J693" t="s">
        <v>6</v>
      </c>
      <c r="K693" t="s">
        <v>935</v>
      </c>
      <c r="L693">
        <v>1301</v>
      </c>
      <c r="N693">
        <v>1003</v>
      </c>
      <c r="O693" t="s">
        <v>150</v>
      </c>
      <c r="P693" t="s">
        <v>150</v>
      </c>
      <c r="Q693">
        <v>1</v>
      </c>
      <c r="X693">
        <v>99.8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 t="s">
        <v>6</v>
      </c>
      <c r="AG693">
        <v>99.8</v>
      </c>
      <c r="AH693">
        <v>2</v>
      </c>
      <c r="AI693">
        <v>16632688</v>
      </c>
      <c r="AJ693">
        <v>699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ROW(Source!A341)</f>
        <v>341</v>
      </c>
      <c r="B694">
        <v>16632720</v>
      </c>
      <c r="C694">
        <v>16632707</v>
      </c>
      <c r="D694">
        <v>15436556</v>
      </c>
      <c r="E694">
        <v>1</v>
      </c>
      <c r="F694">
        <v>1</v>
      </c>
      <c r="G694">
        <v>1</v>
      </c>
      <c r="H694">
        <v>1</v>
      </c>
      <c r="I694" t="s">
        <v>1354</v>
      </c>
      <c r="J694" t="s">
        <v>6</v>
      </c>
      <c r="K694" t="s">
        <v>1355</v>
      </c>
      <c r="L694">
        <v>1191</v>
      </c>
      <c r="N694">
        <v>1013</v>
      </c>
      <c r="O694" t="s">
        <v>1148</v>
      </c>
      <c r="P694" t="s">
        <v>1148</v>
      </c>
      <c r="Q694">
        <v>1</v>
      </c>
      <c r="X694">
        <v>10.89</v>
      </c>
      <c r="Y694">
        <v>0</v>
      </c>
      <c r="Z694">
        <v>0</v>
      </c>
      <c r="AA694">
        <v>0</v>
      </c>
      <c r="AB694">
        <v>9.6199999999999992</v>
      </c>
      <c r="AC694">
        <v>0</v>
      </c>
      <c r="AD694">
        <v>1</v>
      </c>
      <c r="AE694">
        <v>1</v>
      </c>
      <c r="AF694" t="s">
        <v>82</v>
      </c>
      <c r="AG694">
        <v>12.5235</v>
      </c>
      <c r="AH694">
        <v>2</v>
      </c>
      <c r="AI694">
        <v>16632708</v>
      </c>
      <c r="AJ694">
        <v>701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ROW(Source!A341)</f>
        <v>341</v>
      </c>
      <c r="B695">
        <v>16632721</v>
      </c>
      <c r="C695">
        <v>16632707</v>
      </c>
      <c r="D695">
        <v>15430395</v>
      </c>
      <c r="E695">
        <v>1</v>
      </c>
      <c r="F695">
        <v>1</v>
      </c>
      <c r="G695">
        <v>1</v>
      </c>
      <c r="H695">
        <v>1</v>
      </c>
      <c r="I695" t="s">
        <v>1149</v>
      </c>
      <c r="J695" t="s">
        <v>6</v>
      </c>
      <c r="K695" t="s">
        <v>1150</v>
      </c>
      <c r="L695">
        <v>1191</v>
      </c>
      <c r="N695">
        <v>1013</v>
      </c>
      <c r="O695" t="s">
        <v>1148</v>
      </c>
      <c r="P695" t="s">
        <v>1148</v>
      </c>
      <c r="Q695">
        <v>1</v>
      </c>
      <c r="X695">
        <v>0.85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1</v>
      </c>
      <c r="AE695">
        <v>2</v>
      </c>
      <c r="AF695" t="s">
        <v>81</v>
      </c>
      <c r="AG695">
        <v>1.0625</v>
      </c>
      <c r="AH695">
        <v>2</v>
      </c>
      <c r="AI695">
        <v>16632709</v>
      </c>
      <c r="AJ695">
        <v>702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ROW(Source!A341)</f>
        <v>341</v>
      </c>
      <c r="B696">
        <v>16632722</v>
      </c>
      <c r="C696">
        <v>16632707</v>
      </c>
      <c r="D696">
        <v>15247974</v>
      </c>
      <c r="E696">
        <v>1</v>
      </c>
      <c r="F696">
        <v>1</v>
      </c>
      <c r="G696">
        <v>1</v>
      </c>
      <c r="H696">
        <v>2</v>
      </c>
      <c r="I696" t="s">
        <v>1151</v>
      </c>
      <c r="J696" t="s">
        <v>1152</v>
      </c>
      <c r="K696" t="s">
        <v>1153</v>
      </c>
      <c r="L696">
        <v>1368</v>
      </c>
      <c r="N696">
        <v>1011</v>
      </c>
      <c r="O696" t="s">
        <v>1154</v>
      </c>
      <c r="P696" t="s">
        <v>1154</v>
      </c>
      <c r="Q696">
        <v>1</v>
      </c>
      <c r="X696">
        <v>0.23</v>
      </c>
      <c r="Y696">
        <v>0</v>
      </c>
      <c r="Z696">
        <v>31.26</v>
      </c>
      <c r="AA696">
        <v>13.5</v>
      </c>
      <c r="AB696">
        <v>0</v>
      </c>
      <c r="AC696">
        <v>0</v>
      </c>
      <c r="AD696">
        <v>1</v>
      </c>
      <c r="AE696">
        <v>0</v>
      </c>
      <c r="AF696" t="s">
        <v>81</v>
      </c>
      <c r="AG696">
        <v>0.28750000000000003</v>
      </c>
      <c r="AH696">
        <v>2</v>
      </c>
      <c r="AI696">
        <v>16632710</v>
      </c>
      <c r="AJ696">
        <v>703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ROW(Source!A341)</f>
        <v>341</v>
      </c>
      <c r="B697">
        <v>16632723</v>
      </c>
      <c r="C697">
        <v>16632707</v>
      </c>
      <c r="D697">
        <v>15249073</v>
      </c>
      <c r="E697">
        <v>1</v>
      </c>
      <c r="F697">
        <v>1</v>
      </c>
      <c r="G697">
        <v>1</v>
      </c>
      <c r="H697">
        <v>2</v>
      </c>
      <c r="I697" t="s">
        <v>1157</v>
      </c>
      <c r="J697" t="s">
        <v>1158</v>
      </c>
      <c r="K697" t="s">
        <v>1159</v>
      </c>
      <c r="L697">
        <v>1368</v>
      </c>
      <c r="N697">
        <v>1011</v>
      </c>
      <c r="O697" t="s">
        <v>1154</v>
      </c>
      <c r="P697" t="s">
        <v>1154</v>
      </c>
      <c r="Q697">
        <v>1</v>
      </c>
      <c r="X697">
        <v>0.62</v>
      </c>
      <c r="Y697">
        <v>0</v>
      </c>
      <c r="Z697">
        <v>65.709999999999994</v>
      </c>
      <c r="AA697">
        <v>11.6</v>
      </c>
      <c r="AB697">
        <v>0</v>
      </c>
      <c r="AC697">
        <v>0</v>
      </c>
      <c r="AD697">
        <v>1</v>
      </c>
      <c r="AE697">
        <v>0</v>
      </c>
      <c r="AF697" t="s">
        <v>81</v>
      </c>
      <c r="AG697">
        <v>0.77500000000000002</v>
      </c>
      <c r="AH697">
        <v>2</v>
      </c>
      <c r="AI697">
        <v>16632711</v>
      </c>
      <c r="AJ697">
        <v>704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ROW(Source!A341)</f>
        <v>341</v>
      </c>
      <c r="B698">
        <v>16632724</v>
      </c>
      <c r="C698">
        <v>16632707</v>
      </c>
      <c r="D698">
        <v>15167955</v>
      </c>
      <c r="E698">
        <v>1</v>
      </c>
      <c r="F698">
        <v>1</v>
      </c>
      <c r="G698">
        <v>1</v>
      </c>
      <c r="H698">
        <v>3</v>
      </c>
      <c r="I698" t="s">
        <v>1596</v>
      </c>
      <c r="J698" t="s">
        <v>1597</v>
      </c>
      <c r="K698" t="s">
        <v>1598</v>
      </c>
      <c r="L698">
        <v>1348</v>
      </c>
      <c r="N698">
        <v>1009</v>
      </c>
      <c r="O698" t="s">
        <v>98</v>
      </c>
      <c r="P698" t="s">
        <v>98</v>
      </c>
      <c r="Q698">
        <v>1000</v>
      </c>
      <c r="X698">
        <v>6.9999999999999999E-4</v>
      </c>
      <c r="Y698">
        <v>30030</v>
      </c>
      <c r="Z698">
        <v>0</v>
      </c>
      <c r="AA698">
        <v>0</v>
      </c>
      <c r="AB698">
        <v>0</v>
      </c>
      <c r="AC698">
        <v>0</v>
      </c>
      <c r="AD698">
        <v>1</v>
      </c>
      <c r="AE698">
        <v>0</v>
      </c>
      <c r="AF698" t="s">
        <v>6</v>
      </c>
      <c r="AG698">
        <v>6.9999999999999999E-4</v>
      </c>
      <c r="AH698">
        <v>2</v>
      </c>
      <c r="AI698">
        <v>16632712</v>
      </c>
      <c r="AJ698">
        <v>705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ROW(Source!A341)</f>
        <v>341</v>
      </c>
      <c r="B699">
        <v>16632725</v>
      </c>
      <c r="C699">
        <v>16632707</v>
      </c>
      <c r="D699">
        <v>15167963</v>
      </c>
      <c r="E699">
        <v>1</v>
      </c>
      <c r="F699">
        <v>1</v>
      </c>
      <c r="G699">
        <v>1</v>
      </c>
      <c r="H699">
        <v>3</v>
      </c>
      <c r="I699" t="s">
        <v>1533</v>
      </c>
      <c r="J699" t="s">
        <v>1534</v>
      </c>
      <c r="K699" t="s">
        <v>1535</v>
      </c>
      <c r="L699">
        <v>1346</v>
      </c>
      <c r="N699">
        <v>1009</v>
      </c>
      <c r="O699" t="s">
        <v>102</v>
      </c>
      <c r="P699" t="s">
        <v>102</v>
      </c>
      <c r="Q699">
        <v>1</v>
      </c>
      <c r="X699">
        <v>0.6</v>
      </c>
      <c r="Y699">
        <v>37.29</v>
      </c>
      <c r="Z699">
        <v>0</v>
      </c>
      <c r="AA699">
        <v>0</v>
      </c>
      <c r="AB699">
        <v>0</v>
      </c>
      <c r="AC699">
        <v>0</v>
      </c>
      <c r="AD699">
        <v>1</v>
      </c>
      <c r="AE699">
        <v>0</v>
      </c>
      <c r="AF699" t="s">
        <v>6</v>
      </c>
      <c r="AG699">
        <v>0.6</v>
      </c>
      <c r="AH699">
        <v>2</v>
      </c>
      <c r="AI699">
        <v>16632713</v>
      </c>
      <c r="AJ699">
        <v>706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ROW(Source!A341)</f>
        <v>341</v>
      </c>
      <c r="B700">
        <v>16632726</v>
      </c>
      <c r="C700">
        <v>16632707</v>
      </c>
      <c r="D700">
        <v>15168763</v>
      </c>
      <c r="E700">
        <v>1</v>
      </c>
      <c r="F700">
        <v>1</v>
      </c>
      <c r="G700">
        <v>1</v>
      </c>
      <c r="H700">
        <v>3</v>
      </c>
      <c r="I700" t="s">
        <v>1560</v>
      </c>
      <c r="J700" t="s">
        <v>1561</v>
      </c>
      <c r="K700" t="s">
        <v>1562</v>
      </c>
      <c r="L700">
        <v>1348</v>
      </c>
      <c r="N700">
        <v>1009</v>
      </c>
      <c r="O700" t="s">
        <v>98</v>
      </c>
      <c r="P700" t="s">
        <v>98</v>
      </c>
      <c r="Q700">
        <v>1000</v>
      </c>
      <c r="X700">
        <v>3.0000000000000001E-5</v>
      </c>
      <c r="Y700">
        <v>10362</v>
      </c>
      <c r="Z700">
        <v>0</v>
      </c>
      <c r="AA700">
        <v>0</v>
      </c>
      <c r="AB700">
        <v>0</v>
      </c>
      <c r="AC700">
        <v>0</v>
      </c>
      <c r="AD700">
        <v>1</v>
      </c>
      <c r="AE700">
        <v>0</v>
      </c>
      <c r="AF700" t="s">
        <v>6</v>
      </c>
      <c r="AG700">
        <v>3.0000000000000001E-5</v>
      </c>
      <c r="AH700">
        <v>2</v>
      </c>
      <c r="AI700">
        <v>16632714</v>
      </c>
      <c r="AJ700">
        <v>707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ROW(Source!A341)</f>
        <v>341</v>
      </c>
      <c r="B701">
        <v>16632727</v>
      </c>
      <c r="C701">
        <v>16632707</v>
      </c>
      <c r="D701">
        <v>15169922</v>
      </c>
      <c r="E701">
        <v>1</v>
      </c>
      <c r="F701">
        <v>1</v>
      </c>
      <c r="G701">
        <v>1</v>
      </c>
      <c r="H701">
        <v>3</v>
      </c>
      <c r="I701" t="s">
        <v>1608</v>
      </c>
      <c r="J701" t="s">
        <v>1609</v>
      </c>
      <c r="K701" t="s">
        <v>1610</v>
      </c>
      <c r="L701">
        <v>1348</v>
      </c>
      <c r="N701">
        <v>1009</v>
      </c>
      <c r="O701" t="s">
        <v>98</v>
      </c>
      <c r="P701" t="s">
        <v>98</v>
      </c>
      <c r="Q701">
        <v>1000</v>
      </c>
      <c r="X701">
        <v>1E-4</v>
      </c>
      <c r="Y701">
        <v>15130</v>
      </c>
      <c r="Z701">
        <v>0</v>
      </c>
      <c r="AA701">
        <v>0</v>
      </c>
      <c r="AB701">
        <v>0</v>
      </c>
      <c r="AC701">
        <v>0</v>
      </c>
      <c r="AD701">
        <v>1</v>
      </c>
      <c r="AE701">
        <v>0</v>
      </c>
      <c r="AF701" t="s">
        <v>6</v>
      </c>
      <c r="AG701">
        <v>1E-4</v>
      </c>
      <c r="AH701">
        <v>2</v>
      </c>
      <c r="AI701">
        <v>16632715</v>
      </c>
      <c r="AJ701">
        <v>708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ROW(Source!A341)</f>
        <v>341</v>
      </c>
      <c r="B702">
        <v>16632728</v>
      </c>
      <c r="C702">
        <v>16632707</v>
      </c>
      <c r="D702">
        <v>15172117</v>
      </c>
      <c r="E702">
        <v>1</v>
      </c>
      <c r="F702">
        <v>1</v>
      </c>
      <c r="G702">
        <v>1</v>
      </c>
      <c r="H702">
        <v>3</v>
      </c>
      <c r="I702" t="s">
        <v>1611</v>
      </c>
      <c r="J702" t="s">
        <v>1612</v>
      </c>
      <c r="K702" t="s">
        <v>1613</v>
      </c>
      <c r="L702">
        <v>1348</v>
      </c>
      <c r="N702">
        <v>1009</v>
      </c>
      <c r="O702" t="s">
        <v>98</v>
      </c>
      <c r="P702" t="s">
        <v>98</v>
      </c>
      <c r="Q702">
        <v>1000</v>
      </c>
      <c r="X702">
        <v>2E-3</v>
      </c>
      <c r="Y702">
        <v>1836</v>
      </c>
      <c r="Z702">
        <v>0</v>
      </c>
      <c r="AA702">
        <v>0</v>
      </c>
      <c r="AB702">
        <v>0</v>
      </c>
      <c r="AC702">
        <v>0</v>
      </c>
      <c r="AD702">
        <v>1</v>
      </c>
      <c r="AE702">
        <v>0</v>
      </c>
      <c r="AF702" t="s">
        <v>6</v>
      </c>
      <c r="AG702">
        <v>2E-3</v>
      </c>
      <c r="AH702">
        <v>2</v>
      </c>
      <c r="AI702">
        <v>16632716</v>
      </c>
      <c r="AJ702">
        <v>709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ROW(Source!A341)</f>
        <v>341</v>
      </c>
      <c r="B703">
        <v>16632729</v>
      </c>
      <c r="C703">
        <v>16632707</v>
      </c>
      <c r="D703">
        <v>15203740</v>
      </c>
      <c r="E703">
        <v>1</v>
      </c>
      <c r="F703">
        <v>1</v>
      </c>
      <c r="G703">
        <v>1</v>
      </c>
      <c r="H703">
        <v>3</v>
      </c>
      <c r="I703" t="s">
        <v>1542</v>
      </c>
      <c r="J703" t="s">
        <v>1543</v>
      </c>
      <c r="K703" t="s">
        <v>1544</v>
      </c>
      <c r="L703">
        <v>1348</v>
      </c>
      <c r="N703">
        <v>1009</v>
      </c>
      <c r="O703" t="s">
        <v>98</v>
      </c>
      <c r="P703" t="s">
        <v>98</v>
      </c>
      <c r="Q703">
        <v>1000</v>
      </c>
      <c r="X703">
        <v>1.4E-3</v>
      </c>
      <c r="Y703">
        <v>15119</v>
      </c>
      <c r="Z703">
        <v>0</v>
      </c>
      <c r="AA703">
        <v>0</v>
      </c>
      <c r="AB703">
        <v>0</v>
      </c>
      <c r="AC703">
        <v>0</v>
      </c>
      <c r="AD703">
        <v>1</v>
      </c>
      <c r="AE703">
        <v>0</v>
      </c>
      <c r="AF703" t="s">
        <v>6</v>
      </c>
      <c r="AG703">
        <v>1.4E-3</v>
      </c>
      <c r="AH703">
        <v>2</v>
      </c>
      <c r="AI703">
        <v>16632717</v>
      </c>
      <c r="AJ703">
        <v>710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ROW(Source!A341)</f>
        <v>341</v>
      </c>
      <c r="B704">
        <v>16632730</v>
      </c>
      <c r="C704">
        <v>16632707</v>
      </c>
      <c r="D704">
        <v>15204468</v>
      </c>
      <c r="E704">
        <v>1</v>
      </c>
      <c r="F704">
        <v>1</v>
      </c>
      <c r="G704">
        <v>1</v>
      </c>
      <c r="H704">
        <v>3</v>
      </c>
      <c r="I704" t="s">
        <v>1545</v>
      </c>
      <c r="J704" t="s">
        <v>1546</v>
      </c>
      <c r="K704" t="s">
        <v>1547</v>
      </c>
      <c r="L704">
        <v>1348</v>
      </c>
      <c r="N704">
        <v>1009</v>
      </c>
      <c r="O704" t="s">
        <v>98</v>
      </c>
      <c r="P704" t="s">
        <v>98</v>
      </c>
      <c r="Q704">
        <v>1000</v>
      </c>
      <c r="X704">
        <v>6.9999999999999999E-4</v>
      </c>
      <c r="Y704">
        <v>16950</v>
      </c>
      <c r="Z704">
        <v>0</v>
      </c>
      <c r="AA704">
        <v>0</v>
      </c>
      <c r="AB704">
        <v>0</v>
      </c>
      <c r="AC704">
        <v>0</v>
      </c>
      <c r="AD704">
        <v>1</v>
      </c>
      <c r="AE704">
        <v>0</v>
      </c>
      <c r="AF704" t="s">
        <v>6</v>
      </c>
      <c r="AG704">
        <v>6.9999999999999999E-4</v>
      </c>
      <c r="AH704">
        <v>2</v>
      </c>
      <c r="AI704">
        <v>16632718</v>
      </c>
      <c r="AJ704">
        <v>711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ROW(Source!A341)</f>
        <v>341</v>
      </c>
      <c r="B705">
        <v>16632731</v>
      </c>
      <c r="C705">
        <v>16632707</v>
      </c>
      <c r="D705">
        <v>15161722</v>
      </c>
      <c r="E705">
        <v>17</v>
      </c>
      <c r="F705">
        <v>1</v>
      </c>
      <c r="G705">
        <v>1</v>
      </c>
      <c r="H705">
        <v>3</v>
      </c>
      <c r="I705" t="s">
        <v>1742</v>
      </c>
      <c r="J705" t="s">
        <v>6</v>
      </c>
      <c r="K705" t="s">
        <v>1743</v>
      </c>
      <c r="L705">
        <v>1035</v>
      </c>
      <c r="N705">
        <v>1013</v>
      </c>
      <c r="O705" t="s">
        <v>177</v>
      </c>
      <c r="P705" t="s">
        <v>177</v>
      </c>
      <c r="Q705">
        <v>1</v>
      </c>
      <c r="X705">
        <v>10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 t="s">
        <v>6</v>
      </c>
      <c r="AG705">
        <v>10</v>
      </c>
      <c r="AH705">
        <v>3</v>
      </c>
      <c r="AI705">
        <v>-1</v>
      </c>
      <c r="AJ705" t="s">
        <v>6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ROW(Source!A343)</f>
        <v>343</v>
      </c>
      <c r="B706">
        <v>16632750</v>
      </c>
      <c r="C706">
        <v>16632733</v>
      </c>
      <c r="D706">
        <v>15435721</v>
      </c>
      <c r="E706">
        <v>1</v>
      </c>
      <c r="F706">
        <v>1</v>
      </c>
      <c r="G706">
        <v>1</v>
      </c>
      <c r="H706">
        <v>1</v>
      </c>
      <c r="I706" t="s">
        <v>1311</v>
      </c>
      <c r="J706" t="s">
        <v>6</v>
      </c>
      <c r="K706" t="s">
        <v>1312</v>
      </c>
      <c r="L706">
        <v>1191</v>
      </c>
      <c r="N706">
        <v>1013</v>
      </c>
      <c r="O706" t="s">
        <v>1148</v>
      </c>
      <c r="P706" t="s">
        <v>1148</v>
      </c>
      <c r="Q706">
        <v>1</v>
      </c>
      <c r="X706">
        <v>22.18</v>
      </c>
      <c r="Y706">
        <v>0</v>
      </c>
      <c r="Z706">
        <v>0</v>
      </c>
      <c r="AA706">
        <v>0</v>
      </c>
      <c r="AB706">
        <v>9.51</v>
      </c>
      <c r="AC706">
        <v>0</v>
      </c>
      <c r="AD706">
        <v>1</v>
      </c>
      <c r="AE706">
        <v>1</v>
      </c>
      <c r="AF706" t="s">
        <v>82</v>
      </c>
      <c r="AG706">
        <v>25.506999999999998</v>
      </c>
      <c r="AH706">
        <v>2</v>
      </c>
      <c r="AI706">
        <v>16632734</v>
      </c>
      <c r="AJ706">
        <v>713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ROW(Source!A343)</f>
        <v>343</v>
      </c>
      <c r="B707">
        <v>16632751</v>
      </c>
      <c r="C707">
        <v>16632733</v>
      </c>
      <c r="D707">
        <v>15430395</v>
      </c>
      <c r="E707">
        <v>1</v>
      </c>
      <c r="F707">
        <v>1</v>
      </c>
      <c r="G707">
        <v>1</v>
      </c>
      <c r="H707">
        <v>1</v>
      </c>
      <c r="I707" t="s">
        <v>1149</v>
      </c>
      <c r="J707" t="s">
        <v>6</v>
      </c>
      <c r="K707" t="s">
        <v>1150</v>
      </c>
      <c r="L707">
        <v>1191</v>
      </c>
      <c r="N707">
        <v>1013</v>
      </c>
      <c r="O707" t="s">
        <v>1148</v>
      </c>
      <c r="P707" t="s">
        <v>1148</v>
      </c>
      <c r="Q707">
        <v>1</v>
      </c>
      <c r="X707">
        <v>0.56999999999999995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1</v>
      </c>
      <c r="AE707">
        <v>2</v>
      </c>
      <c r="AF707" t="s">
        <v>81</v>
      </c>
      <c r="AG707">
        <v>0.71249999999999991</v>
      </c>
      <c r="AH707">
        <v>2</v>
      </c>
      <c r="AI707">
        <v>16632735</v>
      </c>
      <c r="AJ707">
        <v>714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ROW(Source!A343)</f>
        <v>343</v>
      </c>
      <c r="B708">
        <v>16632752</v>
      </c>
      <c r="C708">
        <v>16632733</v>
      </c>
      <c r="D708">
        <v>15247974</v>
      </c>
      <c r="E708">
        <v>1</v>
      </c>
      <c r="F708">
        <v>1</v>
      </c>
      <c r="G708">
        <v>1</v>
      </c>
      <c r="H708">
        <v>2</v>
      </c>
      <c r="I708" t="s">
        <v>1151</v>
      </c>
      <c r="J708" t="s">
        <v>1152</v>
      </c>
      <c r="K708" t="s">
        <v>1153</v>
      </c>
      <c r="L708">
        <v>1368</v>
      </c>
      <c r="N708">
        <v>1011</v>
      </c>
      <c r="O708" t="s">
        <v>1154</v>
      </c>
      <c r="P708" t="s">
        <v>1154</v>
      </c>
      <c r="Q708">
        <v>1</v>
      </c>
      <c r="X708">
        <v>0.32</v>
      </c>
      <c r="Y708">
        <v>0</v>
      </c>
      <c r="Z708">
        <v>31.26</v>
      </c>
      <c r="AA708">
        <v>13.5</v>
      </c>
      <c r="AB708">
        <v>0</v>
      </c>
      <c r="AC708">
        <v>0</v>
      </c>
      <c r="AD708">
        <v>1</v>
      </c>
      <c r="AE708">
        <v>0</v>
      </c>
      <c r="AF708" t="s">
        <v>81</v>
      </c>
      <c r="AG708">
        <v>0.4</v>
      </c>
      <c r="AH708">
        <v>2</v>
      </c>
      <c r="AI708">
        <v>16632736</v>
      </c>
      <c r="AJ708">
        <v>715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ROW(Source!A343)</f>
        <v>343</v>
      </c>
      <c r="B709">
        <v>16632753</v>
      </c>
      <c r="C709">
        <v>16632733</v>
      </c>
      <c r="D709">
        <v>15249073</v>
      </c>
      <c r="E709">
        <v>1</v>
      </c>
      <c r="F709">
        <v>1</v>
      </c>
      <c r="G709">
        <v>1</v>
      </c>
      <c r="H709">
        <v>2</v>
      </c>
      <c r="I709" t="s">
        <v>1157</v>
      </c>
      <c r="J709" t="s">
        <v>1158</v>
      </c>
      <c r="K709" t="s">
        <v>1159</v>
      </c>
      <c r="L709">
        <v>1368</v>
      </c>
      <c r="N709">
        <v>1011</v>
      </c>
      <c r="O709" t="s">
        <v>1154</v>
      </c>
      <c r="P709" t="s">
        <v>1154</v>
      </c>
      <c r="Q709">
        <v>1</v>
      </c>
      <c r="X709">
        <v>0.25</v>
      </c>
      <c r="Y709">
        <v>0</v>
      </c>
      <c r="Z709">
        <v>65.709999999999994</v>
      </c>
      <c r="AA709">
        <v>11.6</v>
      </c>
      <c r="AB709">
        <v>0</v>
      </c>
      <c r="AC709">
        <v>0</v>
      </c>
      <c r="AD709">
        <v>1</v>
      </c>
      <c r="AE709">
        <v>0</v>
      </c>
      <c r="AF709" t="s">
        <v>81</v>
      </c>
      <c r="AG709">
        <v>0.3125</v>
      </c>
      <c r="AH709">
        <v>2</v>
      </c>
      <c r="AI709">
        <v>16632737</v>
      </c>
      <c r="AJ709">
        <v>716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ROW(Source!A343)</f>
        <v>343</v>
      </c>
      <c r="B710">
        <v>16632754</v>
      </c>
      <c r="C710">
        <v>16632733</v>
      </c>
      <c r="D710">
        <v>15167955</v>
      </c>
      <c r="E710">
        <v>1</v>
      </c>
      <c r="F710">
        <v>1</v>
      </c>
      <c r="G710">
        <v>1</v>
      </c>
      <c r="H710">
        <v>3</v>
      </c>
      <c r="I710" t="s">
        <v>1596</v>
      </c>
      <c r="J710" t="s">
        <v>1597</v>
      </c>
      <c r="K710" t="s">
        <v>1598</v>
      </c>
      <c r="L710">
        <v>1348</v>
      </c>
      <c r="N710">
        <v>1009</v>
      </c>
      <c r="O710" t="s">
        <v>98</v>
      </c>
      <c r="P710" t="s">
        <v>98</v>
      </c>
      <c r="Q710">
        <v>1000</v>
      </c>
      <c r="X710">
        <v>1E-3</v>
      </c>
      <c r="Y710">
        <v>30030</v>
      </c>
      <c r="Z710">
        <v>0</v>
      </c>
      <c r="AA710">
        <v>0</v>
      </c>
      <c r="AB710">
        <v>0</v>
      </c>
      <c r="AC710">
        <v>0</v>
      </c>
      <c r="AD710">
        <v>1</v>
      </c>
      <c r="AE710">
        <v>0</v>
      </c>
      <c r="AF710" t="s">
        <v>6</v>
      </c>
      <c r="AG710">
        <v>1E-3</v>
      </c>
      <c r="AH710">
        <v>2</v>
      </c>
      <c r="AI710">
        <v>16632738</v>
      </c>
      <c r="AJ710">
        <v>717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ROW(Source!A343)</f>
        <v>343</v>
      </c>
      <c r="B711">
        <v>16632755</v>
      </c>
      <c r="C711">
        <v>16632733</v>
      </c>
      <c r="D711">
        <v>15167963</v>
      </c>
      <c r="E711">
        <v>1</v>
      </c>
      <c r="F711">
        <v>1</v>
      </c>
      <c r="G711">
        <v>1</v>
      </c>
      <c r="H711">
        <v>3</v>
      </c>
      <c r="I711" t="s">
        <v>1533</v>
      </c>
      <c r="J711" t="s">
        <v>1534</v>
      </c>
      <c r="K711" t="s">
        <v>1535</v>
      </c>
      <c r="L711">
        <v>1346</v>
      </c>
      <c r="N711">
        <v>1009</v>
      </c>
      <c r="O711" t="s">
        <v>102</v>
      </c>
      <c r="P711" t="s">
        <v>102</v>
      </c>
      <c r="Q711">
        <v>1</v>
      </c>
      <c r="X711">
        <v>0.2</v>
      </c>
      <c r="Y711">
        <v>37.29</v>
      </c>
      <c r="Z711">
        <v>0</v>
      </c>
      <c r="AA711">
        <v>0</v>
      </c>
      <c r="AB711">
        <v>0</v>
      </c>
      <c r="AC711">
        <v>0</v>
      </c>
      <c r="AD711">
        <v>1</v>
      </c>
      <c r="AE711">
        <v>0</v>
      </c>
      <c r="AF711" t="s">
        <v>6</v>
      </c>
      <c r="AG711">
        <v>0.2</v>
      </c>
      <c r="AH711">
        <v>2</v>
      </c>
      <c r="AI711">
        <v>16632739</v>
      </c>
      <c r="AJ711">
        <v>718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ROW(Source!A343)</f>
        <v>343</v>
      </c>
      <c r="B712">
        <v>16632756</v>
      </c>
      <c r="C712">
        <v>16632733</v>
      </c>
      <c r="D712">
        <v>15163011</v>
      </c>
      <c r="E712">
        <v>17</v>
      </c>
      <c r="F712">
        <v>1</v>
      </c>
      <c r="G712">
        <v>1</v>
      </c>
      <c r="H712">
        <v>3</v>
      </c>
      <c r="I712" t="s">
        <v>786</v>
      </c>
      <c r="J712" t="s">
        <v>6</v>
      </c>
      <c r="K712" t="s">
        <v>787</v>
      </c>
      <c r="L712">
        <v>1358</v>
      </c>
      <c r="N712">
        <v>1010</v>
      </c>
      <c r="O712" t="s">
        <v>616</v>
      </c>
      <c r="P712" t="s">
        <v>616</v>
      </c>
      <c r="Q712">
        <v>10</v>
      </c>
      <c r="X712">
        <v>2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 t="s">
        <v>6</v>
      </c>
      <c r="AG712">
        <v>2</v>
      </c>
      <c r="AH712">
        <v>3</v>
      </c>
      <c r="AI712">
        <v>-1</v>
      </c>
      <c r="AJ712" t="s">
        <v>6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ROW(Source!A343)</f>
        <v>343</v>
      </c>
      <c r="B713">
        <v>16632757</v>
      </c>
      <c r="C713">
        <v>16632733</v>
      </c>
      <c r="D713">
        <v>15162072</v>
      </c>
      <c r="E713">
        <v>17</v>
      </c>
      <c r="F713">
        <v>1</v>
      </c>
      <c r="G713">
        <v>1</v>
      </c>
      <c r="H713">
        <v>3</v>
      </c>
      <c r="I713" t="s">
        <v>1674</v>
      </c>
      <c r="J713" t="s">
        <v>6</v>
      </c>
      <c r="K713" t="s">
        <v>1675</v>
      </c>
      <c r="L713">
        <v>1348</v>
      </c>
      <c r="N713">
        <v>1009</v>
      </c>
      <c r="O713" t="s">
        <v>98</v>
      </c>
      <c r="P713" t="s">
        <v>98</v>
      </c>
      <c r="Q713">
        <v>1000</v>
      </c>
      <c r="X713">
        <v>5.0000000000000001E-4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 t="s">
        <v>6</v>
      </c>
      <c r="AG713">
        <v>5.0000000000000001E-4</v>
      </c>
      <c r="AH713">
        <v>3</v>
      </c>
      <c r="AI713">
        <v>-1</v>
      </c>
      <c r="AJ713" t="s">
        <v>6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ROW(Source!A343)</f>
        <v>343</v>
      </c>
      <c r="B714">
        <v>16632758</v>
      </c>
      <c r="C714">
        <v>16632733</v>
      </c>
      <c r="D714">
        <v>15163213</v>
      </c>
      <c r="E714">
        <v>17</v>
      </c>
      <c r="F714">
        <v>1</v>
      </c>
      <c r="G714">
        <v>1</v>
      </c>
      <c r="H714">
        <v>3</v>
      </c>
      <c r="I714" t="s">
        <v>1746</v>
      </c>
      <c r="J714" t="s">
        <v>6</v>
      </c>
      <c r="K714" t="s">
        <v>957</v>
      </c>
      <c r="L714">
        <v>1354</v>
      </c>
      <c r="N714">
        <v>1010</v>
      </c>
      <c r="O714" t="s">
        <v>132</v>
      </c>
      <c r="P714" t="s">
        <v>132</v>
      </c>
      <c r="Q714">
        <v>1</v>
      </c>
      <c r="X714">
        <v>10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 t="s">
        <v>6</v>
      </c>
      <c r="AG714">
        <v>10</v>
      </c>
      <c r="AH714">
        <v>3</v>
      </c>
      <c r="AI714">
        <v>-1</v>
      </c>
      <c r="AJ714" t="s">
        <v>6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ROW(Source!A343)</f>
        <v>343</v>
      </c>
      <c r="B715">
        <v>16632759</v>
      </c>
      <c r="C715">
        <v>16632733</v>
      </c>
      <c r="D715">
        <v>15170815</v>
      </c>
      <c r="E715">
        <v>1</v>
      </c>
      <c r="F715">
        <v>1</v>
      </c>
      <c r="G715">
        <v>1</v>
      </c>
      <c r="H715">
        <v>3</v>
      </c>
      <c r="I715" t="s">
        <v>1614</v>
      </c>
      <c r="J715" t="s">
        <v>1615</v>
      </c>
      <c r="K715" t="s">
        <v>1616</v>
      </c>
      <c r="L715">
        <v>1346</v>
      </c>
      <c r="N715">
        <v>1009</v>
      </c>
      <c r="O715" t="s">
        <v>102</v>
      </c>
      <c r="P715" t="s">
        <v>102</v>
      </c>
      <c r="Q715">
        <v>1</v>
      </c>
      <c r="X715">
        <v>0.8</v>
      </c>
      <c r="Y715">
        <v>13.56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0</v>
      </c>
      <c r="AF715" t="s">
        <v>6</v>
      </c>
      <c r="AG715">
        <v>0.8</v>
      </c>
      <c r="AH715">
        <v>2</v>
      </c>
      <c r="AI715">
        <v>16632740</v>
      </c>
      <c r="AJ715">
        <v>721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ROW(Source!A343)</f>
        <v>343</v>
      </c>
      <c r="B716">
        <v>16632760</v>
      </c>
      <c r="C716">
        <v>16632733</v>
      </c>
      <c r="D716">
        <v>15194723</v>
      </c>
      <c r="E716">
        <v>1</v>
      </c>
      <c r="F716">
        <v>1</v>
      </c>
      <c r="G716">
        <v>1</v>
      </c>
      <c r="H716">
        <v>3</v>
      </c>
      <c r="I716" t="s">
        <v>1617</v>
      </c>
      <c r="J716" t="s">
        <v>1618</v>
      </c>
      <c r="K716" t="s">
        <v>1619</v>
      </c>
      <c r="L716">
        <v>1348</v>
      </c>
      <c r="N716">
        <v>1009</v>
      </c>
      <c r="O716" t="s">
        <v>98</v>
      </c>
      <c r="P716" t="s">
        <v>98</v>
      </c>
      <c r="Q716">
        <v>1000</v>
      </c>
      <c r="X716">
        <v>5.0000000000000001E-4</v>
      </c>
      <c r="Y716">
        <v>37517</v>
      </c>
      <c r="Z716">
        <v>0</v>
      </c>
      <c r="AA716">
        <v>0</v>
      </c>
      <c r="AB716">
        <v>0</v>
      </c>
      <c r="AC716">
        <v>0</v>
      </c>
      <c r="AD716">
        <v>1</v>
      </c>
      <c r="AE716">
        <v>0</v>
      </c>
      <c r="AF716" t="s">
        <v>6</v>
      </c>
      <c r="AG716">
        <v>5.0000000000000001E-4</v>
      </c>
      <c r="AH716">
        <v>2</v>
      </c>
      <c r="AI716">
        <v>16632741</v>
      </c>
      <c r="AJ716">
        <v>722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ROW(Source!A343)</f>
        <v>343</v>
      </c>
      <c r="B717">
        <v>16632761</v>
      </c>
      <c r="C717">
        <v>16632733</v>
      </c>
      <c r="D717">
        <v>15202525</v>
      </c>
      <c r="E717">
        <v>1</v>
      </c>
      <c r="F717">
        <v>1</v>
      </c>
      <c r="G717">
        <v>1</v>
      </c>
      <c r="H717">
        <v>3</v>
      </c>
      <c r="I717" t="s">
        <v>1620</v>
      </c>
      <c r="J717" t="s">
        <v>1621</v>
      </c>
      <c r="K717" t="s">
        <v>1622</v>
      </c>
      <c r="L717">
        <v>1348</v>
      </c>
      <c r="N717">
        <v>1009</v>
      </c>
      <c r="O717" t="s">
        <v>98</v>
      </c>
      <c r="P717" t="s">
        <v>98</v>
      </c>
      <c r="Q717">
        <v>1000</v>
      </c>
      <c r="X717">
        <v>8.0000000000000004E-4</v>
      </c>
      <c r="Y717">
        <v>12330</v>
      </c>
      <c r="Z717">
        <v>0</v>
      </c>
      <c r="AA717">
        <v>0</v>
      </c>
      <c r="AB717">
        <v>0</v>
      </c>
      <c r="AC717">
        <v>0</v>
      </c>
      <c r="AD717">
        <v>1</v>
      </c>
      <c r="AE717">
        <v>0</v>
      </c>
      <c r="AF717" t="s">
        <v>6</v>
      </c>
      <c r="AG717">
        <v>8.0000000000000004E-4</v>
      </c>
      <c r="AH717">
        <v>2</v>
      </c>
      <c r="AI717">
        <v>16632742</v>
      </c>
      <c r="AJ717">
        <v>723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ROW(Source!A343)</f>
        <v>343</v>
      </c>
      <c r="B718">
        <v>16632762</v>
      </c>
      <c r="C718">
        <v>16632733</v>
      </c>
      <c r="D718">
        <v>15203740</v>
      </c>
      <c r="E718">
        <v>1</v>
      </c>
      <c r="F718">
        <v>1</v>
      </c>
      <c r="G718">
        <v>1</v>
      </c>
      <c r="H718">
        <v>3</v>
      </c>
      <c r="I718" t="s">
        <v>1542</v>
      </c>
      <c r="J718" t="s">
        <v>1543</v>
      </c>
      <c r="K718" t="s">
        <v>1544</v>
      </c>
      <c r="L718">
        <v>1348</v>
      </c>
      <c r="N718">
        <v>1009</v>
      </c>
      <c r="O718" t="s">
        <v>98</v>
      </c>
      <c r="P718" t="s">
        <v>98</v>
      </c>
      <c r="Q718">
        <v>1000</v>
      </c>
      <c r="X718">
        <v>4.0000000000000002E-4</v>
      </c>
      <c r="Y718">
        <v>15119</v>
      </c>
      <c r="Z718">
        <v>0</v>
      </c>
      <c r="AA718">
        <v>0</v>
      </c>
      <c r="AB718">
        <v>0</v>
      </c>
      <c r="AC718">
        <v>0</v>
      </c>
      <c r="AD718">
        <v>1</v>
      </c>
      <c r="AE718">
        <v>0</v>
      </c>
      <c r="AF718" t="s">
        <v>6</v>
      </c>
      <c r="AG718">
        <v>4.0000000000000002E-4</v>
      </c>
      <c r="AH718">
        <v>2</v>
      </c>
      <c r="AI718">
        <v>16632743</v>
      </c>
      <c r="AJ718">
        <v>724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ROW(Source!A343)</f>
        <v>343</v>
      </c>
      <c r="B719">
        <v>16632763</v>
      </c>
      <c r="C719">
        <v>16632733</v>
      </c>
      <c r="D719">
        <v>15163194</v>
      </c>
      <c r="E719">
        <v>17</v>
      </c>
      <c r="F719">
        <v>1</v>
      </c>
      <c r="G719">
        <v>1</v>
      </c>
      <c r="H719">
        <v>3</v>
      </c>
      <c r="I719" t="s">
        <v>1747</v>
      </c>
      <c r="J719" t="s">
        <v>6</v>
      </c>
      <c r="K719" t="s">
        <v>1748</v>
      </c>
      <c r="L719">
        <v>1346</v>
      </c>
      <c r="N719">
        <v>1009</v>
      </c>
      <c r="O719" t="s">
        <v>102</v>
      </c>
      <c r="P719" t="s">
        <v>102</v>
      </c>
      <c r="Q719">
        <v>1</v>
      </c>
      <c r="X719">
        <v>4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 t="s">
        <v>6</v>
      </c>
      <c r="AG719">
        <v>4</v>
      </c>
      <c r="AH719">
        <v>3</v>
      </c>
      <c r="AI719">
        <v>-1</v>
      </c>
      <c r="AJ719" t="s">
        <v>6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ROW(Source!A343)</f>
        <v>343</v>
      </c>
      <c r="B720">
        <v>16632764</v>
      </c>
      <c r="C720">
        <v>16632733</v>
      </c>
      <c r="D720">
        <v>15204468</v>
      </c>
      <c r="E720">
        <v>1</v>
      </c>
      <c r="F720">
        <v>1</v>
      </c>
      <c r="G720">
        <v>1</v>
      </c>
      <c r="H720">
        <v>3</v>
      </c>
      <c r="I720" t="s">
        <v>1545</v>
      </c>
      <c r="J720" t="s">
        <v>1546</v>
      </c>
      <c r="K720" t="s">
        <v>1547</v>
      </c>
      <c r="L720">
        <v>1348</v>
      </c>
      <c r="N720">
        <v>1009</v>
      </c>
      <c r="O720" t="s">
        <v>98</v>
      </c>
      <c r="P720" t="s">
        <v>98</v>
      </c>
      <c r="Q720">
        <v>1000</v>
      </c>
      <c r="X720">
        <v>2.0000000000000001E-4</v>
      </c>
      <c r="Y720">
        <v>16950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0</v>
      </c>
      <c r="AF720" t="s">
        <v>6</v>
      </c>
      <c r="AG720">
        <v>2.0000000000000001E-4</v>
      </c>
      <c r="AH720">
        <v>2</v>
      </c>
      <c r="AI720">
        <v>16632744</v>
      </c>
      <c r="AJ720">
        <v>725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ROW(Source!A343)</f>
        <v>343</v>
      </c>
      <c r="B721">
        <v>16632765</v>
      </c>
      <c r="C721">
        <v>16632733</v>
      </c>
      <c r="D721">
        <v>15211333</v>
      </c>
      <c r="E721">
        <v>1</v>
      </c>
      <c r="F721">
        <v>1</v>
      </c>
      <c r="G721">
        <v>1</v>
      </c>
      <c r="H721">
        <v>3</v>
      </c>
      <c r="I721" t="s">
        <v>1623</v>
      </c>
      <c r="J721" t="s">
        <v>1624</v>
      </c>
      <c r="K721" t="s">
        <v>1625</v>
      </c>
      <c r="L721">
        <v>1354</v>
      </c>
      <c r="N721">
        <v>1010</v>
      </c>
      <c r="O721" t="s">
        <v>132</v>
      </c>
      <c r="P721" t="s">
        <v>132</v>
      </c>
      <c r="Q721">
        <v>1</v>
      </c>
      <c r="X721">
        <v>10</v>
      </c>
      <c r="Y721">
        <v>360.5</v>
      </c>
      <c r="Z721">
        <v>0</v>
      </c>
      <c r="AA721">
        <v>0</v>
      </c>
      <c r="AB721">
        <v>0</v>
      </c>
      <c r="AC721">
        <v>0</v>
      </c>
      <c r="AD721">
        <v>1</v>
      </c>
      <c r="AE721">
        <v>0</v>
      </c>
      <c r="AF721" t="s">
        <v>6</v>
      </c>
      <c r="AG721">
        <v>10</v>
      </c>
      <c r="AH721">
        <v>2</v>
      </c>
      <c r="AI721">
        <v>16632745</v>
      </c>
      <c r="AJ721">
        <v>726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ROW(Source!A343)</f>
        <v>343</v>
      </c>
      <c r="B722">
        <v>16632766</v>
      </c>
      <c r="C722">
        <v>16632733</v>
      </c>
      <c r="D722">
        <v>15211997</v>
      </c>
      <c r="E722">
        <v>1</v>
      </c>
      <c r="F722">
        <v>1</v>
      </c>
      <c r="G722">
        <v>1</v>
      </c>
      <c r="H722">
        <v>3</v>
      </c>
      <c r="I722" t="s">
        <v>1626</v>
      </c>
      <c r="J722" t="s">
        <v>1627</v>
      </c>
      <c r="K722" t="s">
        <v>1628</v>
      </c>
      <c r="L722">
        <v>1354</v>
      </c>
      <c r="N722">
        <v>1010</v>
      </c>
      <c r="O722" t="s">
        <v>132</v>
      </c>
      <c r="P722" t="s">
        <v>132</v>
      </c>
      <c r="Q722">
        <v>1</v>
      </c>
      <c r="X722">
        <v>10</v>
      </c>
      <c r="Y722">
        <v>58.5</v>
      </c>
      <c r="Z722">
        <v>0</v>
      </c>
      <c r="AA722">
        <v>0</v>
      </c>
      <c r="AB722">
        <v>0</v>
      </c>
      <c r="AC722">
        <v>0</v>
      </c>
      <c r="AD722">
        <v>1</v>
      </c>
      <c r="AE722">
        <v>0</v>
      </c>
      <c r="AF722" t="s">
        <v>6</v>
      </c>
      <c r="AG722">
        <v>10</v>
      </c>
      <c r="AH722">
        <v>2</v>
      </c>
      <c r="AI722">
        <v>16632746</v>
      </c>
      <c r="AJ722">
        <v>728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ROW(Source!A343)</f>
        <v>343</v>
      </c>
      <c r="B723">
        <v>16632767</v>
      </c>
      <c r="C723">
        <v>16632733</v>
      </c>
      <c r="D723">
        <v>15161722</v>
      </c>
      <c r="E723">
        <v>17</v>
      </c>
      <c r="F723">
        <v>1</v>
      </c>
      <c r="G723">
        <v>1</v>
      </c>
      <c r="H723">
        <v>3</v>
      </c>
      <c r="I723" t="s">
        <v>1742</v>
      </c>
      <c r="J723" t="s">
        <v>6</v>
      </c>
      <c r="K723" t="s">
        <v>1743</v>
      </c>
      <c r="L723">
        <v>1035</v>
      </c>
      <c r="N723">
        <v>1013</v>
      </c>
      <c r="O723" t="s">
        <v>177</v>
      </c>
      <c r="P723" t="s">
        <v>177</v>
      </c>
      <c r="Q723">
        <v>1</v>
      </c>
      <c r="X723">
        <v>10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 t="s">
        <v>6</v>
      </c>
      <c r="AG723">
        <v>10</v>
      </c>
      <c r="AH723">
        <v>3</v>
      </c>
      <c r="AI723">
        <v>-1</v>
      </c>
      <c r="AJ723" t="s">
        <v>6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ROW(Source!A347)</f>
        <v>347</v>
      </c>
      <c r="B724">
        <v>16632781</v>
      </c>
      <c r="C724">
        <v>16632771</v>
      </c>
      <c r="D724">
        <v>15436556</v>
      </c>
      <c r="E724">
        <v>1</v>
      </c>
      <c r="F724">
        <v>1</v>
      </c>
      <c r="G724">
        <v>1</v>
      </c>
      <c r="H724">
        <v>1</v>
      </c>
      <c r="I724" t="s">
        <v>1354</v>
      </c>
      <c r="J724" t="s">
        <v>6</v>
      </c>
      <c r="K724" t="s">
        <v>1355</v>
      </c>
      <c r="L724">
        <v>1191</v>
      </c>
      <c r="N724">
        <v>1013</v>
      </c>
      <c r="O724" t="s">
        <v>1148</v>
      </c>
      <c r="P724" t="s">
        <v>1148</v>
      </c>
      <c r="Q724">
        <v>1</v>
      </c>
      <c r="X724">
        <v>17.32</v>
      </c>
      <c r="Y724">
        <v>0</v>
      </c>
      <c r="Z724">
        <v>0</v>
      </c>
      <c r="AA724">
        <v>0</v>
      </c>
      <c r="AB724">
        <v>9.6199999999999992</v>
      </c>
      <c r="AC724">
        <v>0</v>
      </c>
      <c r="AD724">
        <v>1</v>
      </c>
      <c r="AE724">
        <v>1</v>
      </c>
      <c r="AF724" t="s">
        <v>82</v>
      </c>
      <c r="AG724">
        <v>19.917999999999999</v>
      </c>
      <c r="AH724">
        <v>2</v>
      </c>
      <c r="AI724">
        <v>16632772</v>
      </c>
      <c r="AJ724">
        <v>729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ROW(Source!A347)</f>
        <v>347</v>
      </c>
      <c r="B725">
        <v>16632782</v>
      </c>
      <c r="C725">
        <v>16632771</v>
      </c>
      <c r="D725">
        <v>15430395</v>
      </c>
      <c r="E725">
        <v>1</v>
      </c>
      <c r="F725">
        <v>1</v>
      </c>
      <c r="G725">
        <v>1</v>
      </c>
      <c r="H725">
        <v>1</v>
      </c>
      <c r="I725" t="s">
        <v>1149</v>
      </c>
      <c r="J725" t="s">
        <v>6</v>
      </c>
      <c r="K725" t="s">
        <v>1150</v>
      </c>
      <c r="L725">
        <v>1191</v>
      </c>
      <c r="N725">
        <v>1013</v>
      </c>
      <c r="O725" t="s">
        <v>1148</v>
      </c>
      <c r="P725" t="s">
        <v>1148</v>
      </c>
      <c r="Q725">
        <v>1</v>
      </c>
      <c r="X725">
        <v>0.27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1</v>
      </c>
      <c r="AE725">
        <v>2</v>
      </c>
      <c r="AF725" t="s">
        <v>81</v>
      </c>
      <c r="AG725">
        <v>0.33750000000000002</v>
      </c>
      <c r="AH725">
        <v>2</v>
      </c>
      <c r="AI725">
        <v>16632773</v>
      </c>
      <c r="AJ725">
        <v>730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ROW(Source!A347)</f>
        <v>347</v>
      </c>
      <c r="B726">
        <v>16632783</v>
      </c>
      <c r="C726">
        <v>16632771</v>
      </c>
      <c r="D726">
        <v>15247974</v>
      </c>
      <c r="E726">
        <v>1</v>
      </c>
      <c r="F726">
        <v>1</v>
      </c>
      <c r="G726">
        <v>1</v>
      </c>
      <c r="H726">
        <v>2</v>
      </c>
      <c r="I726" t="s">
        <v>1151</v>
      </c>
      <c r="J726" t="s">
        <v>1152</v>
      </c>
      <c r="K726" t="s">
        <v>1153</v>
      </c>
      <c r="L726">
        <v>1368</v>
      </c>
      <c r="N726">
        <v>1011</v>
      </c>
      <c r="O726" t="s">
        <v>1154</v>
      </c>
      <c r="P726" t="s">
        <v>1154</v>
      </c>
      <c r="Q726">
        <v>1</v>
      </c>
      <c r="X726">
        <v>0.13</v>
      </c>
      <c r="Y726">
        <v>0</v>
      </c>
      <c r="Z726">
        <v>31.26</v>
      </c>
      <c r="AA726">
        <v>13.5</v>
      </c>
      <c r="AB726">
        <v>0</v>
      </c>
      <c r="AC726">
        <v>0</v>
      </c>
      <c r="AD726">
        <v>1</v>
      </c>
      <c r="AE726">
        <v>0</v>
      </c>
      <c r="AF726" t="s">
        <v>81</v>
      </c>
      <c r="AG726">
        <v>0.16250000000000001</v>
      </c>
      <c r="AH726">
        <v>2</v>
      </c>
      <c r="AI726">
        <v>16632774</v>
      </c>
      <c r="AJ726">
        <v>731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ROW(Source!A347)</f>
        <v>347</v>
      </c>
      <c r="B727">
        <v>16632784</v>
      </c>
      <c r="C727">
        <v>16632771</v>
      </c>
      <c r="D727">
        <v>15249073</v>
      </c>
      <c r="E727">
        <v>1</v>
      </c>
      <c r="F727">
        <v>1</v>
      </c>
      <c r="G727">
        <v>1</v>
      </c>
      <c r="H727">
        <v>2</v>
      </c>
      <c r="I727" t="s">
        <v>1157</v>
      </c>
      <c r="J727" t="s">
        <v>1158</v>
      </c>
      <c r="K727" t="s">
        <v>1159</v>
      </c>
      <c r="L727">
        <v>1368</v>
      </c>
      <c r="N727">
        <v>1011</v>
      </c>
      <c r="O727" t="s">
        <v>1154</v>
      </c>
      <c r="P727" t="s">
        <v>1154</v>
      </c>
      <c r="Q727">
        <v>1</v>
      </c>
      <c r="X727">
        <v>0.14000000000000001</v>
      </c>
      <c r="Y727">
        <v>0</v>
      </c>
      <c r="Z727">
        <v>65.709999999999994</v>
      </c>
      <c r="AA727">
        <v>11.6</v>
      </c>
      <c r="AB727">
        <v>0</v>
      </c>
      <c r="AC727">
        <v>0</v>
      </c>
      <c r="AD727">
        <v>1</v>
      </c>
      <c r="AE727">
        <v>0</v>
      </c>
      <c r="AF727" t="s">
        <v>81</v>
      </c>
      <c r="AG727">
        <v>0.17500000000000002</v>
      </c>
      <c r="AH727">
        <v>2</v>
      </c>
      <c r="AI727">
        <v>16632775</v>
      </c>
      <c r="AJ727">
        <v>732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ROW(Source!A347)</f>
        <v>347</v>
      </c>
      <c r="B728">
        <v>16632785</v>
      </c>
      <c r="C728">
        <v>16632771</v>
      </c>
      <c r="D728">
        <v>15167955</v>
      </c>
      <c r="E728">
        <v>1</v>
      </c>
      <c r="F728">
        <v>1</v>
      </c>
      <c r="G728">
        <v>1</v>
      </c>
      <c r="H728">
        <v>3</v>
      </c>
      <c r="I728" t="s">
        <v>1596</v>
      </c>
      <c r="J728" t="s">
        <v>1597</v>
      </c>
      <c r="K728" t="s">
        <v>1598</v>
      </c>
      <c r="L728">
        <v>1348</v>
      </c>
      <c r="N728">
        <v>1009</v>
      </c>
      <c r="O728" t="s">
        <v>98</v>
      </c>
      <c r="P728" t="s">
        <v>98</v>
      </c>
      <c r="Q728">
        <v>1000</v>
      </c>
      <c r="X728">
        <v>1.4E-3</v>
      </c>
      <c r="Y728">
        <v>30030</v>
      </c>
      <c r="Z728">
        <v>0</v>
      </c>
      <c r="AA728">
        <v>0</v>
      </c>
      <c r="AB728">
        <v>0</v>
      </c>
      <c r="AC728">
        <v>0</v>
      </c>
      <c r="AD728">
        <v>1</v>
      </c>
      <c r="AE728">
        <v>0</v>
      </c>
      <c r="AF728" t="s">
        <v>6</v>
      </c>
      <c r="AG728">
        <v>1.4E-3</v>
      </c>
      <c r="AH728">
        <v>2</v>
      </c>
      <c r="AI728">
        <v>16632776</v>
      </c>
      <c r="AJ728">
        <v>733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ROW(Source!A347)</f>
        <v>347</v>
      </c>
      <c r="B729">
        <v>16632786</v>
      </c>
      <c r="C729">
        <v>16632771</v>
      </c>
      <c r="D729">
        <v>15167963</v>
      </c>
      <c r="E729">
        <v>1</v>
      </c>
      <c r="F729">
        <v>1</v>
      </c>
      <c r="G729">
        <v>1</v>
      </c>
      <c r="H729">
        <v>3</v>
      </c>
      <c r="I729" t="s">
        <v>1533</v>
      </c>
      <c r="J729" t="s">
        <v>1534</v>
      </c>
      <c r="K729" t="s">
        <v>1535</v>
      </c>
      <c r="L729">
        <v>1346</v>
      </c>
      <c r="N729">
        <v>1009</v>
      </c>
      <c r="O729" t="s">
        <v>102</v>
      </c>
      <c r="P729" t="s">
        <v>102</v>
      </c>
      <c r="Q729">
        <v>1</v>
      </c>
      <c r="X729">
        <v>0.13</v>
      </c>
      <c r="Y729">
        <v>37.29</v>
      </c>
      <c r="Z729">
        <v>0</v>
      </c>
      <c r="AA729">
        <v>0</v>
      </c>
      <c r="AB729">
        <v>0</v>
      </c>
      <c r="AC729">
        <v>0</v>
      </c>
      <c r="AD729">
        <v>1</v>
      </c>
      <c r="AE729">
        <v>0</v>
      </c>
      <c r="AF729" t="s">
        <v>6</v>
      </c>
      <c r="AG729">
        <v>0.13</v>
      </c>
      <c r="AH729">
        <v>2</v>
      </c>
      <c r="AI729">
        <v>16632777</v>
      </c>
      <c r="AJ729">
        <v>734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ROW(Source!A347)</f>
        <v>347</v>
      </c>
      <c r="B730">
        <v>16632787</v>
      </c>
      <c r="C730">
        <v>16632771</v>
      </c>
      <c r="D730">
        <v>15163011</v>
      </c>
      <c r="E730">
        <v>17</v>
      </c>
      <c r="F730">
        <v>1</v>
      </c>
      <c r="G730">
        <v>1</v>
      </c>
      <c r="H730">
        <v>3</v>
      </c>
      <c r="I730" t="s">
        <v>786</v>
      </c>
      <c r="J730" t="s">
        <v>6</v>
      </c>
      <c r="K730" t="s">
        <v>787</v>
      </c>
      <c r="L730">
        <v>1358</v>
      </c>
      <c r="N730">
        <v>1010</v>
      </c>
      <c r="O730" t="s">
        <v>616</v>
      </c>
      <c r="P730" t="s">
        <v>616</v>
      </c>
      <c r="Q730">
        <v>10</v>
      </c>
      <c r="X730">
        <v>4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 t="s">
        <v>6</v>
      </c>
      <c r="AG730">
        <v>4</v>
      </c>
      <c r="AH730">
        <v>3</v>
      </c>
      <c r="AI730">
        <v>-1</v>
      </c>
      <c r="AJ730" t="s">
        <v>6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ROW(Source!A347)</f>
        <v>347</v>
      </c>
      <c r="B731">
        <v>16632788</v>
      </c>
      <c r="C731">
        <v>16632771</v>
      </c>
      <c r="D731">
        <v>15162072</v>
      </c>
      <c r="E731">
        <v>17</v>
      </c>
      <c r="F731">
        <v>1</v>
      </c>
      <c r="G731">
        <v>1</v>
      </c>
      <c r="H731">
        <v>3</v>
      </c>
      <c r="I731" t="s">
        <v>1674</v>
      </c>
      <c r="J731" t="s">
        <v>6</v>
      </c>
      <c r="K731" t="s">
        <v>1675</v>
      </c>
      <c r="L731">
        <v>1348</v>
      </c>
      <c r="N731">
        <v>1009</v>
      </c>
      <c r="O731" t="s">
        <v>98</v>
      </c>
      <c r="P731" t="s">
        <v>98</v>
      </c>
      <c r="Q731">
        <v>1000</v>
      </c>
      <c r="X731">
        <v>6.9999999999999999E-4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 t="s">
        <v>6</v>
      </c>
      <c r="AG731">
        <v>6.9999999999999999E-4</v>
      </c>
      <c r="AH731">
        <v>3</v>
      </c>
      <c r="AI731">
        <v>-1</v>
      </c>
      <c r="AJ731" t="s">
        <v>6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ROW(Source!A347)</f>
        <v>347</v>
      </c>
      <c r="B732">
        <v>16632789</v>
      </c>
      <c r="C732">
        <v>16632771</v>
      </c>
      <c r="D732">
        <v>15161703</v>
      </c>
      <c r="E732">
        <v>17</v>
      </c>
      <c r="F732">
        <v>1</v>
      </c>
      <c r="G732">
        <v>1</v>
      </c>
      <c r="H732">
        <v>3</v>
      </c>
      <c r="I732" t="s">
        <v>397</v>
      </c>
      <c r="J732" t="s">
        <v>6</v>
      </c>
      <c r="K732" t="s">
        <v>398</v>
      </c>
      <c r="L732">
        <v>1339</v>
      </c>
      <c r="N732">
        <v>1007</v>
      </c>
      <c r="O732" t="s">
        <v>203</v>
      </c>
      <c r="P732" t="s">
        <v>203</v>
      </c>
      <c r="Q732">
        <v>1</v>
      </c>
      <c r="X732">
        <v>0.01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 t="s">
        <v>6</v>
      </c>
      <c r="AG732">
        <v>0.01</v>
      </c>
      <c r="AH732">
        <v>3</v>
      </c>
      <c r="AI732">
        <v>-1</v>
      </c>
      <c r="AJ732" t="s">
        <v>6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ROW(Source!A347)</f>
        <v>347</v>
      </c>
      <c r="B733">
        <v>16632790</v>
      </c>
      <c r="C733">
        <v>16632771</v>
      </c>
      <c r="D733">
        <v>15203740</v>
      </c>
      <c r="E733">
        <v>1</v>
      </c>
      <c r="F733">
        <v>1</v>
      </c>
      <c r="G733">
        <v>1</v>
      </c>
      <c r="H733">
        <v>3</v>
      </c>
      <c r="I733" t="s">
        <v>1542</v>
      </c>
      <c r="J733" t="s">
        <v>1543</v>
      </c>
      <c r="K733" t="s">
        <v>1544</v>
      </c>
      <c r="L733">
        <v>1348</v>
      </c>
      <c r="N733">
        <v>1009</v>
      </c>
      <c r="O733" t="s">
        <v>98</v>
      </c>
      <c r="P733" t="s">
        <v>98</v>
      </c>
      <c r="Q733">
        <v>1000</v>
      </c>
      <c r="X733">
        <v>2.7E-4</v>
      </c>
      <c r="Y733">
        <v>15119</v>
      </c>
      <c r="Z733">
        <v>0</v>
      </c>
      <c r="AA733">
        <v>0</v>
      </c>
      <c r="AB733">
        <v>0</v>
      </c>
      <c r="AC733">
        <v>0</v>
      </c>
      <c r="AD733">
        <v>1</v>
      </c>
      <c r="AE733">
        <v>0</v>
      </c>
      <c r="AF733" t="s">
        <v>6</v>
      </c>
      <c r="AG733">
        <v>2.7E-4</v>
      </c>
      <c r="AH733">
        <v>2</v>
      </c>
      <c r="AI733">
        <v>16632778</v>
      </c>
      <c r="AJ733">
        <v>735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ROW(Source!A347)</f>
        <v>347</v>
      </c>
      <c r="B734">
        <v>16632791</v>
      </c>
      <c r="C734">
        <v>16632771</v>
      </c>
      <c r="D734">
        <v>15163194</v>
      </c>
      <c r="E734">
        <v>17</v>
      </c>
      <c r="F734">
        <v>1</v>
      </c>
      <c r="G734">
        <v>1</v>
      </c>
      <c r="H734">
        <v>3</v>
      </c>
      <c r="I734" t="s">
        <v>1747</v>
      </c>
      <c r="J734" t="s">
        <v>6</v>
      </c>
      <c r="K734" t="s">
        <v>1748</v>
      </c>
      <c r="L734">
        <v>1346</v>
      </c>
      <c r="N734">
        <v>1009</v>
      </c>
      <c r="O734" t="s">
        <v>102</v>
      </c>
      <c r="P734" t="s">
        <v>102</v>
      </c>
      <c r="Q734">
        <v>1</v>
      </c>
      <c r="X734">
        <v>2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 t="s">
        <v>6</v>
      </c>
      <c r="AG734">
        <v>2</v>
      </c>
      <c r="AH734">
        <v>3</v>
      </c>
      <c r="AI734">
        <v>-1</v>
      </c>
      <c r="AJ734" t="s">
        <v>6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ROW(Source!A347)</f>
        <v>347</v>
      </c>
      <c r="B735">
        <v>16632792</v>
      </c>
      <c r="C735">
        <v>16632771</v>
      </c>
      <c r="D735">
        <v>15204468</v>
      </c>
      <c r="E735">
        <v>1</v>
      </c>
      <c r="F735">
        <v>1</v>
      </c>
      <c r="G735">
        <v>1</v>
      </c>
      <c r="H735">
        <v>3</v>
      </c>
      <c r="I735" t="s">
        <v>1545</v>
      </c>
      <c r="J735" t="s">
        <v>1546</v>
      </c>
      <c r="K735" t="s">
        <v>1547</v>
      </c>
      <c r="L735">
        <v>1348</v>
      </c>
      <c r="N735">
        <v>1009</v>
      </c>
      <c r="O735" t="s">
        <v>98</v>
      </c>
      <c r="P735" t="s">
        <v>98</v>
      </c>
      <c r="Q735">
        <v>1000</v>
      </c>
      <c r="X735">
        <v>1.2999999999999999E-4</v>
      </c>
      <c r="Y735">
        <v>16950</v>
      </c>
      <c r="Z735">
        <v>0</v>
      </c>
      <c r="AA735">
        <v>0</v>
      </c>
      <c r="AB735">
        <v>0</v>
      </c>
      <c r="AC735">
        <v>0</v>
      </c>
      <c r="AD735">
        <v>1</v>
      </c>
      <c r="AE735">
        <v>0</v>
      </c>
      <c r="AF735" t="s">
        <v>6</v>
      </c>
      <c r="AG735">
        <v>1.2999999999999999E-4</v>
      </c>
      <c r="AH735">
        <v>2</v>
      </c>
      <c r="AI735">
        <v>16632779</v>
      </c>
      <c r="AJ735">
        <v>736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 x14ac:dyDescent="0.2">
      <c r="A736">
        <f>ROW(Source!A347)</f>
        <v>347</v>
      </c>
      <c r="B736">
        <v>16632793</v>
      </c>
      <c r="C736">
        <v>16632771</v>
      </c>
      <c r="D736">
        <v>15161722</v>
      </c>
      <c r="E736">
        <v>17</v>
      </c>
      <c r="F736">
        <v>1</v>
      </c>
      <c r="G736">
        <v>1</v>
      </c>
      <c r="H736">
        <v>3</v>
      </c>
      <c r="I736" t="s">
        <v>1742</v>
      </c>
      <c r="J736" t="s">
        <v>6</v>
      </c>
      <c r="K736" t="s">
        <v>1743</v>
      </c>
      <c r="L736">
        <v>1035</v>
      </c>
      <c r="N736">
        <v>1013</v>
      </c>
      <c r="O736" t="s">
        <v>177</v>
      </c>
      <c r="P736" t="s">
        <v>177</v>
      </c>
      <c r="Q736">
        <v>1</v>
      </c>
      <c r="X736">
        <v>10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 t="s">
        <v>6</v>
      </c>
      <c r="AG736">
        <v>10</v>
      </c>
      <c r="AH736">
        <v>3</v>
      </c>
      <c r="AI736">
        <v>-1</v>
      </c>
      <c r="AJ736" t="s">
        <v>6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 x14ac:dyDescent="0.2">
      <c r="A737">
        <f>ROW(Source!A349)</f>
        <v>349</v>
      </c>
      <c r="B737">
        <v>16632807</v>
      </c>
      <c r="C737">
        <v>16632795</v>
      </c>
      <c r="D737">
        <v>15436556</v>
      </c>
      <c r="E737">
        <v>1</v>
      </c>
      <c r="F737">
        <v>1</v>
      </c>
      <c r="G737">
        <v>1</v>
      </c>
      <c r="H737">
        <v>1</v>
      </c>
      <c r="I737" t="s">
        <v>1354</v>
      </c>
      <c r="J737" t="s">
        <v>6</v>
      </c>
      <c r="K737" t="s">
        <v>1355</v>
      </c>
      <c r="L737">
        <v>1191</v>
      </c>
      <c r="N737">
        <v>1013</v>
      </c>
      <c r="O737" t="s">
        <v>1148</v>
      </c>
      <c r="P737" t="s">
        <v>1148</v>
      </c>
      <c r="Q737">
        <v>1</v>
      </c>
      <c r="X737">
        <v>8.99</v>
      </c>
      <c r="Y737">
        <v>0</v>
      </c>
      <c r="Z737">
        <v>0</v>
      </c>
      <c r="AA737">
        <v>0</v>
      </c>
      <c r="AB737">
        <v>9.6199999999999992</v>
      </c>
      <c r="AC737">
        <v>0</v>
      </c>
      <c r="AD737">
        <v>1</v>
      </c>
      <c r="AE737">
        <v>1</v>
      </c>
      <c r="AF737" t="s">
        <v>82</v>
      </c>
      <c r="AG737">
        <v>10.3385</v>
      </c>
      <c r="AH737">
        <v>2</v>
      </c>
      <c r="AI737">
        <v>16632796</v>
      </c>
      <c r="AJ737">
        <v>738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 x14ac:dyDescent="0.2">
      <c r="A738">
        <f>ROW(Source!A349)</f>
        <v>349</v>
      </c>
      <c r="B738">
        <v>16632808</v>
      </c>
      <c r="C738">
        <v>16632795</v>
      </c>
      <c r="D738">
        <v>15430395</v>
      </c>
      <c r="E738">
        <v>1</v>
      </c>
      <c r="F738">
        <v>1</v>
      </c>
      <c r="G738">
        <v>1</v>
      </c>
      <c r="H738">
        <v>1</v>
      </c>
      <c r="I738" t="s">
        <v>1149</v>
      </c>
      <c r="J738" t="s">
        <v>6</v>
      </c>
      <c r="K738" t="s">
        <v>1150</v>
      </c>
      <c r="L738">
        <v>1191</v>
      </c>
      <c r="N738">
        <v>1013</v>
      </c>
      <c r="O738" t="s">
        <v>1148</v>
      </c>
      <c r="P738" t="s">
        <v>1148</v>
      </c>
      <c r="Q738">
        <v>1</v>
      </c>
      <c r="X738">
        <v>0.21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1</v>
      </c>
      <c r="AE738">
        <v>2</v>
      </c>
      <c r="AF738" t="s">
        <v>81</v>
      </c>
      <c r="AG738">
        <v>0.26250000000000001</v>
      </c>
      <c r="AH738">
        <v>2</v>
      </c>
      <c r="AI738">
        <v>16632797</v>
      </c>
      <c r="AJ738">
        <v>739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 x14ac:dyDescent="0.2">
      <c r="A739">
        <f>ROW(Source!A349)</f>
        <v>349</v>
      </c>
      <c r="B739">
        <v>16632809</v>
      </c>
      <c r="C739">
        <v>16632795</v>
      </c>
      <c r="D739">
        <v>15247974</v>
      </c>
      <c r="E739">
        <v>1</v>
      </c>
      <c r="F739">
        <v>1</v>
      </c>
      <c r="G739">
        <v>1</v>
      </c>
      <c r="H739">
        <v>2</v>
      </c>
      <c r="I739" t="s">
        <v>1151</v>
      </c>
      <c r="J739" t="s">
        <v>1152</v>
      </c>
      <c r="K739" t="s">
        <v>1153</v>
      </c>
      <c r="L739">
        <v>1368</v>
      </c>
      <c r="N739">
        <v>1011</v>
      </c>
      <c r="O739" t="s">
        <v>1154</v>
      </c>
      <c r="P739" t="s">
        <v>1154</v>
      </c>
      <c r="Q739">
        <v>1</v>
      </c>
      <c r="X739">
        <v>7.0000000000000007E-2</v>
      </c>
      <c r="Y739">
        <v>0</v>
      </c>
      <c r="Z739">
        <v>31.26</v>
      </c>
      <c r="AA739">
        <v>13.5</v>
      </c>
      <c r="AB739">
        <v>0</v>
      </c>
      <c r="AC739">
        <v>0</v>
      </c>
      <c r="AD739">
        <v>1</v>
      </c>
      <c r="AE739">
        <v>0</v>
      </c>
      <c r="AF739" t="s">
        <v>81</v>
      </c>
      <c r="AG739">
        <v>8.7500000000000008E-2</v>
      </c>
      <c r="AH739">
        <v>2</v>
      </c>
      <c r="AI739">
        <v>16632798</v>
      </c>
      <c r="AJ739">
        <v>740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 x14ac:dyDescent="0.2">
      <c r="A740">
        <f>ROW(Source!A349)</f>
        <v>349</v>
      </c>
      <c r="B740">
        <v>16632810</v>
      </c>
      <c r="C740">
        <v>16632795</v>
      </c>
      <c r="D740">
        <v>15249073</v>
      </c>
      <c r="E740">
        <v>1</v>
      </c>
      <c r="F740">
        <v>1</v>
      </c>
      <c r="G740">
        <v>1</v>
      </c>
      <c r="H740">
        <v>2</v>
      </c>
      <c r="I740" t="s">
        <v>1157</v>
      </c>
      <c r="J740" t="s">
        <v>1158</v>
      </c>
      <c r="K740" t="s">
        <v>1159</v>
      </c>
      <c r="L740">
        <v>1368</v>
      </c>
      <c r="N740">
        <v>1011</v>
      </c>
      <c r="O740" t="s">
        <v>1154</v>
      </c>
      <c r="P740" t="s">
        <v>1154</v>
      </c>
      <c r="Q740">
        <v>1</v>
      </c>
      <c r="X740">
        <v>0.14000000000000001</v>
      </c>
      <c r="Y740">
        <v>0</v>
      </c>
      <c r="Z740">
        <v>65.709999999999994</v>
      </c>
      <c r="AA740">
        <v>11.6</v>
      </c>
      <c r="AB740">
        <v>0</v>
      </c>
      <c r="AC740">
        <v>0</v>
      </c>
      <c r="AD740">
        <v>1</v>
      </c>
      <c r="AE740">
        <v>0</v>
      </c>
      <c r="AF740" t="s">
        <v>81</v>
      </c>
      <c r="AG740">
        <v>0.17500000000000002</v>
      </c>
      <c r="AH740">
        <v>2</v>
      </c>
      <c r="AI740">
        <v>16632799</v>
      </c>
      <c r="AJ740">
        <v>741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 x14ac:dyDescent="0.2">
      <c r="A741">
        <f>ROW(Source!A349)</f>
        <v>349</v>
      </c>
      <c r="B741">
        <v>16632811</v>
      </c>
      <c r="C741">
        <v>16632795</v>
      </c>
      <c r="D741">
        <v>15167955</v>
      </c>
      <c r="E741">
        <v>1</v>
      </c>
      <c r="F741">
        <v>1</v>
      </c>
      <c r="G741">
        <v>1</v>
      </c>
      <c r="H741">
        <v>3</v>
      </c>
      <c r="I741" t="s">
        <v>1596</v>
      </c>
      <c r="J741" t="s">
        <v>1597</v>
      </c>
      <c r="K741" t="s">
        <v>1598</v>
      </c>
      <c r="L741">
        <v>1348</v>
      </c>
      <c r="N741">
        <v>1009</v>
      </c>
      <c r="O741" t="s">
        <v>98</v>
      </c>
      <c r="P741" t="s">
        <v>98</v>
      </c>
      <c r="Q741">
        <v>1000</v>
      </c>
      <c r="X741">
        <v>1.4E-3</v>
      </c>
      <c r="Y741">
        <v>30030</v>
      </c>
      <c r="Z741">
        <v>0</v>
      </c>
      <c r="AA741">
        <v>0</v>
      </c>
      <c r="AB741">
        <v>0</v>
      </c>
      <c r="AC741">
        <v>0</v>
      </c>
      <c r="AD741">
        <v>1</v>
      </c>
      <c r="AE741">
        <v>0</v>
      </c>
      <c r="AF741" t="s">
        <v>6</v>
      </c>
      <c r="AG741">
        <v>1.4E-3</v>
      </c>
      <c r="AH741">
        <v>2</v>
      </c>
      <c r="AI741">
        <v>16632800</v>
      </c>
      <c r="AJ741">
        <v>742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 x14ac:dyDescent="0.2">
      <c r="A742">
        <f>ROW(Source!A349)</f>
        <v>349</v>
      </c>
      <c r="B742">
        <v>16632812</v>
      </c>
      <c r="C742">
        <v>16632795</v>
      </c>
      <c r="D742">
        <v>15167963</v>
      </c>
      <c r="E742">
        <v>1</v>
      </c>
      <c r="F742">
        <v>1</v>
      </c>
      <c r="G742">
        <v>1</v>
      </c>
      <c r="H742">
        <v>3</v>
      </c>
      <c r="I742" t="s">
        <v>1533</v>
      </c>
      <c r="J742" t="s">
        <v>1534</v>
      </c>
      <c r="K742" t="s">
        <v>1535</v>
      </c>
      <c r="L742">
        <v>1346</v>
      </c>
      <c r="N742">
        <v>1009</v>
      </c>
      <c r="O742" t="s">
        <v>102</v>
      </c>
      <c r="P742" t="s">
        <v>102</v>
      </c>
      <c r="Q742">
        <v>1</v>
      </c>
      <c r="X742">
        <v>0.02</v>
      </c>
      <c r="Y742">
        <v>37.29</v>
      </c>
      <c r="Z742">
        <v>0</v>
      </c>
      <c r="AA742">
        <v>0</v>
      </c>
      <c r="AB742">
        <v>0</v>
      </c>
      <c r="AC742">
        <v>0</v>
      </c>
      <c r="AD742">
        <v>1</v>
      </c>
      <c r="AE742">
        <v>0</v>
      </c>
      <c r="AF742" t="s">
        <v>6</v>
      </c>
      <c r="AG742">
        <v>0.02</v>
      </c>
      <c r="AH742">
        <v>2</v>
      </c>
      <c r="AI742">
        <v>16632801</v>
      </c>
      <c r="AJ742">
        <v>743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 x14ac:dyDescent="0.2">
      <c r="A743">
        <f>ROW(Source!A349)</f>
        <v>349</v>
      </c>
      <c r="B743">
        <v>16632813</v>
      </c>
      <c r="C743">
        <v>16632795</v>
      </c>
      <c r="D743">
        <v>15163011</v>
      </c>
      <c r="E743">
        <v>17</v>
      </c>
      <c r="F743">
        <v>1</v>
      </c>
      <c r="G743">
        <v>1</v>
      </c>
      <c r="H743">
        <v>3</v>
      </c>
      <c r="I743" t="s">
        <v>786</v>
      </c>
      <c r="J743" t="s">
        <v>6</v>
      </c>
      <c r="K743" t="s">
        <v>787</v>
      </c>
      <c r="L743">
        <v>1358</v>
      </c>
      <c r="N743">
        <v>1010</v>
      </c>
      <c r="O743" t="s">
        <v>616</v>
      </c>
      <c r="P743" t="s">
        <v>616</v>
      </c>
      <c r="Q743">
        <v>10</v>
      </c>
      <c r="X743">
        <v>4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 t="s">
        <v>6</v>
      </c>
      <c r="AG743">
        <v>4</v>
      </c>
      <c r="AH743">
        <v>3</v>
      </c>
      <c r="AI743">
        <v>-1</v>
      </c>
      <c r="AJ743" t="s">
        <v>6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 x14ac:dyDescent="0.2">
      <c r="A744">
        <f>ROW(Source!A349)</f>
        <v>349</v>
      </c>
      <c r="B744">
        <v>16632814</v>
      </c>
      <c r="C744">
        <v>16632795</v>
      </c>
      <c r="D744">
        <v>15162072</v>
      </c>
      <c r="E744">
        <v>17</v>
      </c>
      <c r="F744">
        <v>1</v>
      </c>
      <c r="G744">
        <v>1</v>
      </c>
      <c r="H744">
        <v>3</v>
      </c>
      <c r="I744" t="s">
        <v>1674</v>
      </c>
      <c r="J744" t="s">
        <v>6</v>
      </c>
      <c r="K744" t="s">
        <v>1675</v>
      </c>
      <c r="L744">
        <v>1348</v>
      </c>
      <c r="N744">
        <v>1009</v>
      </c>
      <c r="O744" t="s">
        <v>98</v>
      </c>
      <c r="P744" t="s">
        <v>98</v>
      </c>
      <c r="Q744">
        <v>1000</v>
      </c>
      <c r="X744">
        <v>6.9999999999999999E-4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 t="s">
        <v>6</v>
      </c>
      <c r="AG744">
        <v>6.9999999999999999E-4</v>
      </c>
      <c r="AH744">
        <v>3</v>
      </c>
      <c r="AI744">
        <v>-1</v>
      </c>
      <c r="AJ744" t="s">
        <v>6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 x14ac:dyDescent="0.2">
      <c r="A745">
        <f>ROW(Source!A349)</f>
        <v>349</v>
      </c>
      <c r="B745">
        <v>16632815</v>
      </c>
      <c r="C745">
        <v>16632795</v>
      </c>
      <c r="D745">
        <v>15172117</v>
      </c>
      <c r="E745">
        <v>1</v>
      </c>
      <c r="F745">
        <v>1</v>
      </c>
      <c r="G745">
        <v>1</v>
      </c>
      <c r="H745">
        <v>3</v>
      </c>
      <c r="I745" t="s">
        <v>1611</v>
      </c>
      <c r="J745" t="s">
        <v>1612</v>
      </c>
      <c r="K745" t="s">
        <v>1613</v>
      </c>
      <c r="L745">
        <v>1348</v>
      </c>
      <c r="N745">
        <v>1009</v>
      </c>
      <c r="O745" t="s">
        <v>98</v>
      </c>
      <c r="P745" t="s">
        <v>98</v>
      </c>
      <c r="Q745">
        <v>1000</v>
      </c>
      <c r="X745">
        <v>2E-3</v>
      </c>
      <c r="Y745">
        <v>1836</v>
      </c>
      <c r="Z745">
        <v>0</v>
      </c>
      <c r="AA745">
        <v>0</v>
      </c>
      <c r="AB745">
        <v>0</v>
      </c>
      <c r="AC745">
        <v>0</v>
      </c>
      <c r="AD745">
        <v>1</v>
      </c>
      <c r="AE745">
        <v>0</v>
      </c>
      <c r="AF745" t="s">
        <v>6</v>
      </c>
      <c r="AG745">
        <v>2E-3</v>
      </c>
      <c r="AH745">
        <v>2</v>
      </c>
      <c r="AI745">
        <v>16632802</v>
      </c>
      <c r="AJ745">
        <v>745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 x14ac:dyDescent="0.2">
      <c r="A746">
        <f>ROW(Source!A349)</f>
        <v>349</v>
      </c>
      <c r="B746">
        <v>16632816</v>
      </c>
      <c r="C746">
        <v>16632795</v>
      </c>
      <c r="D746">
        <v>15203740</v>
      </c>
      <c r="E746">
        <v>1</v>
      </c>
      <c r="F746">
        <v>1</v>
      </c>
      <c r="G746">
        <v>1</v>
      </c>
      <c r="H746">
        <v>3</v>
      </c>
      <c r="I746" t="s">
        <v>1542</v>
      </c>
      <c r="J746" t="s">
        <v>1543</v>
      </c>
      <c r="K746" t="s">
        <v>1544</v>
      </c>
      <c r="L746">
        <v>1348</v>
      </c>
      <c r="N746">
        <v>1009</v>
      </c>
      <c r="O746" t="s">
        <v>98</v>
      </c>
      <c r="P746" t="s">
        <v>98</v>
      </c>
      <c r="Q746">
        <v>1000</v>
      </c>
      <c r="X746">
        <v>4.0000000000000002E-4</v>
      </c>
      <c r="Y746">
        <v>15119</v>
      </c>
      <c r="Z746">
        <v>0</v>
      </c>
      <c r="AA746">
        <v>0</v>
      </c>
      <c r="AB746">
        <v>0</v>
      </c>
      <c r="AC746">
        <v>0</v>
      </c>
      <c r="AD746">
        <v>1</v>
      </c>
      <c r="AE746">
        <v>0</v>
      </c>
      <c r="AF746" t="s">
        <v>6</v>
      </c>
      <c r="AG746">
        <v>4.0000000000000002E-4</v>
      </c>
      <c r="AH746">
        <v>2</v>
      </c>
      <c r="AI746">
        <v>16632803</v>
      </c>
      <c r="AJ746">
        <v>747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 x14ac:dyDescent="0.2">
      <c r="A747">
        <f>ROW(Source!A349)</f>
        <v>349</v>
      </c>
      <c r="B747">
        <v>16632817</v>
      </c>
      <c r="C747">
        <v>16632795</v>
      </c>
      <c r="D747">
        <v>15163194</v>
      </c>
      <c r="E747">
        <v>17</v>
      </c>
      <c r="F747">
        <v>1</v>
      </c>
      <c r="G747">
        <v>1</v>
      </c>
      <c r="H747">
        <v>3</v>
      </c>
      <c r="I747" t="s">
        <v>1747</v>
      </c>
      <c r="J747" t="s">
        <v>6</v>
      </c>
      <c r="K747" t="s">
        <v>1748</v>
      </c>
      <c r="L747">
        <v>1346</v>
      </c>
      <c r="N747">
        <v>1009</v>
      </c>
      <c r="O747" t="s">
        <v>102</v>
      </c>
      <c r="P747" t="s">
        <v>102</v>
      </c>
      <c r="Q747">
        <v>1</v>
      </c>
      <c r="X747">
        <v>2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 t="s">
        <v>6</v>
      </c>
      <c r="AG747">
        <v>2</v>
      </c>
      <c r="AH747">
        <v>3</v>
      </c>
      <c r="AI747">
        <v>-1</v>
      </c>
      <c r="AJ747" t="s">
        <v>6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 x14ac:dyDescent="0.2">
      <c r="A748">
        <f>ROW(Source!A349)</f>
        <v>349</v>
      </c>
      <c r="B748">
        <v>16632818</v>
      </c>
      <c r="C748">
        <v>16632795</v>
      </c>
      <c r="D748">
        <v>15204468</v>
      </c>
      <c r="E748">
        <v>1</v>
      </c>
      <c r="F748">
        <v>1</v>
      </c>
      <c r="G748">
        <v>1</v>
      </c>
      <c r="H748">
        <v>3</v>
      </c>
      <c r="I748" t="s">
        <v>1545</v>
      </c>
      <c r="J748" t="s">
        <v>1546</v>
      </c>
      <c r="K748" t="s">
        <v>1547</v>
      </c>
      <c r="L748">
        <v>1348</v>
      </c>
      <c r="N748">
        <v>1009</v>
      </c>
      <c r="O748" t="s">
        <v>98</v>
      </c>
      <c r="P748" t="s">
        <v>98</v>
      </c>
      <c r="Q748">
        <v>1000</v>
      </c>
      <c r="X748">
        <v>2.0000000000000001E-4</v>
      </c>
      <c r="Y748">
        <v>16950</v>
      </c>
      <c r="Z748">
        <v>0</v>
      </c>
      <c r="AA748">
        <v>0</v>
      </c>
      <c r="AB748">
        <v>0</v>
      </c>
      <c r="AC748">
        <v>0</v>
      </c>
      <c r="AD748">
        <v>1</v>
      </c>
      <c r="AE748">
        <v>0</v>
      </c>
      <c r="AF748" t="s">
        <v>6</v>
      </c>
      <c r="AG748">
        <v>2.0000000000000001E-4</v>
      </c>
      <c r="AH748">
        <v>2</v>
      </c>
      <c r="AI748">
        <v>16632804</v>
      </c>
      <c r="AJ748">
        <v>748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 x14ac:dyDescent="0.2">
      <c r="A749">
        <f>ROW(Source!A349)</f>
        <v>349</v>
      </c>
      <c r="B749">
        <v>16632819</v>
      </c>
      <c r="C749">
        <v>16632795</v>
      </c>
      <c r="D749">
        <v>15161722</v>
      </c>
      <c r="E749">
        <v>17</v>
      </c>
      <c r="F749">
        <v>1</v>
      </c>
      <c r="G749">
        <v>1</v>
      </c>
      <c r="H749">
        <v>3</v>
      </c>
      <c r="I749" t="s">
        <v>1742</v>
      </c>
      <c r="J749" t="s">
        <v>6</v>
      </c>
      <c r="K749" t="s">
        <v>1743</v>
      </c>
      <c r="L749">
        <v>1035</v>
      </c>
      <c r="N749">
        <v>1013</v>
      </c>
      <c r="O749" t="s">
        <v>177</v>
      </c>
      <c r="P749" t="s">
        <v>177</v>
      </c>
      <c r="Q749">
        <v>1</v>
      </c>
      <c r="X749">
        <v>10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 t="s">
        <v>6</v>
      </c>
      <c r="AG749">
        <v>10</v>
      </c>
      <c r="AH749">
        <v>3</v>
      </c>
      <c r="AI749">
        <v>-1</v>
      </c>
      <c r="AJ749" t="s">
        <v>6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 x14ac:dyDescent="0.2">
      <c r="A750">
        <f>ROW(Source!A352)</f>
        <v>352</v>
      </c>
      <c r="B750">
        <v>16632827</v>
      </c>
      <c r="C750">
        <v>16632822</v>
      </c>
      <c r="D750">
        <v>15436556</v>
      </c>
      <c r="E750">
        <v>1</v>
      </c>
      <c r="F750">
        <v>1</v>
      </c>
      <c r="G750">
        <v>1</v>
      </c>
      <c r="H750">
        <v>1</v>
      </c>
      <c r="I750" t="s">
        <v>1354</v>
      </c>
      <c r="J750" t="s">
        <v>6</v>
      </c>
      <c r="K750" t="s">
        <v>1355</v>
      </c>
      <c r="L750">
        <v>1191</v>
      </c>
      <c r="N750">
        <v>1013</v>
      </c>
      <c r="O750" t="s">
        <v>1148</v>
      </c>
      <c r="P750" t="s">
        <v>1148</v>
      </c>
      <c r="Q750">
        <v>1</v>
      </c>
      <c r="X750">
        <v>2.8</v>
      </c>
      <c r="Y750">
        <v>0</v>
      </c>
      <c r="Z750">
        <v>0</v>
      </c>
      <c r="AA750">
        <v>0</v>
      </c>
      <c r="AB750">
        <v>9.6199999999999992</v>
      </c>
      <c r="AC750">
        <v>0</v>
      </c>
      <c r="AD750">
        <v>1</v>
      </c>
      <c r="AE750">
        <v>1</v>
      </c>
      <c r="AF750" t="s">
        <v>82</v>
      </c>
      <c r="AG750">
        <v>3.2199999999999998</v>
      </c>
      <c r="AH750">
        <v>2</v>
      </c>
      <c r="AI750">
        <v>16632823</v>
      </c>
      <c r="AJ750">
        <v>749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 x14ac:dyDescent="0.2">
      <c r="A751">
        <f>ROW(Source!A352)</f>
        <v>352</v>
      </c>
      <c r="B751">
        <v>16632828</v>
      </c>
      <c r="C751">
        <v>16632822</v>
      </c>
      <c r="D751">
        <v>15163011</v>
      </c>
      <c r="E751">
        <v>17</v>
      </c>
      <c r="F751">
        <v>1</v>
      </c>
      <c r="G751">
        <v>1</v>
      </c>
      <c r="H751">
        <v>3</v>
      </c>
      <c r="I751" t="s">
        <v>786</v>
      </c>
      <c r="J751" t="s">
        <v>6</v>
      </c>
      <c r="K751" t="s">
        <v>787</v>
      </c>
      <c r="L751">
        <v>1358</v>
      </c>
      <c r="N751">
        <v>1010</v>
      </c>
      <c r="O751" t="s">
        <v>616</v>
      </c>
      <c r="P751" t="s">
        <v>616</v>
      </c>
      <c r="Q751">
        <v>10</v>
      </c>
      <c r="X751">
        <v>2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 t="s">
        <v>6</v>
      </c>
      <c r="AG751">
        <v>2</v>
      </c>
      <c r="AH751">
        <v>3</v>
      </c>
      <c r="AI751">
        <v>-1</v>
      </c>
      <c r="AJ751" t="s">
        <v>6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 x14ac:dyDescent="0.2">
      <c r="A752">
        <f>ROW(Source!A352)</f>
        <v>352</v>
      </c>
      <c r="B752">
        <v>16632829</v>
      </c>
      <c r="C752">
        <v>16632822</v>
      </c>
      <c r="D752">
        <v>15162072</v>
      </c>
      <c r="E752">
        <v>17</v>
      </c>
      <c r="F752">
        <v>1</v>
      </c>
      <c r="G752">
        <v>1</v>
      </c>
      <c r="H752">
        <v>3</v>
      </c>
      <c r="I752" t="s">
        <v>1674</v>
      </c>
      <c r="J752" t="s">
        <v>6</v>
      </c>
      <c r="K752" t="s">
        <v>1675</v>
      </c>
      <c r="L752">
        <v>1348</v>
      </c>
      <c r="N752">
        <v>1009</v>
      </c>
      <c r="O752" t="s">
        <v>98</v>
      </c>
      <c r="P752" t="s">
        <v>98</v>
      </c>
      <c r="Q752">
        <v>1000</v>
      </c>
      <c r="X752">
        <v>1.3999999999999999E-4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 t="s">
        <v>6</v>
      </c>
      <c r="AG752">
        <v>1.3999999999999999E-4</v>
      </c>
      <c r="AH752">
        <v>3</v>
      </c>
      <c r="AI752">
        <v>-1</v>
      </c>
      <c r="AJ752" t="s">
        <v>6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 x14ac:dyDescent="0.2">
      <c r="A753">
        <f>ROW(Source!A352)</f>
        <v>352</v>
      </c>
      <c r="B753">
        <v>16632830</v>
      </c>
      <c r="C753">
        <v>16632822</v>
      </c>
      <c r="D753">
        <v>15189796</v>
      </c>
      <c r="E753">
        <v>1</v>
      </c>
      <c r="F753">
        <v>1</v>
      </c>
      <c r="G753">
        <v>1</v>
      </c>
      <c r="H753">
        <v>3</v>
      </c>
      <c r="I753" t="s">
        <v>1163</v>
      </c>
      <c r="J753" t="s">
        <v>1164</v>
      </c>
      <c r="K753" t="s">
        <v>1165</v>
      </c>
      <c r="L753">
        <v>1348</v>
      </c>
      <c r="N753">
        <v>1009</v>
      </c>
      <c r="O753" t="s">
        <v>98</v>
      </c>
      <c r="P753" t="s">
        <v>98</v>
      </c>
      <c r="Q753">
        <v>1000</v>
      </c>
      <c r="X753">
        <v>1E-4</v>
      </c>
      <c r="Y753">
        <v>5989</v>
      </c>
      <c r="Z753">
        <v>0</v>
      </c>
      <c r="AA753">
        <v>0</v>
      </c>
      <c r="AB753">
        <v>0</v>
      </c>
      <c r="AC753">
        <v>0</v>
      </c>
      <c r="AD753">
        <v>1</v>
      </c>
      <c r="AE753">
        <v>0</v>
      </c>
      <c r="AF753" t="s">
        <v>6</v>
      </c>
      <c r="AG753">
        <v>1E-4</v>
      </c>
      <c r="AH753">
        <v>2</v>
      </c>
      <c r="AI753">
        <v>16632824</v>
      </c>
      <c r="AJ753">
        <v>751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 x14ac:dyDescent="0.2">
      <c r="A754">
        <f>ROW(Source!A352)</f>
        <v>352</v>
      </c>
      <c r="B754">
        <v>16632831</v>
      </c>
      <c r="C754">
        <v>16632822</v>
      </c>
      <c r="D754">
        <v>15163210</v>
      </c>
      <c r="E754">
        <v>17</v>
      </c>
      <c r="F754">
        <v>1</v>
      </c>
      <c r="G754">
        <v>1</v>
      </c>
      <c r="H754">
        <v>3</v>
      </c>
      <c r="I754" t="s">
        <v>1749</v>
      </c>
      <c r="J754" t="s">
        <v>6</v>
      </c>
      <c r="K754" t="s">
        <v>1750</v>
      </c>
      <c r="L754">
        <v>1354</v>
      </c>
      <c r="N754">
        <v>1010</v>
      </c>
      <c r="O754" t="s">
        <v>132</v>
      </c>
      <c r="P754" t="s">
        <v>132</v>
      </c>
      <c r="Q754">
        <v>1</v>
      </c>
      <c r="X754">
        <v>10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 t="s">
        <v>6</v>
      </c>
      <c r="AG754">
        <v>10</v>
      </c>
      <c r="AH754">
        <v>3</v>
      </c>
      <c r="AI754">
        <v>-1</v>
      </c>
      <c r="AJ754" t="s">
        <v>6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 x14ac:dyDescent="0.2">
      <c r="A755">
        <f>ROW(Source!A355)</f>
        <v>355</v>
      </c>
      <c r="B755">
        <v>16632843</v>
      </c>
      <c r="C755">
        <v>16632834</v>
      </c>
      <c r="D755">
        <v>15430767</v>
      </c>
      <c r="E755">
        <v>1</v>
      </c>
      <c r="F755">
        <v>1</v>
      </c>
      <c r="G755">
        <v>1</v>
      </c>
      <c r="H755">
        <v>1</v>
      </c>
      <c r="I755" t="s">
        <v>1171</v>
      </c>
      <c r="J755" t="s">
        <v>6</v>
      </c>
      <c r="K755" t="s">
        <v>1172</v>
      </c>
      <c r="L755">
        <v>1191</v>
      </c>
      <c r="N755">
        <v>1013</v>
      </c>
      <c r="O755" t="s">
        <v>1148</v>
      </c>
      <c r="P755" t="s">
        <v>1148</v>
      </c>
      <c r="Q755">
        <v>1</v>
      </c>
      <c r="X755">
        <v>7.05</v>
      </c>
      <c r="Y755">
        <v>0</v>
      </c>
      <c r="Z755">
        <v>0</v>
      </c>
      <c r="AA755">
        <v>0</v>
      </c>
      <c r="AB755">
        <v>8.5299999999999994</v>
      </c>
      <c r="AC755">
        <v>0</v>
      </c>
      <c r="AD755">
        <v>1</v>
      </c>
      <c r="AE755">
        <v>1</v>
      </c>
      <c r="AF755" t="s">
        <v>82</v>
      </c>
      <c r="AG755">
        <v>8.1074999999999999</v>
      </c>
      <c r="AH755">
        <v>2</v>
      </c>
      <c r="AI755">
        <v>16632835</v>
      </c>
      <c r="AJ755">
        <v>753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 x14ac:dyDescent="0.2">
      <c r="A756">
        <f>ROW(Source!A355)</f>
        <v>355</v>
      </c>
      <c r="B756">
        <v>16632844</v>
      </c>
      <c r="C756">
        <v>16632834</v>
      </c>
      <c r="D756">
        <v>15430395</v>
      </c>
      <c r="E756">
        <v>1</v>
      </c>
      <c r="F756">
        <v>1</v>
      </c>
      <c r="G756">
        <v>1</v>
      </c>
      <c r="H756">
        <v>1</v>
      </c>
      <c r="I756" t="s">
        <v>1149</v>
      </c>
      <c r="J756" t="s">
        <v>6</v>
      </c>
      <c r="K756" t="s">
        <v>1150</v>
      </c>
      <c r="L756">
        <v>1191</v>
      </c>
      <c r="N756">
        <v>1013</v>
      </c>
      <c r="O756" t="s">
        <v>1148</v>
      </c>
      <c r="P756" t="s">
        <v>1148</v>
      </c>
      <c r="Q756">
        <v>1</v>
      </c>
      <c r="X756">
        <v>0.01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1</v>
      </c>
      <c r="AE756">
        <v>2</v>
      </c>
      <c r="AF756" t="s">
        <v>81</v>
      </c>
      <c r="AG756">
        <v>1.2500000000000001E-2</v>
      </c>
      <c r="AH756">
        <v>2</v>
      </c>
      <c r="AI756">
        <v>16632836</v>
      </c>
      <c r="AJ756">
        <v>754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 x14ac:dyDescent="0.2">
      <c r="A757">
        <f>ROW(Source!A355)</f>
        <v>355</v>
      </c>
      <c r="B757">
        <v>16632845</v>
      </c>
      <c r="C757">
        <v>16632834</v>
      </c>
      <c r="D757">
        <v>15249073</v>
      </c>
      <c r="E757">
        <v>1</v>
      </c>
      <c r="F757">
        <v>1</v>
      </c>
      <c r="G757">
        <v>1</v>
      </c>
      <c r="H757">
        <v>2</v>
      </c>
      <c r="I757" t="s">
        <v>1157</v>
      </c>
      <c r="J757" t="s">
        <v>1158</v>
      </c>
      <c r="K757" t="s">
        <v>1159</v>
      </c>
      <c r="L757">
        <v>1368</v>
      </c>
      <c r="N757">
        <v>1011</v>
      </c>
      <c r="O757" t="s">
        <v>1154</v>
      </c>
      <c r="P757" t="s">
        <v>1154</v>
      </c>
      <c r="Q757">
        <v>1</v>
      </c>
      <c r="X757">
        <v>0.01</v>
      </c>
      <c r="Y757">
        <v>0</v>
      </c>
      <c r="Z757">
        <v>65.709999999999994</v>
      </c>
      <c r="AA757">
        <v>11.6</v>
      </c>
      <c r="AB757">
        <v>0</v>
      </c>
      <c r="AC757">
        <v>0</v>
      </c>
      <c r="AD757">
        <v>1</v>
      </c>
      <c r="AE757">
        <v>0</v>
      </c>
      <c r="AF757" t="s">
        <v>81</v>
      </c>
      <c r="AG757">
        <v>1.2500000000000001E-2</v>
      </c>
      <c r="AH757">
        <v>2</v>
      </c>
      <c r="AI757">
        <v>16632837</v>
      </c>
      <c r="AJ757">
        <v>755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 x14ac:dyDescent="0.2">
      <c r="A758">
        <f>ROW(Source!A355)</f>
        <v>355</v>
      </c>
      <c r="B758">
        <v>16632846</v>
      </c>
      <c r="C758">
        <v>16632834</v>
      </c>
      <c r="D758">
        <v>15167964</v>
      </c>
      <c r="E758">
        <v>1</v>
      </c>
      <c r="F758">
        <v>1</v>
      </c>
      <c r="G758">
        <v>1</v>
      </c>
      <c r="H758">
        <v>3</v>
      </c>
      <c r="I758" t="s">
        <v>1629</v>
      </c>
      <c r="J758" t="s">
        <v>1630</v>
      </c>
      <c r="K758" t="s">
        <v>1631</v>
      </c>
      <c r="L758">
        <v>1346</v>
      </c>
      <c r="N758">
        <v>1009</v>
      </c>
      <c r="O758" t="s">
        <v>102</v>
      </c>
      <c r="P758" t="s">
        <v>102</v>
      </c>
      <c r="Q758">
        <v>1</v>
      </c>
      <c r="X758">
        <v>4.2000000000000002E-4</v>
      </c>
      <c r="Y758">
        <v>9.0399999999999991</v>
      </c>
      <c r="Z758">
        <v>0</v>
      </c>
      <c r="AA758">
        <v>0</v>
      </c>
      <c r="AB758">
        <v>0</v>
      </c>
      <c r="AC758">
        <v>0</v>
      </c>
      <c r="AD758">
        <v>1</v>
      </c>
      <c r="AE758">
        <v>0</v>
      </c>
      <c r="AF758" t="s">
        <v>6</v>
      </c>
      <c r="AG758">
        <v>4.2000000000000002E-4</v>
      </c>
      <c r="AH758">
        <v>2</v>
      </c>
      <c r="AI758">
        <v>16632838</v>
      </c>
      <c r="AJ758">
        <v>756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 x14ac:dyDescent="0.2">
      <c r="A759">
        <f>ROW(Source!A355)</f>
        <v>355</v>
      </c>
      <c r="B759">
        <v>16632847</v>
      </c>
      <c r="C759">
        <v>16632834</v>
      </c>
      <c r="D759">
        <v>15172117</v>
      </c>
      <c r="E759">
        <v>1</v>
      </c>
      <c r="F759">
        <v>1</v>
      </c>
      <c r="G759">
        <v>1</v>
      </c>
      <c r="H759">
        <v>3</v>
      </c>
      <c r="I759" t="s">
        <v>1611</v>
      </c>
      <c r="J759" t="s">
        <v>1612</v>
      </c>
      <c r="K759" t="s">
        <v>1613</v>
      </c>
      <c r="L759">
        <v>1348</v>
      </c>
      <c r="N759">
        <v>1009</v>
      </c>
      <c r="O759" t="s">
        <v>98</v>
      </c>
      <c r="P759" t="s">
        <v>98</v>
      </c>
      <c r="Q759">
        <v>1000</v>
      </c>
      <c r="X759">
        <v>1.1999999999999999E-3</v>
      </c>
      <c r="Y759">
        <v>1836</v>
      </c>
      <c r="Z759">
        <v>0</v>
      </c>
      <c r="AA759">
        <v>0</v>
      </c>
      <c r="AB759">
        <v>0</v>
      </c>
      <c r="AC759">
        <v>0</v>
      </c>
      <c r="AD759">
        <v>1</v>
      </c>
      <c r="AE759">
        <v>0</v>
      </c>
      <c r="AF759" t="s">
        <v>6</v>
      </c>
      <c r="AG759">
        <v>1.1999999999999999E-3</v>
      </c>
      <c r="AH759">
        <v>2</v>
      </c>
      <c r="AI759">
        <v>16632839</v>
      </c>
      <c r="AJ759">
        <v>757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 x14ac:dyDescent="0.2">
      <c r="A760">
        <f>ROW(Source!A355)</f>
        <v>355</v>
      </c>
      <c r="B760">
        <v>16632848</v>
      </c>
      <c r="C760">
        <v>16632834</v>
      </c>
      <c r="D760">
        <v>15232306</v>
      </c>
      <c r="E760">
        <v>1</v>
      </c>
      <c r="F760">
        <v>1</v>
      </c>
      <c r="G760">
        <v>1</v>
      </c>
      <c r="H760">
        <v>3</v>
      </c>
      <c r="I760" t="s">
        <v>1632</v>
      </c>
      <c r="J760" t="s">
        <v>1633</v>
      </c>
      <c r="K760" t="s">
        <v>1634</v>
      </c>
      <c r="L760">
        <v>1354</v>
      </c>
      <c r="N760">
        <v>1010</v>
      </c>
      <c r="O760" t="s">
        <v>132</v>
      </c>
      <c r="P760" t="s">
        <v>132</v>
      </c>
      <c r="Q760">
        <v>1</v>
      </c>
      <c r="X760">
        <v>1</v>
      </c>
      <c r="Y760">
        <v>33.6</v>
      </c>
      <c r="Z760">
        <v>0</v>
      </c>
      <c r="AA760">
        <v>0</v>
      </c>
      <c r="AB760">
        <v>0</v>
      </c>
      <c r="AC760">
        <v>0</v>
      </c>
      <c r="AD760">
        <v>1</v>
      </c>
      <c r="AE760">
        <v>0</v>
      </c>
      <c r="AF760" t="s">
        <v>6</v>
      </c>
      <c r="AG760">
        <v>1</v>
      </c>
      <c r="AH760">
        <v>2</v>
      </c>
      <c r="AI760">
        <v>16632840</v>
      </c>
      <c r="AJ760">
        <v>758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 x14ac:dyDescent="0.2">
      <c r="A761">
        <f>ROW(Source!A355)</f>
        <v>355</v>
      </c>
      <c r="B761">
        <v>16632849</v>
      </c>
      <c r="C761">
        <v>16632834</v>
      </c>
      <c r="D761">
        <v>15232445</v>
      </c>
      <c r="E761">
        <v>1</v>
      </c>
      <c r="F761">
        <v>1</v>
      </c>
      <c r="G761">
        <v>1</v>
      </c>
      <c r="H761">
        <v>3</v>
      </c>
      <c r="I761" t="s">
        <v>1635</v>
      </c>
      <c r="J761" t="s">
        <v>1636</v>
      </c>
      <c r="K761" t="s">
        <v>1637</v>
      </c>
      <c r="L761">
        <v>1354</v>
      </c>
      <c r="N761">
        <v>1010</v>
      </c>
      <c r="O761" t="s">
        <v>132</v>
      </c>
      <c r="P761" t="s">
        <v>132</v>
      </c>
      <c r="Q761">
        <v>1</v>
      </c>
      <c r="X761">
        <v>1</v>
      </c>
      <c r="Y761">
        <v>10</v>
      </c>
      <c r="Z761">
        <v>0</v>
      </c>
      <c r="AA761">
        <v>0</v>
      </c>
      <c r="AB761">
        <v>0</v>
      </c>
      <c r="AC761">
        <v>0</v>
      </c>
      <c r="AD761">
        <v>1</v>
      </c>
      <c r="AE761">
        <v>0</v>
      </c>
      <c r="AF761" t="s">
        <v>6</v>
      </c>
      <c r="AG761">
        <v>1</v>
      </c>
      <c r="AH761">
        <v>2</v>
      </c>
      <c r="AI761">
        <v>16632841</v>
      </c>
      <c r="AJ761">
        <v>759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 x14ac:dyDescent="0.2">
      <c r="A762">
        <f>ROW(Source!A355)</f>
        <v>355</v>
      </c>
      <c r="B762">
        <v>16632850</v>
      </c>
      <c r="C762">
        <v>16632834</v>
      </c>
      <c r="D762">
        <v>15232695</v>
      </c>
      <c r="E762">
        <v>1</v>
      </c>
      <c r="F762">
        <v>1</v>
      </c>
      <c r="G762">
        <v>1</v>
      </c>
      <c r="H762">
        <v>3</v>
      </c>
      <c r="I762" t="s">
        <v>1638</v>
      </c>
      <c r="J762" t="s">
        <v>1639</v>
      </c>
      <c r="K762" t="s">
        <v>1640</v>
      </c>
      <c r="L762">
        <v>1354</v>
      </c>
      <c r="N762">
        <v>1010</v>
      </c>
      <c r="O762" t="s">
        <v>132</v>
      </c>
      <c r="P762" t="s">
        <v>132</v>
      </c>
      <c r="Q762">
        <v>1</v>
      </c>
      <c r="X762">
        <v>1</v>
      </c>
      <c r="Y762">
        <v>24.3</v>
      </c>
      <c r="Z762">
        <v>0</v>
      </c>
      <c r="AA762">
        <v>0</v>
      </c>
      <c r="AB762">
        <v>0</v>
      </c>
      <c r="AC762">
        <v>0</v>
      </c>
      <c r="AD762">
        <v>1</v>
      </c>
      <c r="AE762">
        <v>0</v>
      </c>
      <c r="AF762" t="s">
        <v>6</v>
      </c>
      <c r="AG762">
        <v>1</v>
      </c>
      <c r="AH762">
        <v>2</v>
      </c>
      <c r="AI762">
        <v>16632842</v>
      </c>
      <c r="AJ762">
        <v>760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 x14ac:dyDescent="0.2">
      <c r="A763">
        <f>ROW(Source!A356)</f>
        <v>356</v>
      </c>
      <c r="B763">
        <v>16632860</v>
      </c>
      <c r="C763">
        <v>16632851</v>
      </c>
      <c r="D763">
        <v>15430767</v>
      </c>
      <c r="E763">
        <v>1</v>
      </c>
      <c r="F763">
        <v>1</v>
      </c>
      <c r="G763">
        <v>1</v>
      </c>
      <c r="H763">
        <v>1</v>
      </c>
      <c r="I763" t="s">
        <v>1171</v>
      </c>
      <c r="J763" t="s">
        <v>6</v>
      </c>
      <c r="K763" t="s">
        <v>1172</v>
      </c>
      <c r="L763">
        <v>1191</v>
      </c>
      <c r="N763">
        <v>1013</v>
      </c>
      <c r="O763" t="s">
        <v>1148</v>
      </c>
      <c r="P763" t="s">
        <v>1148</v>
      </c>
      <c r="Q763">
        <v>1</v>
      </c>
      <c r="X763">
        <v>8.94</v>
      </c>
      <c r="Y763">
        <v>0</v>
      </c>
      <c r="Z763">
        <v>0</v>
      </c>
      <c r="AA763">
        <v>0</v>
      </c>
      <c r="AB763">
        <v>8.5299999999999994</v>
      </c>
      <c r="AC763">
        <v>0</v>
      </c>
      <c r="AD763">
        <v>1</v>
      </c>
      <c r="AE763">
        <v>1</v>
      </c>
      <c r="AF763" t="s">
        <v>82</v>
      </c>
      <c r="AG763">
        <v>10.280999999999999</v>
      </c>
      <c r="AH763">
        <v>2</v>
      </c>
      <c r="AI763">
        <v>16632852</v>
      </c>
      <c r="AJ763">
        <v>761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 x14ac:dyDescent="0.2">
      <c r="A764">
        <f>ROW(Source!A356)</f>
        <v>356</v>
      </c>
      <c r="B764">
        <v>16632861</v>
      </c>
      <c r="C764">
        <v>16632851</v>
      </c>
      <c r="D764">
        <v>15430395</v>
      </c>
      <c r="E764">
        <v>1</v>
      </c>
      <c r="F764">
        <v>1</v>
      </c>
      <c r="G764">
        <v>1</v>
      </c>
      <c r="H764">
        <v>1</v>
      </c>
      <c r="I764" t="s">
        <v>1149</v>
      </c>
      <c r="J764" t="s">
        <v>6</v>
      </c>
      <c r="K764" t="s">
        <v>1150</v>
      </c>
      <c r="L764">
        <v>1191</v>
      </c>
      <c r="N764">
        <v>1013</v>
      </c>
      <c r="O764" t="s">
        <v>1148</v>
      </c>
      <c r="P764" t="s">
        <v>1148</v>
      </c>
      <c r="Q764">
        <v>1</v>
      </c>
      <c r="X764">
        <v>0.01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1</v>
      </c>
      <c r="AE764">
        <v>2</v>
      </c>
      <c r="AF764" t="s">
        <v>81</v>
      </c>
      <c r="AG764">
        <v>1.2500000000000001E-2</v>
      </c>
      <c r="AH764">
        <v>2</v>
      </c>
      <c r="AI764">
        <v>16632853</v>
      </c>
      <c r="AJ764">
        <v>762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 x14ac:dyDescent="0.2">
      <c r="A765">
        <f>ROW(Source!A356)</f>
        <v>356</v>
      </c>
      <c r="B765">
        <v>16632862</v>
      </c>
      <c r="C765">
        <v>16632851</v>
      </c>
      <c r="D765">
        <v>15249073</v>
      </c>
      <c r="E765">
        <v>1</v>
      </c>
      <c r="F765">
        <v>1</v>
      </c>
      <c r="G765">
        <v>1</v>
      </c>
      <c r="H765">
        <v>2</v>
      </c>
      <c r="I765" t="s">
        <v>1157</v>
      </c>
      <c r="J765" t="s">
        <v>1158</v>
      </c>
      <c r="K765" t="s">
        <v>1159</v>
      </c>
      <c r="L765">
        <v>1368</v>
      </c>
      <c r="N765">
        <v>1011</v>
      </c>
      <c r="O765" t="s">
        <v>1154</v>
      </c>
      <c r="P765" t="s">
        <v>1154</v>
      </c>
      <c r="Q765">
        <v>1</v>
      </c>
      <c r="X765">
        <v>0.01</v>
      </c>
      <c r="Y765">
        <v>0</v>
      </c>
      <c r="Z765">
        <v>65.709999999999994</v>
      </c>
      <c r="AA765">
        <v>11.6</v>
      </c>
      <c r="AB765">
        <v>0</v>
      </c>
      <c r="AC765">
        <v>0</v>
      </c>
      <c r="AD765">
        <v>1</v>
      </c>
      <c r="AE765">
        <v>0</v>
      </c>
      <c r="AF765" t="s">
        <v>81</v>
      </c>
      <c r="AG765">
        <v>1.2500000000000001E-2</v>
      </c>
      <c r="AH765">
        <v>2</v>
      </c>
      <c r="AI765">
        <v>16632854</v>
      </c>
      <c r="AJ765">
        <v>763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 x14ac:dyDescent="0.2">
      <c r="A766">
        <f>ROW(Source!A356)</f>
        <v>356</v>
      </c>
      <c r="B766">
        <v>16632863</v>
      </c>
      <c r="C766">
        <v>16632851</v>
      </c>
      <c r="D766">
        <v>15167964</v>
      </c>
      <c r="E766">
        <v>1</v>
      </c>
      <c r="F766">
        <v>1</v>
      </c>
      <c r="G766">
        <v>1</v>
      </c>
      <c r="H766">
        <v>3</v>
      </c>
      <c r="I766" t="s">
        <v>1629</v>
      </c>
      <c r="J766" t="s">
        <v>1630</v>
      </c>
      <c r="K766" t="s">
        <v>1631</v>
      </c>
      <c r="L766">
        <v>1346</v>
      </c>
      <c r="N766">
        <v>1009</v>
      </c>
      <c r="O766" t="s">
        <v>102</v>
      </c>
      <c r="P766" t="s">
        <v>102</v>
      </c>
      <c r="Q766">
        <v>1</v>
      </c>
      <c r="X766">
        <v>7.2000000000000005E-4</v>
      </c>
      <c r="Y766">
        <v>9.0399999999999991</v>
      </c>
      <c r="Z766">
        <v>0</v>
      </c>
      <c r="AA766">
        <v>0</v>
      </c>
      <c r="AB766">
        <v>0</v>
      </c>
      <c r="AC766">
        <v>0</v>
      </c>
      <c r="AD766">
        <v>1</v>
      </c>
      <c r="AE766">
        <v>0</v>
      </c>
      <c r="AF766" t="s">
        <v>6</v>
      </c>
      <c r="AG766">
        <v>7.2000000000000005E-4</v>
      </c>
      <c r="AH766">
        <v>2</v>
      </c>
      <c r="AI766">
        <v>16632855</v>
      </c>
      <c r="AJ766">
        <v>764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 x14ac:dyDescent="0.2">
      <c r="A767">
        <f>ROW(Source!A356)</f>
        <v>356</v>
      </c>
      <c r="B767">
        <v>16632864</v>
      </c>
      <c r="C767">
        <v>16632851</v>
      </c>
      <c r="D767">
        <v>15172117</v>
      </c>
      <c r="E767">
        <v>1</v>
      </c>
      <c r="F767">
        <v>1</v>
      </c>
      <c r="G767">
        <v>1</v>
      </c>
      <c r="H767">
        <v>3</v>
      </c>
      <c r="I767" t="s">
        <v>1611</v>
      </c>
      <c r="J767" t="s">
        <v>1612</v>
      </c>
      <c r="K767" t="s">
        <v>1613</v>
      </c>
      <c r="L767">
        <v>1348</v>
      </c>
      <c r="N767">
        <v>1009</v>
      </c>
      <c r="O767" t="s">
        <v>98</v>
      </c>
      <c r="P767" t="s">
        <v>98</v>
      </c>
      <c r="Q767">
        <v>1000</v>
      </c>
      <c r="X767">
        <v>1.92E-3</v>
      </c>
      <c r="Y767">
        <v>1836</v>
      </c>
      <c r="Z767">
        <v>0</v>
      </c>
      <c r="AA767">
        <v>0</v>
      </c>
      <c r="AB767">
        <v>0</v>
      </c>
      <c r="AC767">
        <v>0</v>
      </c>
      <c r="AD767">
        <v>1</v>
      </c>
      <c r="AE767">
        <v>0</v>
      </c>
      <c r="AF767" t="s">
        <v>6</v>
      </c>
      <c r="AG767">
        <v>1.92E-3</v>
      </c>
      <c r="AH767">
        <v>2</v>
      </c>
      <c r="AI767">
        <v>16632856</v>
      </c>
      <c r="AJ767">
        <v>765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 x14ac:dyDescent="0.2">
      <c r="A768">
        <f>ROW(Source!A356)</f>
        <v>356</v>
      </c>
      <c r="B768">
        <v>16632865</v>
      </c>
      <c r="C768">
        <v>16632851</v>
      </c>
      <c r="D768">
        <v>15232307</v>
      </c>
      <c r="E768">
        <v>1</v>
      </c>
      <c r="F768">
        <v>1</v>
      </c>
      <c r="G768">
        <v>1</v>
      </c>
      <c r="H768">
        <v>3</v>
      </c>
      <c r="I768" t="s">
        <v>1641</v>
      </c>
      <c r="J768" t="s">
        <v>1642</v>
      </c>
      <c r="K768" t="s">
        <v>1643</v>
      </c>
      <c r="L768">
        <v>1354</v>
      </c>
      <c r="N768">
        <v>1010</v>
      </c>
      <c r="O768" t="s">
        <v>132</v>
      </c>
      <c r="P768" t="s">
        <v>132</v>
      </c>
      <c r="Q768">
        <v>1</v>
      </c>
      <c r="X768">
        <v>1</v>
      </c>
      <c r="Y768">
        <v>77.760000000000005</v>
      </c>
      <c r="Z768">
        <v>0</v>
      </c>
      <c r="AA768">
        <v>0</v>
      </c>
      <c r="AB768">
        <v>0</v>
      </c>
      <c r="AC768">
        <v>0</v>
      </c>
      <c r="AD768">
        <v>1</v>
      </c>
      <c r="AE768">
        <v>0</v>
      </c>
      <c r="AF768" t="s">
        <v>6</v>
      </c>
      <c r="AG768">
        <v>1</v>
      </c>
      <c r="AH768">
        <v>2</v>
      </c>
      <c r="AI768">
        <v>16632857</v>
      </c>
      <c r="AJ768">
        <v>766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 x14ac:dyDescent="0.2">
      <c r="A769">
        <f>ROW(Source!A356)</f>
        <v>356</v>
      </c>
      <c r="B769">
        <v>16632866</v>
      </c>
      <c r="C769">
        <v>16632851</v>
      </c>
      <c r="D769">
        <v>15232446</v>
      </c>
      <c r="E769">
        <v>1</v>
      </c>
      <c r="F769">
        <v>1</v>
      </c>
      <c r="G769">
        <v>1</v>
      </c>
      <c r="H769">
        <v>3</v>
      </c>
      <c r="I769" t="s">
        <v>1644</v>
      </c>
      <c r="J769" t="s">
        <v>1645</v>
      </c>
      <c r="K769" t="s">
        <v>1646</v>
      </c>
      <c r="L769">
        <v>1354</v>
      </c>
      <c r="N769">
        <v>1010</v>
      </c>
      <c r="O769" t="s">
        <v>132</v>
      </c>
      <c r="P769" t="s">
        <v>132</v>
      </c>
      <c r="Q769">
        <v>1</v>
      </c>
      <c r="X769">
        <v>1</v>
      </c>
      <c r="Y769">
        <v>17.510000000000002</v>
      </c>
      <c r="Z769">
        <v>0</v>
      </c>
      <c r="AA769">
        <v>0</v>
      </c>
      <c r="AB769">
        <v>0</v>
      </c>
      <c r="AC769">
        <v>0</v>
      </c>
      <c r="AD769">
        <v>1</v>
      </c>
      <c r="AE769">
        <v>0</v>
      </c>
      <c r="AF769" t="s">
        <v>6</v>
      </c>
      <c r="AG769">
        <v>1</v>
      </c>
      <c r="AH769">
        <v>2</v>
      </c>
      <c r="AI769">
        <v>16632858</v>
      </c>
      <c r="AJ769">
        <v>767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 x14ac:dyDescent="0.2">
      <c r="A770">
        <f>ROW(Source!A356)</f>
        <v>356</v>
      </c>
      <c r="B770">
        <v>16632867</v>
      </c>
      <c r="C770">
        <v>16632851</v>
      </c>
      <c r="D770">
        <v>15232697</v>
      </c>
      <c r="E770">
        <v>1</v>
      </c>
      <c r="F770">
        <v>1</v>
      </c>
      <c r="G770">
        <v>1</v>
      </c>
      <c r="H770">
        <v>3</v>
      </c>
      <c r="I770" t="s">
        <v>1647</v>
      </c>
      <c r="J770" t="s">
        <v>1648</v>
      </c>
      <c r="K770" t="s">
        <v>1649</v>
      </c>
      <c r="L770">
        <v>1354</v>
      </c>
      <c r="N770">
        <v>1010</v>
      </c>
      <c r="O770" t="s">
        <v>132</v>
      </c>
      <c r="P770" t="s">
        <v>132</v>
      </c>
      <c r="Q770">
        <v>1</v>
      </c>
      <c r="X770">
        <v>1</v>
      </c>
      <c r="Y770">
        <v>36.700000000000003</v>
      </c>
      <c r="Z770">
        <v>0</v>
      </c>
      <c r="AA770">
        <v>0</v>
      </c>
      <c r="AB770">
        <v>0</v>
      </c>
      <c r="AC770">
        <v>0</v>
      </c>
      <c r="AD770">
        <v>1</v>
      </c>
      <c r="AE770">
        <v>0</v>
      </c>
      <c r="AF770" t="s">
        <v>6</v>
      </c>
      <c r="AG770">
        <v>1</v>
      </c>
      <c r="AH770">
        <v>2</v>
      </c>
      <c r="AI770">
        <v>16632859</v>
      </c>
      <c r="AJ770">
        <v>768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 x14ac:dyDescent="0.2">
      <c r="A771">
        <f>ROW(Source!A394)</f>
        <v>394</v>
      </c>
      <c r="B771">
        <v>16632875</v>
      </c>
      <c r="C771">
        <v>16632868</v>
      </c>
      <c r="D771">
        <v>15432356</v>
      </c>
      <c r="E771">
        <v>1</v>
      </c>
      <c r="F771">
        <v>1</v>
      </c>
      <c r="G771">
        <v>1</v>
      </c>
      <c r="H771">
        <v>1</v>
      </c>
      <c r="I771" t="s">
        <v>1319</v>
      </c>
      <c r="J771" t="s">
        <v>6</v>
      </c>
      <c r="K771" t="s">
        <v>1320</v>
      </c>
      <c r="L771">
        <v>1191</v>
      </c>
      <c r="N771">
        <v>1013</v>
      </c>
      <c r="O771" t="s">
        <v>1148</v>
      </c>
      <c r="P771" t="s">
        <v>1148</v>
      </c>
      <c r="Q771">
        <v>1</v>
      </c>
      <c r="X771">
        <v>34.659999999999997</v>
      </c>
      <c r="Y771">
        <v>0</v>
      </c>
      <c r="Z771">
        <v>0</v>
      </c>
      <c r="AA771">
        <v>0</v>
      </c>
      <c r="AB771">
        <v>8.31</v>
      </c>
      <c r="AC771">
        <v>0</v>
      </c>
      <c r="AD771">
        <v>1</v>
      </c>
      <c r="AE771">
        <v>1</v>
      </c>
      <c r="AF771" t="s">
        <v>6</v>
      </c>
      <c r="AG771">
        <v>34.659999999999997</v>
      </c>
      <c r="AH771">
        <v>2</v>
      </c>
      <c r="AI771">
        <v>16632869</v>
      </c>
      <c r="AJ771">
        <v>769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 x14ac:dyDescent="0.2">
      <c r="A772">
        <f>ROW(Source!A394)</f>
        <v>394</v>
      </c>
      <c r="B772">
        <v>16632876</v>
      </c>
      <c r="C772">
        <v>16632868</v>
      </c>
      <c r="D772">
        <v>15430395</v>
      </c>
      <c r="E772">
        <v>1</v>
      </c>
      <c r="F772">
        <v>1</v>
      </c>
      <c r="G772">
        <v>1</v>
      </c>
      <c r="H772">
        <v>1</v>
      </c>
      <c r="I772" t="s">
        <v>1149</v>
      </c>
      <c r="J772" t="s">
        <v>6</v>
      </c>
      <c r="K772" t="s">
        <v>1150</v>
      </c>
      <c r="L772">
        <v>1191</v>
      </c>
      <c r="N772">
        <v>1013</v>
      </c>
      <c r="O772" t="s">
        <v>1148</v>
      </c>
      <c r="P772" t="s">
        <v>1148</v>
      </c>
      <c r="Q772">
        <v>1</v>
      </c>
      <c r="X772">
        <v>0.1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1</v>
      </c>
      <c r="AE772">
        <v>2</v>
      </c>
      <c r="AF772" t="s">
        <v>6</v>
      </c>
      <c r="AG772">
        <v>0.1</v>
      </c>
      <c r="AH772">
        <v>2</v>
      </c>
      <c r="AI772">
        <v>16632870</v>
      </c>
      <c r="AJ772">
        <v>770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 x14ac:dyDescent="0.2">
      <c r="A773">
        <f>ROW(Source!A394)</f>
        <v>394</v>
      </c>
      <c r="B773">
        <v>16632877</v>
      </c>
      <c r="C773">
        <v>16632868</v>
      </c>
      <c r="D773">
        <v>15247974</v>
      </c>
      <c r="E773">
        <v>1</v>
      </c>
      <c r="F773">
        <v>1</v>
      </c>
      <c r="G773">
        <v>1</v>
      </c>
      <c r="H773">
        <v>2</v>
      </c>
      <c r="I773" t="s">
        <v>1151</v>
      </c>
      <c r="J773" t="s">
        <v>1152</v>
      </c>
      <c r="K773" t="s">
        <v>1153</v>
      </c>
      <c r="L773">
        <v>1368</v>
      </c>
      <c r="N773">
        <v>1011</v>
      </c>
      <c r="O773" t="s">
        <v>1154</v>
      </c>
      <c r="P773" t="s">
        <v>1154</v>
      </c>
      <c r="Q773">
        <v>1</v>
      </c>
      <c r="X773">
        <v>0.1</v>
      </c>
      <c r="Y773">
        <v>0</v>
      </c>
      <c r="Z773">
        <v>31.26</v>
      </c>
      <c r="AA773">
        <v>13.5</v>
      </c>
      <c r="AB773">
        <v>0</v>
      </c>
      <c r="AC773">
        <v>0</v>
      </c>
      <c r="AD773">
        <v>1</v>
      </c>
      <c r="AE773">
        <v>0</v>
      </c>
      <c r="AF773" t="s">
        <v>6</v>
      </c>
      <c r="AG773">
        <v>0.1</v>
      </c>
      <c r="AH773">
        <v>2</v>
      </c>
      <c r="AI773">
        <v>16632871</v>
      </c>
      <c r="AJ773">
        <v>771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 x14ac:dyDescent="0.2">
      <c r="A774">
        <f>ROW(Source!A394)</f>
        <v>394</v>
      </c>
      <c r="B774">
        <v>16632878</v>
      </c>
      <c r="C774">
        <v>16632868</v>
      </c>
      <c r="D774">
        <v>15249308</v>
      </c>
      <c r="E774">
        <v>1</v>
      </c>
      <c r="F774">
        <v>1</v>
      </c>
      <c r="G774">
        <v>1</v>
      </c>
      <c r="H774">
        <v>2</v>
      </c>
      <c r="I774" t="s">
        <v>1521</v>
      </c>
      <c r="J774" t="s">
        <v>1522</v>
      </c>
      <c r="K774" t="s">
        <v>1523</v>
      </c>
      <c r="L774">
        <v>1368</v>
      </c>
      <c r="N774">
        <v>1011</v>
      </c>
      <c r="O774" t="s">
        <v>1154</v>
      </c>
      <c r="P774" t="s">
        <v>1154</v>
      </c>
      <c r="Q774">
        <v>1</v>
      </c>
      <c r="X774">
        <v>3.3</v>
      </c>
      <c r="Y774">
        <v>0</v>
      </c>
      <c r="Z774">
        <v>1.2</v>
      </c>
      <c r="AA774">
        <v>0</v>
      </c>
      <c r="AB774">
        <v>0</v>
      </c>
      <c r="AC774">
        <v>0</v>
      </c>
      <c r="AD774">
        <v>1</v>
      </c>
      <c r="AE774">
        <v>0</v>
      </c>
      <c r="AF774" t="s">
        <v>6</v>
      </c>
      <c r="AG774">
        <v>3.3</v>
      </c>
      <c r="AH774">
        <v>2</v>
      </c>
      <c r="AI774">
        <v>16632872</v>
      </c>
      <c r="AJ774">
        <v>772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 x14ac:dyDescent="0.2">
      <c r="A775">
        <f>ROW(Source!A394)</f>
        <v>394</v>
      </c>
      <c r="B775">
        <v>16632879</v>
      </c>
      <c r="C775">
        <v>16632868</v>
      </c>
      <c r="D775">
        <v>15165634</v>
      </c>
      <c r="E775">
        <v>1</v>
      </c>
      <c r="F775">
        <v>1</v>
      </c>
      <c r="G775">
        <v>1</v>
      </c>
      <c r="H775">
        <v>3</v>
      </c>
      <c r="I775" t="s">
        <v>1524</v>
      </c>
      <c r="J775" t="s">
        <v>1525</v>
      </c>
      <c r="K775" t="s">
        <v>1526</v>
      </c>
      <c r="L775">
        <v>1339</v>
      </c>
      <c r="N775">
        <v>1007</v>
      </c>
      <c r="O775" t="s">
        <v>203</v>
      </c>
      <c r="P775" t="s">
        <v>203</v>
      </c>
      <c r="Q775">
        <v>1</v>
      </c>
      <c r="X775">
        <v>0.43</v>
      </c>
      <c r="Y775">
        <v>38.51</v>
      </c>
      <c r="Z775">
        <v>0</v>
      </c>
      <c r="AA775">
        <v>0</v>
      </c>
      <c r="AB775">
        <v>0</v>
      </c>
      <c r="AC775">
        <v>0</v>
      </c>
      <c r="AD775">
        <v>1</v>
      </c>
      <c r="AE775">
        <v>0</v>
      </c>
      <c r="AF775" t="s">
        <v>30</v>
      </c>
      <c r="AG775">
        <v>0</v>
      </c>
      <c r="AH775">
        <v>2</v>
      </c>
      <c r="AI775">
        <v>16632873</v>
      </c>
      <c r="AJ775">
        <v>773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 x14ac:dyDescent="0.2">
      <c r="A776">
        <f>ROW(Source!A394)</f>
        <v>394</v>
      </c>
      <c r="B776">
        <v>16632880</v>
      </c>
      <c r="C776">
        <v>16632868</v>
      </c>
      <c r="D776">
        <v>15165653</v>
      </c>
      <c r="E776">
        <v>1</v>
      </c>
      <c r="F776">
        <v>1</v>
      </c>
      <c r="G776">
        <v>1</v>
      </c>
      <c r="H776">
        <v>3</v>
      </c>
      <c r="I776" t="s">
        <v>1527</v>
      </c>
      <c r="J776" t="s">
        <v>1528</v>
      </c>
      <c r="K776" t="s">
        <v>1529</v>
      </c>
      <c r="L776">
        <v>1339</v>
      </c>
      <c r="N776">
        <v>1007</v>
      </c>
      <c r="O776" t="s">
        <v>203</v>
      </c>
      <c r="P776" t="s">
        <v>203</v>
      </c>
      <c r="Q776">
        <v>1</v>
      </c>
      <c r="X776">
        <v>2.74</v>
      </c>
      <c r="Y776">
        <v>6.22</v>
      </c>
      <c r="Z776">
        <v>0</v>
      </c>
      <c r="AA776">
        <v>0</v>
      </c>
      <c r="AB776">
        <v>0</v>
      </c>
      <c r="AC776">
        <v>0</v>
      </c>
      <c r="AD776">
        <v>1</v>
      </c>
      <c r="AE776">
        <v>0</v>
      </c>
      <c r="AF776" t="s">
        <v>30</v>
      </c>
      <c r="AG776">
        <v>0</v>
      </c>
      <c r="AH776">
        <v>2</v>
      </c>
      <c r="AI776">
        <v>16632874</v>
      </c>
      <c r="AJ776">
        <v>774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 x14ac:dyDescent="0.2">
      <c r="A777">
        <f>ROW(Source!A394)</f>
        <v>394</v>
      </c>
      <c r="B777">
        <v>16632881</v>
      </c>
      <c r="C777">
        <v>16632868</v>
      </c>
      <c r="D777">
        <v>15164566</v>
      </c>
      <c r="E777">
        <v>17</v>
      </c>
      <c r="F777">
        <v>1</v>
      </c>
      <c r="G777">
        <v>1</v>
      </c>
      <c r="H777">
        <v>3</v>
      </c>
      <c r="I777" t="s">
        <v>1670</v>
      </c>
      <c r="J777" t="s">
        <v>6</v>
      </c>
      <c r="K777" t="s">
        <v>1714</v>
      </c>
      <c r="L777">
        <v>1348</v>
      </c>
      <c r="N777">
        <v>1009</v>
      </c>
      <c r="O777" t="s">
        <v>98</v>
      </c>
      <c r="P777" t="s">
        <v>98</v>
      </c>
      <c r="Q777">
        <v>1000</v>
      </c>
      <c r="X777">
        <v>0.22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 t="s">
        <v>30</v>
      </c>
      <c r="AG777">
        <v>0</v>
      </c>
      <c r="AH777">
        <v>3</v>
      </c>
      <c r="AI777">
        <v>-1</v>
      </c>
      <c r="AJ777" t="s">
        <v>6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 x14ac:dyDescent="0.2">
      <c r="A778">
        <f>ROW(Source!A395)</f>
        <v>395</v>
      </c>
      <c r="B778">
        <v>16632897</v>
      </c>
      <c r="C778">
        <v>16632882</v>
      </c>
      <c r="D778">
        <v>15446300</v>
      </c>
      <c r="E778">
        <v>1</v>
      </c>
      <c r="F778">
        <v>1</v>
      </c>
      <c r="G778">
        <v>1</v>
      </c>
      <c r="H778">
        <v>1</v>
      </c>
      <c r="I778" t="s">
        <v>1220</v>
      </c>
      <c r="J778" t="s">
        <v>6</v>
      </c>
      <c r="K778" t="s">
        <v>1221</v>
      </c>
      <c r="L778">
        <v>1191</v>
      </c>
      <c r="N778">
        <v>1013</v>
      </c>
      <c r="O778" t="s">
        <v>1148</v>
      </c>
      <c r="P778" t="s">
        <v>1148</v>
      </c>
      <c r="Q778">
        <v>1</v>
      </c>
      <c r="X778">
        <v>190.24</v>
      </c>
      <c r="Y778">
        <v>0</v>
      </c>
      <c r="Z778">
        <v>0</v>
      </c>
      <c r="AA778">
        <v>0</v>
      </c>
      <c r="AB778">
        <v>9.92</v>
      </c>
      <c r="AC778">
        <v>0</v>
      </c>
      <c r="AD778">
        <v>1</v>
      </c>
      <c r="AE778">
        <v>1</v>
      </c>
      <c r="AF778" t="s">
        <v>82</v>
      </c>
      <c r="AG778">
        <v>218.77599999999998</v>
      </c>
      <c r="AH778">
        <v>2</v>
      </c>
      <c r="AI778">
        <v>16632883</v>
      </c>
      <c r="AJ778">
        <v>775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 x14ac:dyDescent="0.2">
      <c r="A779">
        <f>ROW(Source!A395)</f>
        <v>395</v>
      </c>
      <c r="B779">
        <v>16632898</v>
      </c>
      <c r="C779">
        <v>16632882</v>
      </c>
      <c r="D779">
        <v>15430395</v>
      </c>
      <c r="E779">
        <v>1</v>
      </c>
      <c r="F779">
        <v>1</v>
      </c>
      <c r="G779">
        <v>1</v>
      </c>
      <c r="H779">
        <v>1</v>
      </c>
      <c r="I779" t="s">
        <v>1149</v>
      </c>
      <c r="J779" t="s">
        <v>6</v>
      </c>
      <c r="K779" t="s">
        <v>1150</v>
      </c>
      <c r="L779">
        <v>1191</v>
      </c>
      <c r="N779">
        <v>1013</v>
      </c>
      <c r="O779" t="s">
        <v>1148</v>
      </c>
      <c r="P779" t="s">
        <v>1148</v>
      </c>
      <c r="Q779">
        <v>1</v>
      </c>
      <c r="X779">
        <v>13.64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1</v>
      </c>
      <c r="AE779">
        <v>2</v>
      </c>
      <c r="AF779" t="s">
        <v>81</v>
      </c>
      <c r="AG779">
        <v>17.05</v>
      </c>
      <c r="AH779">
        <v>2</v>
      </c>
      <c r="AI779">
        <v>16632884</v>
      </c>
      <c r="AJ779">
        <v>776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 x14ac:dyDescent="0.2">
      <c r="A780">
        <f>ROW(Source!A395)</f>
        <v>395</v>
      </c>
      <c r="B780">
        <v>16632899</v>
      </c>
      <c r="C780">
        <v>16632882</v>
      </c>
      <c r="D780">
        <v>15247578</v>
      </c>
      <c r="E780">
        <v>1</v>
      </c>
      <c r="F780">
        <v>1</v>
      </c>
      <c r="G780">
        <v>1</v>
      </c>
      <c r="H780">
        <v>2</v>
      </c>
      <c r="I780" t="s">
        <v>1246</v>
      </c>
      <c r="J780" t="s">
        <v>1247</v>
      </c>
      <c r="K780" t="s">
        <v>1248</v>
      </c>
      <c r="L780">
        <v>1368</v>
      </c>
      <c r="N780">
        <v>1011</v>
      </c>
      <c r="O780" t="s">
        <v>1154</v>
      </c>
      <c r="P780" t="s">
        <v>1154</v>
      </c>
      <c r="Q780">
        <v>1</v>
      </c>
      <c r="X780">
        <v>0.05</v>
      </c>
      <c r="Y780">
        <v>0</v>
      </c>
      <c r="Z780">
        <v>86.4</v>
      </c>
      <c r="AA780">
        <v>13.5</v>
      </c>
      <c r="AB780">
        <v>0</v>
      </c>
      <c r="AC780">
        <v>0</v>
      </c>
      <c r="AD780">
        <v>1</v>
      </c>
      <c r="AE780">
        <v>0</v>
      </c>
      <c r="AF780" t="s">
        <v>81</v>
      </c>
      <c r="AG780">
        <v>6.25E-2</v>
      </c>
      <c r="AH780">
        <v>2</v>
      </c>
      <c r="AI780">
        <v>16632885</v>
      </c>
      <c r="AJ780">
        <v>777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 x14ac:dyDescent="0.2">
      <c r="A781">
        <f>ROW(Source!A395)</f>
        <v>395</v>
      </c>
      <c r="B781">
        <v>16632900</v>
      </c>
      <c r="C781">
        <v>16632882</v>
      </c>
      <c r="D781">
        <v>15247680</v>
      </c>
      <c r="E781">
        <v>1</v>
      </c>
      <c r="F781">
        <v>1</v>
      </c>
      <c r="G781">
        <v>1</v>
      </c>
      <c r="H781">
        <v>2</v>
      </c>
      <c r="I781" t="s">
        <v>1419</v>
      </c>
      <c r="J781" t="s">
        <v>1420</v>
      </c>
      <c r="K781" t="s">
        <v>1421</v>
      </c>
      <c r="L781">
        <v>1368</v>
      </c>
      <c r="N781">
        <v>1011</v>
      </c>
      <c r="O781" t="s">
        <v>1154</v>
      </c>
      <c r="P781" t="s">
        <v>1154</v>
      </c>
      <c r="Q781">
        <v>1</v>
      </c>
      <c r="X781">
        <v>0.03</v>
      </c>
      <c r="Y781">
        <v>0</v>
      </c>
      <c r="Z781">
        <v>111.99</v>
      </c>
      <c r="AA781">
        <v>13.5</v>
      </c>
      <c r="AB781">
        <v>0</v>
      </c>
      <c r="AC781">
        <v>0</v>
      </c>
      <c r="AD781">
        <v>1</v>
      </c>
      <c r="AE781">
        <v>0</v>
      </c>
      <c r="AF781" t="s">
        <v>81</v>
      </c>
      <c r="AG781">
        <v>3.7499999999999999E-2</v>
      </c>
      <c r="AH781">
        <v>2</v>
      </c>
      <c r="AI781">
        <v>16632886</v>
      </c>
      <c r="AJ781">
        <v>778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 x14ac:dyDescent="0.2">
      <c r="A782">
        <f>ROW(Source!A395)</f>
        <v>395</v>
      </c>
      <c r="B782">
        <v>16632901</v>
      </c>
      <c r="C782">
        <v>16632882</v>
      </c>
      <c r="D782">
        <v>15249073</v>
      </c>
      <c r="E782">
        <v>1</v>
      </c>
      <c r="F782">
        <v>1</v>
      </c>
      <c r="G782">
        <v>1</v>
      </c>
      <c r="H782">
        <v>2</v>
      </c>
      <c r="I782" t="s">
        <v>1157</v>
      </c>
      <c r="J782" t="s">
        <v>1158</v>
      </c>
      <c r="K782" t="s">
        <v>1159</v>
      </c>
      <c r="L782">
        <v>1368</v>
      </c>
      <c r="N782">
        <v>1011</v>
      </c>
      <c r="O782" t="s">
        <v>1154</v>
      </c>
      <c r="P782" t="s">
        <v>1154</v>
      </c>
      <c r="Q782">
        <v>1</v>
      </c>
      <c r="X782">
        <v>0.22</v>
      </c>
      <c r="Y782">
        <v>0</v>
      </c>
      <c r="Z782">
        <v>65.709999999999994</v>
      </c>
      <c r="AA782">
        <v>11.6</v>
      </c>
      <c r="AB782">
        <v>0</v>
      </c>
      <c r="AC782">
        <v>0</v>
      </c>
      <c r="AD782">
        <v>1</v>
      </c>
      <c r="AE782">
        <v>0</v>
      </c>
      <c r="AF782" t="s">
        <v>81</v>
      </c>
      <c r="AG782">
        <v>0.27500000000000002</v>
      </c>
      <c r="AH782">
        <v>2</v>
      </c>
      <c r="AI782">
        <v>16632887</v>
      </c>
      <c r="AJ782">
        <v>779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 x14ac:dyDescent="0.2">
      <c r="A783">
        <f>ROW(Source!A395)</f>
        <v>395</v>
      </c>
      <c r="B783">
        <v>16632902</v>
      </c>
      <c r="C783">
        <v>16632882</v>
      </c>
      <c r="D783">
        <v>15249291</v>
      </c>
      <c r="E783">
        <v>1</v>
      </c>
      <c r="F783">
        <v>1</v>
      </c>
      <c r="G783">
        <v>1</v>
      </c>
      <c r="H783">
        <v>2</v>
      </c>
      <c r="I783" t="s">
        <v>1650</v>
      </c>
      <c r="J783" t="s">
        <v>1651</v>
      </c>
      <c r="K783" t="s">
        <v>1652</v>
      </c>
      <c r="L783">
        <v>1368</v>
      </c>
      <c r="N783">
        <v>1011</v>
      </c>
      <c r="O783" t="s">
        <v>1154</v>
      </c>
      <c r="P783" t="s">
        <v>1154</v>
      </c>
      <c r="Q783">
        <v>1</v>
      </c>
      <c r="X783">
        <v>13.34</v>
      </c>
      <c r="Y783">
        <v>0</v>
      </c>
      <c r="Z783">
        <v>100.1</v>
      </c>
      <c r="AA783">
        <v>13.5</v>
      </c>
      <c r="AB783">
        <v>0</v>
      </c>
      <c r="AC783">
        <v>0</v>
      </c>
      <c r="AD783">
        <v>1</v>
      </c>
      <c r="AE783">
        <v>0</v>
      </c>
      <c r="AF783" t="s">
        <v>81</v>
      </c>
      <c r="AG783">
        <v>16.675000000000001</v>
      </c>
      <c r="AH783">
        <v>2</v>
      </c>
      <c r="AI783">
        <v>16632888</v>
      </c>
      <c r="AJ783">
        <v>780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 x14ac:dyDescent="0.2">
      <c r="A784">
        <f>ROW(Source!A395)</f>
        <v>395</v>
      </c>
      <c r="B784">
        <v>16632903</v>
      </c>
      <c r="C784">
        <v>16632882</v>
      </c>
      <c r="D784">
        <v>15166105</v>
      </c>
      <c r="E784">
        <v>1</v>
      </c>
      <c r="F784">
        <v>1</v>
      </c>
      <c r="G784">
        <v>1</v>
      </c>
      <c r="H784">
        <v>3</v>
      </c>
      <c r="I784" t="s">
        <v>1653</v>
      </c>
      <c r="J784" t="s">
        <v>1654</v>
      </c>
      <c r="K784" t="s">
        <v>1655</v>
      </c>
      <c r="L784">
        <v>1346</v>
      </c>
      <c r="N784">
        <v>1009</v>
      </c>
      <c r="O784" t="s">
        <v>102</v>
      </c>
      <c r="P784" t="s">
        <v>102</v>
      </c>
      <c r="Q784">
        <v>1</v>
      </c>
      <c r="X784">
        <v>0.25</v>
      </c>
      <c r="Y784">
        <v>11.8</v>
      </c>
      <c r="Z784">
        <v>0</v>
      </c>
      <c r="AA784">
        <v>0</v>
      </c>
      <c r="AB784">
        <v>0</v>
      </c>
      <c r="AC784">
        <v>0</v>
      </c>
      <c r="AD784">
        <v>1</v>
      </c>
      <c r="AE784">
        <v>0</v>
      </c>
      <c r="AF784" t="s">
        <v>6</v>
      </c>
      <c r="AG784">
        <v>0.25</v>
      </c>
      <c r="AH784">
        <v>2</v>
      </c>
      <c r="AI784">
        <v>16632889</v>
      </c>
      <c r="AJ784">
        <v>781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 x14ac:dyDescent="0.2">
      <c r="A785">
        <f>ROW(Source!A395)</f>
        <v>395</v>
      </c>
      <c r="B785">
        <v>16632904</v>
      </c>
      <c r="C785">
        <v>16632882</v>
      </c>
      <c r="D785">
        <v>15167286</v>
      </c>
      <c r="E785">
        <v>1</v>
      </c>
      <c r="F785">
        <v>1</v>
      </c>
      <c r="G785">
        <v>1</v>
      </c>
      <c r="H785">
        <v>3</v>
      </c>
      <c r="I785" t="s">
        <v>1265</v>
      </c>
      <c r="J785" t="s">
        <v>1266</v>
      </c>
      <c r="K785" t="s">
        <v>1267</v>
      </c>
      <c r="L785">
        <v>1339</v>
      </c>
      <c r="N785">
        <v>1007</v>
      </c>
      <c r="O785" t="s">
        <v>203</v>
      </c>
      <c r="P785" t="s">
        <v>203</v>
      </c>
      <c r="Q785">
        <v>1</v>
      </c>
      <c r="X785">
        <v>0.47</v>
      </c>
      <c r="Y785">
        <v>2.44</v>
      </c>
      <c r="Z785">
        <v>0</v>
      </c>
      <c r="AA785">
        <v>0</v>
      </c>
      <c r="AB785">
        <v>0</v>
      </c>
      <c r="AC785">
        <v>0</v>
      </c>
      <c r="AD785">
        <v>1</v>
      </c>
      <c r="AE785">
        <v>0</v>
      </c>
      <c r="AF785" t="s">
        <v>6</v>
      </c>
      <c r="AG785">
        <v>0.47</v>
      </c>
      <c r="AH785">
        <v>2</v>
      </c>
      <c r="AI785">
        <v>16632890</v>
      </c>
      <c r="AJ785">
        <v>782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 x14ac:dyDescent="0.2">
      <c r="A786">
        <f>ROW(Source!A395)</f>
        <v>395</v>
      </c>
      <c r="B786">
        <v>16632905</v>
      </c>
      <c r="C786">
        <v>16632882</v>
      </c>
      <c r="D786">
        <v>15167787</v>
      </c>
      <c r="E786">
        <v>1</v>
      </c>
      <c r="F786">
        <v>1</v>
      </c>
      <c r="G786">
        <v>1</v>
      </c>
      <c r="H786">
        <v>3</v>
      </c>
      <c r="I786" t="s">
        <v>1656</v>
      </c>
      <c r="J786" t="s">
        <v>1657</v>
      </c>
      <c r="K786" t="s">
        <v>1658</v>
      </c>
      <c r="L786">
        <v>1356</v>
      </c>
      <c r="N786">
        <v>1010</v>
      </c>
      <c r="O786" t="s">
        <v>278</v>
      </c>
      <c r="P786" t="s">
        <v>278</v>
      </c>
      <c r="Q786">
        <v>1000</v>
      </c>
      <c r="X786">
        <v>0.1</v>
      </c>
      <c r="Y786">
        <v>253.8</v>
      </c>
      <c r="Z786">
        <v>0</v>
      </c>
      <c r="AA786">
        <v>0</v>
      </c>
      <c r="AB786">
        <v>0</v>
      </c>
      <c r="AC786">
        <v>0</v>
      </c>
      <c r="AD786">
        <v>1</v>
      </c>
      <c r="AE786">
        <v>0</v>
      </c>
      <c r="AF786" t="s">
        <v>6</v>
      </c>
      <c r="AG786">
        <v>0.1</v>
      </c>
      <c r="AH786">
        <v>2</v>
      </c>
      <c r="AI786">
        <v>16632891</v>
      </c>
      <c r="AJ786">
        <v>783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 x14ac:dyDescent="0.2">
      <c r="A787">
        <f>ROW(Source!A395)</f>
        <v>395</v>
      </c>
      <c r="B787">
        <v>16632906</v>
      </c>
      <c r="C787">
        <v>16632882</v>
      </c>
      <c r="D787">
        <v>15170090</v>
      </c>
      <c r="E787">
        <v>1</v>
      </c>
      <c r="F787">
        <v>1</v>
      </c>
      <c r="G787">
        <v>1</v>
      </c>
      <c r="H787">
        <v>3</v>
      </c>
      <c r="I787" t="s">
        <v>1659</v>
      </c>
      <c r="J787" t="s">
        <v>1660</v>
      </c>
      <c r="K787" t="s">
        <v>1661</v>
      </c>
      <c r="L787">
        <v>1348</v>
      </c>
      <c r="N787">
        <v>1009</v>
      </c>
      <c r="O787" t="s">
        <v>98</v>
      </c>
      <c r="P787" t="s">
        <v>98</v>
      </c>
      <c r="Q787">
        <v>1000</v>
      </c>
      <c r="X787">
        <v>8.4999999999999995E-4</v>
      </c>
      <c r="Y787">
        <v>22558</v>
      </c>
      <c r="Z787">
        <v>0</v>
      </c>
      <c r="AA787">
        <v>0</v>
      </c>
      <c r="AB787">
        <v>0</v>
      </c>
      <c r="AC787">
        <v>0</v>
      </c>
      <c r="AD787">
        <v>1</v>
      </c>
      <c r="AE787">
        <v>0</v>
      </c>
      <c r="AF787" t="s">
        <v>6</v>
      </c>
      <c r="AG787">
        <v>8.4999999999999995E-4</v>
      </c>
      <c r="AH787">
        <v>2</v>
      </c>
      <c r="AI787">
        <v>16632892</v>
      </c>
      <c r="AJ787">
        <v>784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 x14ac:dyDescent="0.2">
      <c r="A788">
        <f>ROW(Source!A395)</f>
        <v>395</v>
      </c>
      <c r="B788">
        <v>16632907</v>
      </c>
      <c r="C788">
        <v>16632882</v>
      </c>
      <c r="D788">
        <v>15172018</v>
      </c>
      <c r="E788">
        <v>1</v>
      </c>
      <c r="F788">
        <v>1</v>
      </c>
      <c r="G788">
        <v>1</v>
      </c>
      <c r="H788">
        <v>3</v>
      </c>
      <c r="I788" t="s">
        <v>1539</v>
      </c>
      <c r="J788" t="s">
        <v>1540</v>
      </c>
      <c r="K788" t="s">
        <v>1541</v>
      </c>
      <c r="L788">
        <v>1346</v>
      </c>
      <c r="N788">
        <v>1009</v>
      </c>
      <c r="O788" t="s">
        <v>102</v>
      </c>
      <c r="P788" t="s">
        <v>102</v>
      </c>
      <c r="Q788">
        <v>1</v>
      </c>
      <c r="X788">
        <v>1.6000000000000001E-3</v>
      </c>
      <c r="Y788">
        <v>2.15</v>
      </c>
      <c r="Z788">
        <v>0</v>
      </c>
      <c r="AA788">
        <v>0</v>
      </c>
      <c r="AB788">
        <v>0</v>
      </c>
      <c r="AC788">
        <v>0</v>
      </c>
      <c r="AD788">
        <v>1</v>
      </c>
      <c r="AE788">
        <v>0</v>
      </c>
      <c r="AF788" t="s">
        <v>6</v>
      </c>
      <c r="AG788">
        <v>1.6000000000000001E-3</v>
      </c>
      <c r="AH788">
        <v>2</v>
      </c>
      <c r="AI788">
        <v>16632893</v>
      </c>
      <c r="AJ788">
        <v>785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 x14ac:dyDescent="0.2">
      <c r="A789">
        <f>ROW(Source!A395)</f>
        <v>395</v>
      </c>
      <c r="B789">
        <v>16632908</v>
      </c>
      <c r="C789">
        <v>16632882</v>
      </c>
      <c r="D789">
        <v>15161686</v>
      </c>
      <c r="E789">
        <v>17</v>
      </c>
      <c r="F789">
        <v>1</v>
      </c>
      <c r="G789">
        <v>1</v>
      </c>
      <c r="H789">
        <v>3</v>
      </c>
      <c r="I789" t="s">
        <v>1683</v>
      </c>
      <c r="J789" t="s">
        <v>6</v>
      </c>
      <c r="K789" t="s">
        <v>1751</v>
      </c>
      <c r="L789">
        <v>1346</v>
      </c>
      <c r="N789">
        <v>1009</v>
      </c>
      <c r="O789" t="s">
        <v>102</v>
      </c>
      <c r="P789" t="s">
        <v>102</v>
      </c>
      <c r="Q789">
        <v>1</v>
      </c>
      <c r="X789">
        <v>0.55000000000000004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 t="s">
        <v>6</v>
      </c>
      <c r="AG789">
        <v>0.55000000000000004</v>
      </c>
      <c r="AH789">
        <v>3</v>
      </c>
      <c r="AI789">
        <v>-1</v>
      </c>
      <c r="AJ789" t="s">
        <v>6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 x14ac:dyDescent="0.2">
      <c r="A790">
        <f>ROW(Source!A395)</f>
        <v>395</v>
      </c>
      <c r="B790">
        <v>16632909</v>
      </c>
      <c r="C790">
        <v>16632882</v>
      </c>
      <c r="D790">
        <v>15202502</v>
      </c>
      <c r="E790">
        <v>1</v>
      </c>
      <c r="F790">
        <v>1</v>
      </c>
      <c r="G790">
        <v>1</v>
      </c>
      <c r="H790">
        <v>3</v>
      </c>
      <c r="I790" t="s">
        <v>1662</v>
      </c>
      <c r="J790" t="s">
        <v>1663</v>
      </c>
      <c r="K790" t="s">
        <v>1664</v>
      </c>
      <c r="L790">
        <v>1346</v>
      </c>
      <c r="N790">
        <v>1009</v>
      </c>
      <c r="O790" t="s">
        <v>102</v>
      </c>
      <c r="P790" t="s">
        <v>102</v>
      </c>
      <c r="Q790">
        <v>1</v>
      </c>
      <c r="X790">
        <v>0.25</v>
      </c>
      <c r="Y790">
        <v>28.93</v>
      </c>
      <c r="Z790">
        <v>0</v>
      </c>
      <c r="AA790">
        <v>0</v>
      </c>
      <c r="AB790">
        <v>0</v>
      </c>
      <c r="AC790">
        <v>0</v>
      </c>
      <c r="AD790">
        <v>1</v>
      </c>
      <c r="AE790">
        <v>0</v>
      </c>
      <c r="AF790" t="s">
        <v>6</v>
      </c>
      <c r="AG790">
        <v>0.25</v>
      </c>
      <c r="AH790">
        <v>2</v>
      </c>
      <c r="AI790">
        <v>16632894</v>
      </c>
      <c r="AJ790">
        <v>786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 x14ac:dyDescent="0.2">
      <c r="A791">
        <f>ROW(Source!A395)</f>
        <v>395</v>
      </c>
      <c r="B791">
        <v>16632910</v>
      </c>
      <c r="C791">
        <v>16632882</v>
      </c>
      <c r="D791">
        <v>15162883</v>
      </c>
      <c r="E791">
        <v>17</v>
      </c>
      <c r="F791">
        <v>1</v>
      </c>
      <c r="G791">
        <v>1</v>
      </c>
      <c r="H791">
        <v>3</v>
      </c>
      <c r="I791" t="s">
        <v>1715</v>
      </c>
      <c r="J791" t="s">
        <v>6</v>
      </c>
      <c r="K791" t="s">
        <v>1716</v>
      </c>
      <c r="L791">
        <v>1354</v>
      </c>
      <c r="N791">
        <v>1010</v>
      </c>
      <c r="O791" t="s">
        <v>132</v>
      </c>
      <c r="P791" t="s">
        <v>132</v>
      </c>
      <c r="Q791">
        <v>1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1</v>
      </c>
      <c r="AD791">
        <v>0</v>
      </c>
      <c r="AE791">
        <v>0</v>
      </c>
      <c r="AF791" t="s">
        <v>6</v>
      </c>
      <c r="AG791">
        <v>0</v>
      </c>
      <c r="AH791">
        <v>3</v>
      </c>
      <c r="AI791">
        <v>-1</v>
      </c>
      <c r="AJ791" t="s">
        <v>6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 x14ac:dyDescent="0.2">
      <c r="A792">
        <f>ROW(Source!A395)</f>
        <v>395</v>
      </c>
      <c r="B792">
        <v>16632911</v>
      </c>
      <c r="C792">
        <v>16632882</v>
      </c>
      <c r="D792">
        <v>15163115</v>
      </c>
      <c r="E792">
        <v>17</v>
      </c>
      <c r="F792">
        <v>1</v>
      </c>
      <c r="G792">
        <v>1</v>
      </c>
      <c r="H792">
        <v>3</v>
      </c>
      <c r="I792" t="s">
        <v>1717</v>
      </c>
      <c r="J792" t="s">
        <v>6</v>
      </c>
      <c r="K792" t="s">
        <v>1718</v>
      </c>
      <c r="L792">
        <v>1346</v>
      </c>
      <c r="N792">
        <v>1009</v>
      </c>
      <c r="O792" t="s">
        <v>102</v>
      </c>
      <c r="P792" t="s">
        <v>102</v>
      </c>
      <c r="Q792">
        <v>1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1</v>
      </c>
      <c r="AD792">
        <v>0</v>
      </c>
      <c r="AE792">
        <v>0</v>
      </c>
      <c r="AF792" t="s">
        <v>6</v>
      </c>
      <c r="AG792">
        <v>0</v>
      </c>
      <c r="AH792">
        <v>3</v>
      </c>
      <c r="AI792">
        <v>-1</v>
      </c>
      <c r="AJ792" t="s">
        <v>6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 x14ac:dyDescent="0.2">
      <c r="A793">
        <f>ROW(Source!A395)</f>
        <v>395</v>
      </c>
      <c r="B793">
        <v>16632912</v>
      </c>
      <c r="C793">
        <v>16632882</v>
      </c>
      <c r="D793">
        <v>15162898</v>
      </c>
      <c r="E793">
        <v>17</v>
      </c>
      <c r="F793">
        <v>1</v>
      </c>
      <c r="G793">
        <v>1</v>
      </c>
      <c r="H793">
        <v>3</v>
      </c>
      <c r="I793" t="s">
        <v>1752</v>
      </c>
      <c r="J793" t="s">
        <v>6</v>
      </c>
      <c r="K793" t="s">
        <v>1753</v>
      </c>
      <c r="L793">
        <v>1301</v>
      </c>
      <c r="N793">
        <v>1003</v>
      </c>
      <c r="O793" t="s">
        <v>150</v>
      </c>
      <c r="P793" t="s">
        <v>150</v>
      </c>
      <c r="Q793">
        <v>1</v>
      </c>
      <c r="X793">
        <v>89.9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 t="s">
        <v>6</v>
      </c>
      <c r="AG793">
        <v>89.9</v>
      </c>
      <c r="AH793">
        <v>3</v>
      </c>
      <c r="AI793">
        <v>-1</v>
      </c>
      <c r="AJ793" t="s">
        <v>6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 x14ac:dyDescent="0.2">
      <c r="A794">
        <f>ROW(Source!A395)</f>
        <v>395</v>
      </c>
      <c r="B794">
        <v>16632913</v>
      </c>
      <c r="C794">
        <v>16632882</v>
      </c>
      <c r="D794">
        <v>15163160</v>
      </c>
      <c r="E794">
        <v>17</v>
      </c>
      <c r="F794">
        <v>1</v>
      </c>
      <c r="G794">
        <v>1</v>
      </c>
      <c r="H794">
        <v>3</v>
      </c>
      <c r="I794" t="s">
        <v>1754</v>
      </c>
      <c r="J794" t="s">
        <v>6</v>
      </c>
      <c r="K794" t="s">
        <v>1755</v>
      </c>
      <c r="L794">
        <v>1354</v>
      </c>
      <c r="N794">
        <v>1010</v>
      </c>
      <c r="O794" t="s">
        <v>132</v>
      </c>
      <c r="P794" t="s">
        <v>132</v>
      </c>
      <c r="Q794">
        <v>1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1</v>
      </c>
      <c r="AD794">
        <v>0</v>
      </c>
      <c r="AE794">
        <v>0</v>
      </c>
      <c r="AF794" t="s">
        <v>6</v>
      </c>
      <c r="AG794">
        <v>0</v>
      </c>
      <c r="AH794">
        <v>3</v>
      </c>
      <c r="AI794">
        <v>-1</v>
      </c>
      <c r="AJ794" t="s">
        <v>6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 x14ac:dyDescent="0.2">
      <c r="A795">
        <f>ROW(Source!A398)</f>
        <v>398</v>
      </c>
      <c r="B795">
        <v>16632931</v>
      </c>
      <c r="C795">
        <v>16632916</v>
      </c>
      <c r="D795">
        <v>15446300</v>
      </c>
      <c r="E795">
        <v>1</v>
      </c>
      <c r="F795">
        <v>1</v>
      </c>
      <c r="G795">
        <v>1</v>
      </c>
      <c r="H795">
        <v>1</v>
      </c>
      <c r="I795" t="s">
        <v>1220</v>
      </c>
      <c r="J795" t="s">
        <v>6</v>
      </c>
      <c r="K795" t="s">
        <v>1221</v>
      </c>
      <c r="L795">
        <v>1191</v>
      </c>
      <c r="N795">
        <v>1013</v>
      </c>
      <c r="O795" t="s">
        <v>1148</v>
      </c>
      <c r="P795" t="s">
        <v>1148</v>
      </c>
      <c r="Q795">
        <v>1</v>
      </c>
      <c r="X795">
        <v>149.63999999999999</v>
      </c>
      <c r="Y795">
        <v>0</v>
      </c>
      <c r="Z795">
        <v>0</v>
      </c>
      <c r="AA795">
        <v>0</v>
      </c>
      <c r="AB795">
        <v>9.92</v>
      </c>
      <c r="AC795">
        <v>0</v>
      </c>
      <c r="AD795">
        <v>1</v>
      </c>
      <c r="AE795">
        <v>1</v>
      </c>
      <c r="AF795" t="s">
        <v>82</v>
      </c>
      <c r="AG795">
        <v>172.08599999999998</v>
      </c>
      <c r="AH795">
        <v>2</v>
      </c>
      <c r="AI795">
        <v>16632917</v>
      </c>
      <c r="AJ795">
        <v>789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 x14ac:dyDescent="0.2">
      <c r="A796">
        <f>ROW(Source!A398)</f>
        <v>398</v>
      </c>
      <c r="B796">
        <v>16632932</v>
      </c>
      <c r="C796">
        <v>16632916</v>
      </c>
      <c r="D796">
        <v>15430395</v>
      </c>
      <c r="E796">
        <v>1</v>
      </c>
      <c r="F796">
        <v>1</v>
      </c>
      <c r="G796">
        <v>1</v>
      </c>
      <c r="H796">
        <v>1</v>
      </c>
      <c r="I796" t="s">
        <v>1149</v>
      </c>
      <c r="J796" t="s">
        <v>6</v>
      </c>
      <c r="K796" t="s">
        <v>1150</v>
      </c>
      <c r="L796">
        <v>1191</v>
      </c>
      <c r="N796">
        <v>1013</v>
      </c>
      <c r="O796" t="s">
        <v>1148</v>
      </c>
      <c r="P796" t="s">
        <v>1148</v>
      </c>
      <c r="Q796">
        <v>1</v>
      </c>
      <c r="X796">
        <v>8.42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1</v>
      </c>
      <c r="AE796">
        <v>2</v>
      </c>
      <c r="AF796" t="s">
        <v>81</v>
      </c>
      <c r="AG796">
        <v>10.525</v>
      </c>
      <c r="AH796">
        <v>2</v>
      </c>
      <c r="AI796">
        <v>16632918</v>
      </c>
      <c r="AJ796">
        <v>790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 x14ac:dyDescent="0.2">
      <c r="A797">
        <f>ROW(Source!A398)</f>
        <v>398</v>
      </c>
      <c r="B797">
        <v>16632933</v>
      </c>
      <c r="C797">
        <v>16632916</v>
      </c>
      <c r="D797">
        <v>15247578</v>
      </c>
      <c r="E797">
        <v>1</v>
      </c>
      <c r="F797">
        <v>1</v>
      </c>
      <c r="G797">
        <v>1</v>
      </c>
      <c r="H797">
        <v>2</v>
      </c>
      <c r="I797" t="s">
        <v>1246</v>
      </c>
      <c r="J797" t="s">
        <v>1247</v>
      </c>
      <c r="K797" t="s">
        <v>1248</v>
      </c>
      <c r="L797">
        <v>1368</v>
      </c>
      <c r="N797">
        <v>1011</v>
      </c>
      <c r="O797" t="s">
        <v>1154</v>
      </c>
      <c r="P797" t="s">
        <v>1154</v>
      </c>
      <c r="Q797">
        <v>1</v>
      </c>
      <c r="X797">
        <v>0.05</v>
      </c>
      <c r="Y797">
        <v>0</v>
      </c>
      <c r="Z797">
        <v>86.4</v>
      </c>
      <c r="AA797">
        <v>13.5</v>
      </c>
      <c r="AB797">
        <v>0</v>
      </c>
      <c r="AC797">
        <v>0</v>
      </c>
      <c r="AD797">
        <v>1</v>
      </c>
      <c r="AE797">
        <v>0</v>
      </c>
      <c r="AF797" t="s">
        <v>81</v>
      </c>
      <c r="AG797">
        <v>6.25E-2</v>
      </c>
      <c r="AH797">
        <v>2</v>
      </c>
      <c r="AI797">
        <v>16632919</v>
      </c>
      <c r="AJ797">
        <v>791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 x14ac:dyDescent="0.2">
      <c r="A798">
        <f>ROW(Source!A398)</f>
        <v>398</v>
      </c>
      <c r="B798">
        <v>16632934</v>
      </c>
      <c r="C798">
        <v>16632916</v>
      </c>
      <c r="D798">
        <v>15247680</v>
      </c>
      <c r="E798">
        <v>1</v>
      </c>
      <c r="F798">
        <v>1</v>
      </c>
      <c r="G798">
        <v>1</v>
      </c>
      <c r="H798">
        <v>2</v>
      </c>
      <c r="I798" t="s">
        <v>1419</v>
      </c>
      <c r="J798" t="s">
        <v>1420</v>
      </c>
      <c r="K798" t="s">
        <v>1421</v>
      </c>
      <c r="L798">
        <v>1368</v>
      </c>
      <c r="N798">
        <v>1011</v>
      </c>
      <c r="O798" t="s">
        <v>1154</v>
      </c>
      <c r="P798" t="s">
        <v>1154</v>
      </c>
      <c r="Q798">
        <v>1</v>
      </c>
      <c r="X798">
        <v>0.03</v>
      </c>
      <c r="Y798">
        <v>0</v>
      </c>
      <c r="Z798">
        <v>111.99</v>
      </c>
      <c r="AA798">
        <v>13.5</v>
      </c>
      <c r="AB798">
        <v>0</v>
      </c>
      <c r="AC798">
        <v>0</v>
      </c>
      <c r="AD798">
        <v>1</v>
      </c>
      <c r="AE798">
        <v>0</v>
      </c>
      <c r="AF798" t="s">
        <v>81</v>
      </c>
      <c r="AG798">
        <v>3.7499999999999999E-2</v>
      </c>
      <c r="AH798">
        <v>2</v>
      </c>
      <c r="AI798">
        <v>16632920</v>
      </c>
      <c r="AJ798">
        <v>792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 x14ac:dyDescent="0.2">
      <c r="A799">
        <f>ROW(Source!A398)</f>
        <v>398</v>
      </c>
      <c r="B799">
        <v>16632935</v>
      </c>
      <c r="C799">
        <v>16632916</v>
      </c>
      <c r="D799">
        <v>15249073</v>
      </c>
      <c r="E799">
        <v>1</v>
      </c>
      <c r="F799">
        <v>1</v>
      </c>
      <c r="G799">
        <v>1</v>
      </c>
      <c r="H799">
        <v>2</v>
      </c>
      <c r="I799" t="s">
        <v>1157</v>
      </c>
      <c r="J799" t="s">
        <v>1158</v>
      </c>
      <c r="K799" t="s">
        <v>1159</v>
      </c>
      <c r="L799">
        <v>1368</v>
      </c>
      <c r="N799">
        <v>1011</v>
      </c>
      <c r="O799" t="s">
        <v>1154</v>
      </c>
      <c r="P799" t="s">
        <v>1154</v>
      </c>
      <c r="Q799">
        <v>1</v>
      </c>
      <c r="X799">
        <v>0.22</v>
      </c>
      <c r="Y799">
        <v>0</v>
      </c>
      <c r="Z799">
        <v>65.709999999999994</v>
      </c>
      <c r="AA799">
        <v>11.6</v>
      </c>
      <c r="AB799">
        <v>0</v>
      </c>
      <c r="AC799">
        <v>0</v>
      </c>
      <c r="AD799">
        <v>1</v>
      </c>
      <c r="AE799">
        <v>0</v>
      </c>
      <c r="AF799" t="s">
        <v>81</v>
      </c>
      <c r="AG799">
        <v>0.27500000000000002</v>
      </c>
      <c r="AH799">
        <v>2</v>
      </c>
      <c r="AI799">
        <v>16632921</v>
      </c>
      <c r="AJ799">
        <v>793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 x14ac:dyDescent="0.2">
      <c r="A800">
        <f>ROW(Source!A398)</f>
        <v>398</v>
      </c>
      <c r="B800">
        <v>16632936</v>
      </c>
      <c r="C800">
        <v>16632916</v>
      </c>
      <c r="D800">
        <v>15249291</v>
      </c>
      <c r="E800">
        <v>1</v>
      </c>
      <c r="F800">
        <v>1</v>
      </c>
      <c r="G800">
        <v>1</v>
      </c>
      <c r="H800">
        <v>2</v>
      </c>
      <c r="I800" t="s">
        <v>1650</v>
      </c>
      <c r="J800" t="s">
        <v>1651</v>
      </c>
      <c r="K800" t="s">
        <v>1652</v>
      </c>
      <c r="L800">
        <v>1368</v>
      </c>
      <c r="N800">
        <v>1011</v>
      </c>
      <c r="O800" t="s">
        <v>1154</v>
      </c>
      <c r="P800" t="s">
        <v>1154</v>
      </c>
      <c r="Q800">
        <v>1</v>
      </c>
      <c r="X800">
        <v>8.1199999999999992</v>
      </c>
      <c r="Y800">
        <v>0</v>
      </c>
      <c r="Z800">
        <v>100.1</v>
      </c>
      <c r="AA800">
        <v>13.5</v>
      </c>
      <c r="AB800">
        <v>0</v>
      </c>
      <c r="AC800">
        <v>0</v>
      </c>
      <c r="AD800">
        <v>1</v>
      </c>
      <c r="AE800">
        <v>0</v>
      </c>
      <c r="AF800" t="s">
        <v>81</v>
      </c>
      <c r="AG800">
        <v>10.149999999999999</v>
      </c>
      <c r="AH800">
        <v>2</v>
      </c>
      <c r="AI800">
        <v>16632922</v>
      </c>
      <c r="AJ800">
        <v>794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 x14ac:dyDescent="0.2">
      <c r="A801">
        <f>ROW(Source!A398)</f>
        <v>398</v>
      </c>
      <c r="B801">
        <v>16632937</v>
      </c>
      <c r="C801">
        <v>16632916</v>
      </c>
      <c r="D801">
        <v>15166105</v>
      </c>
      <c r="E801">
        <v>1</v>
      </c>
      <c r="F801">
        <v>1</v>
      </c>
      <c r="G801">
        <v>1</v>
      </c>
      <c r="H801">
        <v>3</v>
      </c>
      <c r="I801" t="s">
        <v>1653</v>
      </c>
      <c r="J801" t="s">
        <v>1654</v>
      </c>
      <c r="K801" t="s">
        <v>1655</v>
      </c>
      <c r="L801">
        <v>1346</v>
      </c>
      <c r="N801">
        <v>1009</v>
      </c>
      <c r="O801" t="s">
        <v>102</v>
      </c>
      <c r="P801" t="s">
        <v>102</v>
      </c>
      <c r="Q801">
        <v>1</v>
      </c>
      <c r="X801">
        <v>0.25</v>
      </c>
      <c r="Y801">
        <v>11.8</v>
      </c>
      <c r="Z801">
        <v>0</v>
      </c>
      <c r="AA801">
        <v>0</v>
      </c>
      <c r="AB801">
        <v>0</v>
      </c>
      <c r="AC801">
        <v>0</v>
      </c>
      <c r="AD801">
        <v>1</v>
      </c>
      <c r="AE801">
        <v>0</v>
      </c>
      <c r="AF801" t="s">
        <v>6</v>
      </c>
      <c r="AG801">
        <v>0.25</v>
      </c>
      <c r="AH801">
        <v>2</v>
      </c>
      <c r="AI801">
        <v>16632923</v>
      </c>
      <c r="AJ801">
        <v>795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 x14ac:dyDescent="0.2">
      <c r="A802">
        <f>ROW(Source!A398)</f>
        <v>398</v>
      </c>
      <c r="B802">
        <v>16632938</v>
      </c>
      <c r="C802">
        <v>16632916</v>
      </c>
      <c r="D802">
        <v>15167286</v>
      </c>
      <c r="E802">
        <v>1</v>
      </c>
      <c r="F802">
        <v>1</v>
      </c>
      <c r="G802">
        <v>1</v>
      </c>
      <c r="H802">
        <v>3</v>
      </c>
      <c r="I802" t="s">
        <v>1265</v>
      </c>
      <c r="J802" t="s">
        <v>1266</v>
      </c>
      <c r="K802" t="s">
        <v>1267</v>
      </c>
      <c r="L802">
        <v>1339</v>
      </c>
      <c r="N802">
        <v>1007</v>
      </c>
      <c r="O802" t="s">
        <v>203</v>
      </c>
      <c r="P802" t="s">
        <v>203</v>
      </c>
      <c r="Q802">
        <v>1</v>
      </c>
      <c r="X802">
        <v>0.74</v>
      </c>
      <c r="Y802">
        <v>2.44</v>
      </c>
      <c r="Z802">
        <v>0</v>
      </c>
      <c r="AA802">
        <v>0</v>
      </c>
      <c r="AB802">
        <v>0</v>
      </c>
      <c r="AC802">
        <v>0</v>
      </c>
      <c r="AD802">
        <v>1</v>
      </c>
      <c r="AE802">
        <v>0</v>
      </c>
      <c r="AF802" t="s">
        <v>6</v>
      </c>
      <c r="AG802">
        <v>0.74</v>
      </c>
      <c r="AH802">
        <v>2</v>
      </c>
      <c r="AI802">
        <v>16632924</v>
      </c>
      <c r="AJ802">
        <v>796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 x14ac:dyDescent="0.2">
      <c r="A803">
        <f>ROW(Source!A398)</f>
        <v>398</v>
      </c>
      <c r="B803">
        <v>16632939</v>
      </c>
      <c r="C803">
        <v>16632916</v>
      </c>
      <c r="D803">
        <v>15167787</v>
      </c>
      <c r="E803">
        <v>1</v>
      </c>
      <c r="F803">
        <v>1</v>
      </c>
      <c r="G803">
        <v>1</v>
      </c>
      <c r="H803">
        <v>3</v>
      </c>
      <c r="I803" t="s">
        <v>1656</v>
      </c>
      <c r="J803" t="s">
        <v>1657</v>
      </c>
      <c r="K803" t="s">
        <v>1658</v>
      </c>
      <c r="L803">
        <v>1356</v>
      </c>
      <c r="N803">
        <v>1010</v>
      </c>
      <c r="O803" t="s">
        <v>278</v>
      </c>
      <c r="P803" t="s">
        <v>278</v>
      </c>
      <c r="Q803">
        <v>1000</v>
      </c>
      <c r="X803">
        <v>6.9000000000000006E-2</v>
      </c>
      <c r="Y803">
        <v>253.8</v>
      </c>
      <c r="Z803">
        <v>0</v>
      </c>
      <c r="AA803">
        <v>0</v>
      </c>
      <c r="AB803">
        <v>0</v>
      </c>
      <c r="AC803">
        <v>0</v>
      </c>
      <c r="AD803">
        <v>1</v>
      </c>
      <c r="AE803">
        <v>0</v>
      </c>
      <c r="AF803" t="s">
        <v>6</v>
      </c>
      <c r="AG803">
        <v>6.9000000000000006E-2</v>
      </c>
      <c r="AH803">
        <v>2</v>
      </c>
      <c r="AI803">
        <v>16632925</v>
      </c>
      <c r="AJ803">
        <v>797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 x14ac:dyDescent="0.2">
      <c r="A804">
        <f>ROW(Source!A398)</f>
        <v>398</v>
      </c>
      <c r="B804">
        <v>16632940</v>
      </c>
      <c r="C804">
        <v>16632916</v>
      </c>
      <c r="D804">
        <v>15170090</v>
      </c>
      <c r="E804">
        <v>1</v>
      </c>
      <c r="F804">
        <v>1</v>
      </c>
      <c r="G804">
        <v>1</v>
      </c>
      <c r="H804">
        <v>3</v>
      </c>
      <c r="I804" t="s">
        <v>1659</v>
      </c>
      <c r="J804" t="s">
        <v>1660</v>
      </c>
      <c r="K804" t="s">
        <v>1661</v>
      </c>
      <c r="L804">
        <v>1348</v>
      </c>
      <c r="N804">
        <v>1009</v>
      </c>
      <c r="O804" t="s">
        <v>98</v>
      </c>
      <c r="P804" t="s">
        <v>98</v>
      </c>
      <c r="Q804">
        <v>1000</v>
      </c>
      <c r="X804">
        <v>5.9000000000000003E-4</v>
      </c>
      <c r="Y804">
        <v>22558</v>
      </c>
      <c r="Z804">
        <v>0</v>
      </c>
      <c r="AA804">
        <v>0</v>
      </c>
      <c r="AB804">
        <v>0</v>
      </c>
      <c r="AC804">
        <v>0</v>
      </c>
      <c r="AD804">
        <v>1</v>
      </c>
      <c r="AE804">
        <v>0</v>
      </c>
      <c r="AF804" t="s">
        <v>6</v>
      </c>
      <c r="AG804">
        <v>5.9000000000000003E-4</v>
      </c>
      <c r="AH804">
        <v>2</v>
      </c>
      <c r="AI804">
        <v>16632926</v>
      </c>
      <c r="AJ804">
        <v>798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 x14ac:dyDescent="0.2">
      <c r="A805">
        <f>ROW(Source!A398)</f>
        <v>398</v>
      </c>
      <c r="B805">
        <v>16632941</v>
      </c>
      <c r="C805">
        <v>16632916</v>
      </c>
      <c r="D805">
        <v>15172018</v>
      </c>
      <c r="E805">
        <v>1</v>
      </c>
      <c r="F805">
        <v>1</v>
      </c>
      <c r="G805">
        <v>1</v>
      </c>
      <c r="H805">
        <v>3</v>
      </c>
      <c r="I805" t="s">
        <v>1539</v>
      </c>
      <c r="J805" t="s">
        <v>1540</v>
      </c>
      <c r="K805" t="s">
        <v>1541</v>
      </c>
      <c r="L805">
        <v>1346</v>
      </c>
      <c r="N805">
        <v>1009</v>
      </c>
      <c r="O805" t="s">
        <v>102</v>
      </c>
      <c r="P805" t="s">
        <v>102</v>
      </c>
      <c r="Q805">
        <v>1</v>
      </c>
      <c r="X805">
        <v>2.5000000000000001E-3</v>
      </c>
      <c r="Y805">
        <v>2.15</v>
      </c>
      <c r="Z805">
        <v>0</v>
      </c>
      <c r="AA805">
        <v>0</v>
      </c>
      <c r="AB805">
        <v>0</v>
      </c>
      <c r="AC805">
        <v>0</v>
      </c>
      <c r="AD805">
        <v>1</v>
      </c>
      <c r="AE805">
        <v>0</v>
      </c>
      <c r="AF805" t="s">
        <v>6</v>
      </c>
      <c r="AG805">
        <v>2.5000000000000001E-3</v>
      </c>
      <c r="AH805">
        <v>2</v>
      </c>
      <c r="AI805">
        <v>16632927</v>
      </c>
      <c r="AJ805">
        <v>799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 x14ac:dyDescent="0.2">
      <c r="A806">
        <f>ROW(Source!A398)</f>
        <v>398</v>
      </c>
      <c r="B806">
        <v>16632942</v>
      </c>
      <c r="C806">
        <v>16632916</v>
      </c>
      <c r="D806">
        <v>15161686</v>
      </c>
      <c r="E806">
        <v>17</v>
      </c>
      <c r="F806">
        <v>1</v>
      </c>
      <c r="G806">
        <v>1</v>
      </c>
      <c r="H806">
        <v>3</v>
      </c>
      <c r="I806" t="s">
        <v>1683</v>
      </c>
      <c r="J806" t="s">
        <v>6</v>
      </c>
      <c r="K806" t="s">
        <v>1751</v>
      </c>
      <c r="L806">
        <v>1346</v>
      </c>
      <c r="N806">
        <v>1009</v>
      </c>
      <c r="O806" t="s">
        <v>102</v>
      </c>
      <c r="P806" t="s">
        <v>102</v>
      </c>
      <c r="Q806">
        <v>1</v>
      </c>
      <c r="X806">
        <v>0.38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 t="s">
        <v>6</v>
      </c>
      <c r="AG806">
        <v>0.38</v>
      </c>
      <c r="AH806">
        <v>3</v>
      </c>
      <c r="AI806">
        <v>-1</v>
      </c>
      <c r="AJ806" t="s">
        <v>6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 x14ac:dyDescent="0.2">
      <c r="A807">
        <f>ROW(Source!A398)</f>
        <v>398</v>
      </c>
      <c r="B807">
        <v>16632943</v>
      </c>
      <c r="C807">
        <v>16632916</v>
      </c>
      <c r="D807">
        <v>15202502</v>
      </c>
      <c r="E807">
        <v>1</v>
      </c>
      <c r="F807">
        <v>1</v>
      </c>
      <c r="G807">
        <v>1</v>
      </c>
      <c r="H807">
        <v>3</v>
      </c>
      <c r="I807" t="s">
        <v>1662</v>
      </c>
      <c r="J807" t="s">
        <v>1663</v>
      </c>
      <c r="K807" t="s">
        <v>1664</v>
      </c>
      <c r="L807">
        <v>1346</v>
      </c>
      <c r="N807">
        <v>1009</v>
      </c>
      <c r="O807" t="s">
        <v>102</v>
      </c>
      <c r="P807" t="s">
        <v>102</v>
      </c>
      <c r="Q807">
        <v>1</v>
      </c>
      <c r="X807">
        <v>0.2</v>
      </c>
      <c r="Y807">
        <v>28.93</v>
      </c>
      <c r="Z807">
        <v>0</v>
      </c>
      <c r="AA807">
        <v>0</v>
      </c>
      <c r="AB807">
        <v>0</v>
      </c>
      <c r="AC807">
        <v>0</v>
      </c>
      <c r="AD807">
        <v>1</v>
      </c>
      <c r="AE807">
        <v>0</v>
      </c>
      <c r="AF807" t="s">
        <v>6</v>
      </c>
      <c r="AG807">
        <v>0.2</v>
      </c>
      <c r="AH807">
        <v>2</v>
      </c>
      <c r="AI807">
        <v>16632928</v>
      </c>
      <c r="AJ807">
        <v>800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 x14ac:dyDescent="0.2">
      <c r="A808">
        <f>ROW(Source!A398)</f>
        <v>398</v>
      </c>
      <c r="B808">
        <v>16632944</v>
      </c>
      <c r="C808">
        <v>16632916</v>
      </c>
      <c r="D808">
        <v>15162883</v>
      </c>
      <c r="E808">
        <v>17</v>
      </c>
      <c r="F808">
        <v>1</v>
      </c>
      <c r="G808">
        <v>1</v>
      </c>
      <c r="H808">
        <v>3</v>
      </c>
      <c r="I808" t="s">
        <v>1715</v>
      </c>
      <c r="J808" t="s">
        <v>6</v>
      </c>
      <c r="K808" t="s">
        <v>1716</v>
      </c>
      <c r="L808">
        <v>1354</v>
      </c>
      <c r="N808">
        <v>1010</v>
      </c>
      <c r="O808" t="s">
        <v>132</v>
      </c>
      <c r="P808" t="s">
        <v>132</v>
      </c>
      <c r="Q808">
        <v>1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1</v>
      </c>
      <c r="AD808">
        <v>0</v>
      </c>
      <c r="AE808">
        <v>0</v>
      </c>
      <c r="AF808" t="s">
        <v>6</v>
      </c>
      <c r="AG808">
        <v>0</v>
      </c>
      <c r="AH808">
        <v>3</v>
      </c>
      <c r="AI808">
        <v>-1</v>
      </c>
      <c r="AJ808" t="s">
        <v>6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 x14ac:dyDescent="0.2">
      <c r="A809">
        <f>ROW(Source!A398)</f>
        <v>398</v>
      </c>
      <c r="B809">
        <v>16632945</v>
      </c>
      <c r="C809">
        <v>16632916</v>
      </c>
      <c r="D809">
        <v>15163115</v>
      </c>
      <c r="E809">
        <v>17</v>
      </c>
      <c r="F809">
        <v>1</v>
      </c>
      <c r="G809">
        <v>1</v>
      </c>
      <c r="H809">
        <v>3</v>
      </c>
      <c r="I809" t="s">
        <v>1717</v>
      </c>
      <c r="J809" t="s">
        <v>6</v>
      </c>
      <c r="K809" t="s">
        <v>1718</v>
      </c>
      <c r="L809">
        <v>1346</v>
      </c>
      <c r="N809">
        <v>1009</v>
      </c>
      <c r="O809" t="s">
        <v>102</v>
      </c>
      <c r="P809" t="s">
        <v>102</v>
      </c>
      <c r="Q809">
        <v>1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1</v>
      </c>
      <c r="AD809">
        <v>0</v>
      </c>
      <c r="AE809">
        <v>0</v>
      </c>
      <c r="AF809" t="s">
        <v>6</v>
      </c>
      <c r="AG809">
        <v>0</v>
      </c>
      <c r="AH809">
        <v>3</v>
      </c>
      <c r="AI809">
        <v>-1</v>
      </c>
      <c r="AJ809" t="s">
        <v>6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 x14ac:dyDescent="0.2">
      <c r="A810">
        <f>ROW(Source!A398)</f>
        <v>398</v>
      </c>
      <c r="B810">
        <v>16632946</v>
      </c>
      <c r="C810">
        <v>16632916</v>
      </c>
      <c r="D810">
        <v>15162898</v>
      </c>
      <c r="E810">
        <v>17</v>
      </c>
      <c r="F810">
        <v>1</v>
      </c>
      <c r="G810">
        <v>1</v>
      </c>
      <c r="H810">
        <v>3</v>
      </c>
      <c r="I810" t="s">
        <v>1752</v>
      </c>
      <c r="J810" t="s">
        <v>6</v>
      </c>
      <c r="K810" t="s">
        <v>1753</v>
      </c>
      <c r="L810">
        <v>1301</v>
      </c>
      <c r="N810">
        <v>1003</v>
      </c>
      <c r="O810" t="s">
        <v>150</v>
      </c>
      <c r="P810" t="s">
        <v>150</v>
      </c>
      <c r="Q810">
        <v>1</v>
      </c>
      <c r="X810">
        <v>92.9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 t="s">
        <v>6</v>
      </c>
      <c r="AG810">
        <v>92.9</v>
      </c>
      <c r="AH810">
        <v>3</v>
      </c>
      <c r="AI810">
        <v>-1</v>
      </c>
      <c r="AJ810" t="s">
        <v>6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 x14ac:dyDescent="0.2">
      <c r="A811">
        <f>ROW(Source!A398)</f>
        <v>398</v>
      </c>
      <c r="B811">
        <v>16632947</v>
      </c>
      <c r="C811">
        <v>16632916</v>
      </c>
      <c r="D811">
        <v>15163160</v>
      </c>
      <c r="E811">
        <v>17</v>
      </c>
      <c r="F811">
        <v>1</v>
      </c>
      <c r="G811">
        <v>1</v>
      </c>
      <c r="H811">
        <v>3</v>
      </c>
      <c r="I811" t="s">
        <v>1754</v>
      </c>
      <c r="J811" t="s">
        <v>6</v>
      </c>
      <c r="K811" t="s">
        <v>1755</v>
      </c>
      <c r="L811">
        <v>1354</v>
      </c>
      <c r="N811">
        <v>1010</v>
      </c>
      <c r="O811" t="s">
        <v>132</v>
      </c>
      <c r="P811" t="s">
        <v>132</v>
      </c>
      <c r="Q811">
        <v>1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1</v>
      </c>
      <c r="AD811">
        <v>0</v>
      </c>
      <c r="AE811">
        <v>0</v>
      </c>
      <c r="AF811" t="s">
        <v>6</v>
      </c>
      <c r="AG811">
        <v>0</v>
      </c>
      <c r="AH811">
        <v>3</v>
      </c>
      <c r="AI811">
        <v>-1</v>
      </c>
      <c r="AJ811" t="s">
        <v>6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 x14ac:dyDescent="0.2">
      <c r="A812">
        <f>ROW(Source!A401)</f>
        <v>401</v>
      </c>
      <c r="B812">
        <v>16632965</v>
      </c>
      <c r="C812">
        <v>16632950</v>
      </c>
      <c r="D812">
        <v>15446300</v>
      </c>
      <c r="E812">
        <v>1</v>
      </c>
      <c r="F812">
        <v>1</v>
      </c>
      <c r="G812">
        <v>1</v>
      </c>
      <c r="H812">
        <v>1</v>
      </c>
      <c r="I812" t="s">
        <v>1220</v>
      </c>
      <c r="J812" t="s">
        <v>6</v>
      </c>
      <c r="K812" t="s">
        <v>1221</v>
      </c>
      <c r="L812">
        <v>1191</v>
      </c>
      <c r="N812">
        <v>1013</v>
      </c>
      <c r="O812" t="s">
        <v>1148</v>
      </c>
      <c r="P812" t="s">
        <v>1148</v>
      </c>
      <c r="Q812">
        <v>1</v>
      </c>
      <c r="X812">
        <v>121.8</v>
      </c>
      <c r="Y812">
        <v>0</v>
      </c>
      <c r="Z812">
        <v>0</v>
      </c>
      <c r="AA812">
        <v>0</v>
      </c>
      <c r="AB812">
        <v>9.92</v>
      </c>
      <c r="AC812">
        <v>0</v>
      </c>
      <c r="AD812">
        <v>1</v>
      </c>
      <c r="AE812">
        <v>1</v>
      </c>
      <c r="AF812" t="s">
        <v>82</v>
      </c>
      <c r="AG812">
        <v>140.07</v>
      </c>
      <c r="AH812">
        <v>2</v>
      </c>
      <c r="AI812">
        <v>16632951</v>
      </c>
      <c r="AJ812">
        <v>803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 x14ac:dyDescent="0.2">
      <c r="A813">
        <f>ROW(Source!A401)</f>
        <v>401</v>
      </c>
      <c r="B813">
        <v>16632966</v>
      </c>
      <c r="C813">
        <v>16632950</v>
      </c>
      <c r="D813">
        <v>15430395</v>
      </c>
      <c r="E813">
        <v>1</v>
      </c>
      <c r="F813">
        <v>1</v>
      </c>
      <c r="G813">
        <v>1</v>
      </c>
      <c r="H813">
        <v>1</v>
      </c>
      <c r="I813" t="s">
        <v>1149</v>
      </c>
      <c r="J813" t="s">
        <v>6</v>
      </c>
      <c r="K813" t="s">
        <v>1150</v>
      </c>
      <c r="L813">
        <v>1191</v>
      </c>
      <c r="N813">
        <v>1013</v>
      </c>
      <c r="O813" t="s">
        <v>1148</v>
      </c>
      <c r="P813" t="s">
        <v>1148</v>
      </c>
      <c r="Q813">
        <v>1</v>
      </c>
      <c r="X813">
        <v>4.9400000000000004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1</v>
      </c>
      <c r="AE813">
        <v>2</v>
      </c>
      <c r="AF813" t="s">
        <v>81</v>
      </c>
      <c r="AG813">
        <v>6.1750000000000007</v>
      </c>
      <c r="AH813">
        <v>2</v>
      </c>
      <c r="AI813">
        <v>16632952</v>
      </c>
      <c r="AJ813">
        <v>804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 x14ac:dyDescent="0.2">
      <c r="A814">
        <f>ROW(Source!A401)</f>
        <v>401</v>
      </c>
      <c r="B814">
        <v>16632967</v>
      </c>
      <c r="C814">
        <v>16632950</v>
      </c>
      <c r="D814">
        <v>15247578</v>
      </c>
      <c r="E814">
        <v>1</v>
      </c>
      <c r="F814">
        <v>1</v>
      </c>
      <c r="G814">
        <v>1</v>
      </c>
      <c r="H814">
        <v>2</v>
      </c>
      <c r="I814" t="s">
        <v>1246</v>
      </c>
      <c r="J814" t="s">
        <v>1247</v>
      </c>
      <c r="K814" t="s">
        <v>1248</v>
      </c>
      <c r="L814">
        <v>1368</v>
      </c>
      <c r="N814">
        <v>1011</v>
      </c>
      <c r="O814" t="s">
        <v>1154</v>
      </c>
      <c r="P814" t="s">
        <v>1154</v>
      </c>
      <c r="Q814">
        <v>1</v>
      </c>
      <c r="X814">
        <v>0.05</v>
      </c>
      <c r="Y814">
        <v>0</v>
      </c>
      <c r="Z814">
        <v>86.4</v>
      </c>
      <c r="AA814">
        <v>13.5</v>
      </c>
      <c r="AB814">
        <v>0</v>
      </c>
      <c r="AC814">
        <v>0</v>
      </c>
      <c r="AD814">
        <v>1</v>
      </c>
      <c r="AE814">
        <v>0</v>
      </c>
      <c r="AF814" t="s">
        <v>81</v>
      </c>
      <c r="AG814">
        <v>6.25E-2</v>
      </c>
      <c r="AH814">
        <v>2</v>
      </c>
      <c r="AI814">
        <v>16632953</v>
      </c>
      <c r="AJ814">
        <v>805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 x14ac:dyDescent="0.2">
      <c r="A815">
        <f>ROW(Source!A401)</f>
        <v>401</v>
      </c>
      <c r="B815">
        <v>16632968</v>
      </c>
      <c r="C815">
        <v>16632950</v>
      </c>
      <c r="D815">
        <v>15247680</v>
      </c>
      <c r="E815">
        <v>1</v>
      </c>
      <c r="F815">
        <v>1</v>
      </c>
      <c r="G815">
        <v>1</v>
      </c>
      <c r="H815">
        <v>2</v>
      </c>
      <c r="I815" t="s">
        <v>1419</v>
      </c>
      <c r="J815" t="s">
        <v>1420</v>
      </c>
      <c r="K815" t="s">
        <v>1421</v>
      </c>
      <c r="L815">
        <v>1368</v>
      </c>
      <c r="N815">
        <v>1011</v>
      </c>
      <c r="O815" t="s">
        <v>1154</v>
      </c>
      <c r="P815" t="s">
        <v>1154</v>
      </c>
      <c r="Q815">
        <v>1</v>
      </c>
      <c r="X815">
        <v>0.03</v>
      </c>
      <c r="Y815">
        <v>0</v>
      </c>
      <c r="Z815">
        <v>111.99</v>
      </c>
      <c r="AA815">
        <v>13.5</v>
      </c>
      <c r="AB815">
        <v>0</v>
      </c>
      <c r="AC815">
        <v>0</v>
      </c>
      <c r="AD815">
        <v>1</v>
      </c>
      <c r="AE815">
        <v>0</v>
      </c>
      <c r="AF815" t="s">
        <v>81</v>
      </c>
      <c r="AG815">
        <v>3.7499999999999999E-2</v>
      </c>
      <c r="AH815">
        <v>2</v>
      </c>
      <c r="AI815">
        <v>16632954</v>
      </c>
      <c r="AJ815">
        <v>806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 x14ac:dyDescent="0.2">
      <c r="A816">
        <f>ROW(Source!A401)</f>
        <v>401</v>
      </c>
      <c r="B816">
        <v>16632969</v>
      </c>
      <c r="C816">
        <v>16632950</v>
      </c>
      <c r="D816">
        <v>15249073</v>
      </c>
      <c r="E816">
        <v>1</v>
      </c>
      <c r="F816">
        <v>1</v>
      </c>
      <c r="G816">
        <v>1</v>
      </c>
      <c r="H816">
        <v>2</v>
      </c>
      <c r="I816" t="s">
        <v>1157</v>
      </c>
      <c r="J816" t="s">
        <v>1158</v>
      </c>
      <c r="K816" t="s">
        <v>1159</v>
      </c>
      <c r="L816">
        <v>1368</v>
      </c>
      <c r="N816">
        <v>1011</v>
      </c>
      <c r="O816" t="s">
        <v>1154</v>
      </c>
      <c r="P816" t="s">
        <v>1154</v>
      </c>
      <c r="Q816">
        <v>1</v>
      </c>
      <c r="X816">
        <v>0.22</v>
      </c>
      <c r="Y816">
        <v>0</v>
      </c>
      <c r="Z816">
        <v>65.709999999999994</v>
      </c>
      <c r="AA816">
        <v>11.6</v>
      </c>
      <c r="AB816">
        <v>0</v>
      </c>
      <c r="AC816">
        <v>0</v>
      </c>
      <c r="AD816">
        <v>1</v>
      </c>
      <c r="AE816">
        <v>0</v>
      </c>
      <c r="AF816" t="s">
        <v>81</v>
      </c>
      <c r="AG816">
        <v>0.27500000000000002</v>
      </c>
      <c r="AH816">
        <v>2</v>
      </c>
      <c r="AI816">
        <v>16632955</v>
      </c>
      <c r="AJ816">
        <v>807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  <row r="817" spans="1:44" x14ac:dyDescent="0.2">
      <c r="A817">
        <f>ROW(Source!A401)</f>
        <v>401</v>
      </c>
      <c r="B817">
        <v>16632970</v>
      </c>
      <c r="C817">
        <v>16632950</v>
      </c>
      <c r="D817">
        <v>15249291</v>
      </c>
      <c r="E817">
        <v>1</v>
      </c>
      <c r="F817">
        <v>1</v>
      </c>
      <c r="G817">
        <v>1</v>
      </c>
      <c r="H817">
        <v>2</v>
      </c>
      <c r="I817" t="s">
        <v>1650</v>
      </c>
      <c r="J817" t="s">
        <v>1651</v>
      </c>
      <c r="K817" t="s">
        <v>1652</v>
      </c>
      <c r="L817">
        <v>1368</v>
      </c>
      <c r="N817">
        <v>1011</v>
      </c>
      <c r="O817" t="s">
        <v>1154</v>
      </c>
      <c r="P817" t="s">
        <v>1154</v>
      </c>
      <c r="Q817">
        <v>1</v>
      </c>
      <c r="X817">
        <v>4.6399999999999997</v>
      </c>
      <c r="Y817">
        <v>0</v>
      </c>
      <c r="Z817">
        <v>100.1</v>
      </c>
      <c r="AA817">
        <v>13.5</v>
      </c>
      <c r="AB817">
        <v>0</v>
      </c>
      <c r="AC817">
        <v>0</v>
      </c>
      <c r="AD817">
        <v>1</v>
      </c>
      <c r="AE817">
        <v>0</v>
      </c>
      <c r="AF817" t="s">
        <v>81</v>
      </c>
      <c r="AG817">
        <v>5.8</v>
      </c>
      <c r="AH817">
        <v>2</v>
      </c>
      <c r="AI817">
        <v>16632956</v>
      </c>
      <c r="AJ817">
        <v>808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</row>
    <row r="818" spans="1:44" x14ac:dyDescent="0.2">
      <c r="A818">
        <f>ROW(Source!A401)</f>
        <v>401</v>
      </c>
      <c r="B818">
        <v>16632971</v>
      </c>
      <c r="C818">
        <v>16632950</v>
      </c>
      <c r="D818">
        <v>15166105</v>
      </c>
      <c r="E818">
        <v>1</v>
      </c>
      <c r="F818">
        <v>1</v>
      </c>
      <c r="G818">
        <v>1</v>
      </c>
      <c r="H818">
        <v>3</v>
      </c>
      <c r="I818" t="s">
        <v>1653</v>
      </c>
      <c r="J818" t="s">
        <v>1654</v>
      </c>
      <c r="K818" t="s">
        <v>1655</v>
      </c>
      <c r="L818">
        <v>1346</v>
      </c>
      <c r="N818">
        <v>1009</v>
      </c>
      <c r="O818" t="s">
        <v>102</v>
      </c>
      <c r="P818" t="s">
        <v>102</v>
      </c>
      <c r="Q818">
        <v>1</v>
      </c>
      <c r="X818">
        <v>0.2</v>
      </c>
      <c r="Y818">
        <v>11.8</v>
      </c>
      <c r="Z818">
        <v>0</v>
      </c>
      <c r="AA818">
        <v>0</v>
      </c>
      <c r="AB818">
        <v>0</v>
      </c>
      <c r="AC818">
        <v>0</v>
      </c>
      <c r="AD818">
        <v>1</v>
      </c>
      <c r="AE818">
        <v>0</v>
      </c>
      <c r="AF818" t="s">
        <v>6</v>
      </c>
      <c r="AG818">
        <v>0.2</v>
      </c>
      <c r="AH818">
        <v>2</v>
      </c>
      <c r="AI818">
        <v>16632957</v>
      </c>
      <c r="AJ818">
        <v>809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</row>
    <row r="819" spans="1:44" x14ac:dyDescent="0.2">
      <c r="A819">
        <f>ROW(Source!A401)</f>
        <v>401</v>
      </c>
      <c r="B819">
        <v>16632972</v>
      </c>
      <c r="C819">
        <v>16632950</v>
      </c>
      <c r="D819">
        <v>15167286</v>
      </c>
      <c r="E819">
        <v>1</v>
      </c>
      <c r="F819">
        <v>1</v>
      </c>
      <c r="G819">
        <v>1</v>
      </c>
      <c r="H819">
        <v>3</v>
      </c>
      <c r="I819" t="s">
        <v>1265</v>
      </c>
      <c r="J819" t="s">
        <v>1266</v>
      </c>
      <c r="K819" t="s">
        <v>1267</v>
      </c>
      <c r="L819">
        <v>1339</v>
      </c>
      <c r="N819">
        <v>1007</v>
      </c>
      <c r="O819" t="s">
        <v>203</v>
      </c>
      <c r="P819" t="s">
        <v>203</v>
      </c>
      <c r="Q819">
        <v>1</v>
      </c>
      <c r="X819">
        <v>1.21</v>
      </c>
      <c r="Y819">
        <v>2.44</v>
      </c>
      <c r="Z819">
        <v>0</v>
      </c>
      <c r="AA819">
        <v>0</v>
      </c>
      <c r="AB819">
        <v>0</v>
      </c>
      <c r="AC819">
        <v>0</v>
      </c>
      <c r="AD819">
        <v>1</v>
      </c>
      <c r="AE819">
        <v>0</v>
      </c>
      <c r="AF819" t="s">
        <v>6</v>
      </c>
      <c r="AG819">
        <v>1.21</v>
      </c>
      <c r="AH819">
        <v>2</v>
      </c>
      <c r="AI819">
        <v>16632958</v>
      </c>
      <c r="AJ819">
        <v>810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</row>
    <row r="820" spans="1:44" x14ac:dyDescent="0.2">
      <c r="A820">
        <f>ROW(Source!A401)</f>
        <v>401</v>
      </c>
      <c r="B820">
        <v>16632973</v>
      </c>
      <c r="C820">
        <v>16632950</v>
      </c>
      <c r="D820">
        <v>15167787</v>
      </c>
      <c r="E820">
        <v>1</v>
      </c>
      <c r="F820">
        <v>1</v>
      </c>
      <c r="G820">
        <v>1</v>
      </c>
      <c r="H820">
        <v>3</v>
      </c>
      <c r="I820" t="s">
        <v>1656</v>
      </c>
      <c r="J820" t="s">
        <v>1657</v>
      </c>
      <c r="K820" t="s">
        <v>1658</v>
      </c>
      <c r="L820">
        <v>1356</v>
      </c>
      <c r="N820">
        <v>1010</v>
      </c>
      <c r="O820" t="s">
        <v>278</v>
      </c>
      <c r="P820" t="s">
        <v>278</v>
      </c>
      <c r="Q820">
        <v>1000</v>
      </c>
      <c r="X820">
        <v>0.06</v>
      </c>
      <c r="Y820">
        <v>253.8</v>
      </c>
      <c r="Z820">
        <v>0</v>
      </c>
      <c r="AA820">
        <v>0</v>
      </c>
      <c r="AB820">
        <v>0</v>
      </c>
      <c r="AC820">
        <v>0</v>
      </c>
      <c r="AD820">
        <v>1</v>
      </c>
      <c r="AE820">
        <v>0</v>
      </c>
      <c r="AF820" t="s">
        <v>6</v>
      </c>
      <c r="AG820">
        <v>0.06</v>
      </c>
      <c r="AH820">
        <v>2</v>
      </c>
      <c r="AI820">
        <v>16632959</v>
      </c>
      <c r="AJ820">
        <v>811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</row>
    <row r="821" spans="1:44" x14ac:dyDescent="0.2">
      <c r="A821">
        <f>ROW(Source!A401)</f>
        <v>401</v>
      </c>
      <c r="B821">
        <v>16632974</v>
      </c>
      <c r="C821">
        <v>16632950</v>
      </c>
      <c r="D821">
        <v>15170090</v>
      </c>
      <c r="E821">
        <v>1</v>
      </c>
      <c r="F821">
        <v>1</v>
      </c>
      <c r="G821">
        <v>1</v>
      </c>
      <c r="H821">
        <v>3</v>
      </c>
      <c r="I821" t="s">
        <v>1659</v>
      </c>
      <c r="J821" t="s">
        <v>1660</v>
      </c>
      <c r="K821" t="s">
        <v>1661</v>
      </c>
      <c r="L821">
        <v>1348</v>
      </c>
      <c r="N821">
        <v>1009</v>
      </c>
      <c r="O821" t="s">
        <v>98</v>
      </c>
      <c r="P821" t="s">
        <v>98</v>
      </c>
      <c r="Q821">
        <v>1000</v>
      </c>
      <c r="X821">
        <v>5.1000000000000004E-4</v>
      </c>
      <c r="Y821">
        <v>22558</v>
      </c>
      <c r="Z821">
        <v>0</v>
      </c>
      <c r="AA821">
        <v>0</v>
      </c>
      <c r="AB821">
        <v>0</v>
      </c>
      <c r="AC821">
        <v>0</v>
      </c>
      <c r="AD821">
        <v>1</v>
      </c>
      <c r="AE821">
        <v>0</v>
      </c>
      <c r="AF821" t="s">
        <v>6</v>
      </c>
      <c r="AG821">
        <v>5.1000000000000004E-4</v>
      </c>
      <c r="AH821">
        <v>2</v>
      </c>
      <c r="AI821">
        <v>16632960</v>
      </c>
      <c r="AJ821">
        <v>812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</row>
    <row r="822" spans="1:44" x14ac:dyDescent="0.2">
      <c r="A822">
        <f>ROW(Source!A401)</f>
        <v>401</v>
      </c>
      <c r="B822">
        <v>16632975</v>
      </c>
      <c r="C822">
        <v>16632950</v>
      </c>
      <c r="D822">
        <v>15172018</v>
      </c>
      <c r="E822">
        <v>1</v>
      </c>
      <c r="F822">
        <v>1</v>
      </c>
      <c r="G822">
        <v>1</v>
      </c>
      <c r="H822">
        <v>3</v>
      </c>
      <c r="I822" t="s">
        <v>1539</v>
      </c>
      <c r="J822" t="s">
        <v>1540</v>
      </c>
      <c r="K822" t="s">
        <v>1541</v>
      </c>
      <c r="L822">
        <v>1346</v>
      </c>
      <c r="N822">
        <v>1009</v>
      </c>
      <c r="O822" t="s">
        <v>102</v>
      </c>
      <c r="P822" t="s">
        <v>102</v>
      </c>
      <c r="Q822">
        <v>1</v>
      </c>
      <c r="X822">
        <v>4.0000000000000001E-3</v>
      </c>
      <c r="Y822">
        <v>2.15</v>
      </c>
      <c r="Z822">
        <v>0</v>
      </c>
      <c r="AA822">
        <v>0</v>
      </c>
      <c r="AB822">
        <v>0</v>
      </c>
      <c r="AC822">
        <v>0</v>
      </c>
      <c r="AD822">
        <v>1</v>
      </c>
      <c r="AE822">
        <v>0</v>
      </c>
      <c r="AF822" t="s">
        <v>6</v>
      </c>
      <c r="AG822">
        <v>4.0000000000000001E-3</v>
      </c>
      <c r="AH822">
        <v>2</v>
      </c>
      <c r="AI822">
        <v>16632961</v>
      </c>
      <c r="AJ822">
        <v>813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</row>
    <row r="823" spans="1:44" x14ac:dyDescent="0.2">
      <c r="A823">
        <f>ROW(Source!A401)</f>
        <v>401</v>
      </c>
      <c r="B823">
        <v>16632976</v>
      </c>
      <c r="C823">
        <v>16632950</v>
      </c>
      <c r="D823">
        <v>15161686</v>
      </c>
      <c r="E823">
        <v>17</v>
      </c>
      <c r="F823">
        <v>1</v>
      </c>
      <c r="G823">
        <v>1</v>
      </c>
      <c r="H823">
        <v>3</v>
      </c>
      <c r="I823" t="s">
        <v>1683</v>
      </c>
      <c r="J823" t="s">
        <v>6</v>
      </c>
      <c r="K823" t="s">
        <v>1751</v>
      </c>
      <c r="L823">
        <v>1346</v>
      </c>
      <c r="N823">
        <v>1009</v>
      </c>
      <c r="O823" t="s">
        <v>102</v>
      </c>
      <c r="P823" t="s">
        <v>102</v>
      </c>
      <c r="Q823">
        <v>1</v>
      </c>
      <c r="X823">
        <v>0.33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 t="s">
        <v>6</v>
      </c>
      <c r="AG823">
        <v>0.33</v>
      </c>
      <c r="AH823">
        <v>3</v>
      </c>
      <c r="AI823">
        <v>-1</v>
      </c>
      <c r="AJ823" t="s">
        <v>6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</row>
    <row r="824" spans="1:44" x14ac:dyDescent="0.2">
      <c r="A824">
        <f>ROW(Source!A401)</f>
        <v>401</v>
      </c>
      <c r="B824">
        <v>16632977</v>
      </c>
      <c r="C824">
        <v>16632950</v>
      </c>
      <c r="D824">
        <v>15202502</v>
      </c>
      <c r="E824">
        <v>1</v>
      </c>
      <c r="F824">
        <v>1</v>
      </c>
      <c r="G824">
        <v>1</v>
      </c>
      <c r="H824">
        <v>3</v>
      </c>
      <c r="I824" t="s">
        <v>1662</v>
      </c>
      <c r="J824" t="s">
        <v>1663</v>
      </c>
      <c r="K824" t="s">
        <v>1664</v>
      </c>
      <c r="L824">
        <v>1346</v>
      </c>
      <c r="N824">
        <v>1009</v>
      </c>
      <c r="O824" t="s">
        <v>102</v>
      </c>
      <c r="P824" t="s">
        <v>102</v>
      </c>
      <c r="Q824">
        <v>1</v>
      </c>
      <c r="X824">
        <v>0.17</v>
      </c>
      <c r="Y824">
        <v>28.93</v>
      </c>
      <c r="Z824">
        <v>0</v>
      </c>
      <c r="AA824">
        <v>0</v>
      </c>
      <c r="AB824">
        <v>0</v>
      </c>
      <c r="AC824">
        <v>0</v>
      </c>
      <c r="AD824">
        <v>1</v>
      </c>
      <c r="AE824">
        <v>0</v>
      </c>
      <c r="AF824" t="s">
        <v>6</v>
      </c>
      <c r="AG824">
        <v>0.17</v>
      </c>
      <c r="AH824">
        <v>2</v>
      </c>
      <c r="AI824">
        <v>16632962</v>
      </c>
      <c r="AJ824">
        <v>814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</row>
    <row r="825" spans="1:44" x14ac:dyDescent="0.2">
      <c r="A825">
        <f>ROW(Source!A401)</f>
        <v>401</v>
      </c>
      <c r="B825">
        <v>16632978</v>
      </c>
      <c r="C825">
        <v>16632950</v>
      </c>
      <c r="D825">
        <v>15162883</v>
      </c>
      <c r="E825">
        <v>17</v>
      </c>
      <c r="F825">
        <v>1</v>
      </c>
      <c r="G825">
        <v>1</v>
      </c>
      <c r="H825">
        <v>3</v>
      </c>
      <c r="I825" t="s">
        <v>1715</v>
      </c>
      <c r="J825" t="s">
        <v>6</v>
      </c>
      <c r="K825" t="s">
        <v>1716</v>
      </c>
      <c r="L825">
        <v>1354</v>
      </c>
      <c r="N825">
        <v>1010</v>
      </c>
      <c r="O825" t="s">
        <v>132</v>
      </c>
      <c r="P825" t="s">
        <v>132</v>
      </c>
      <c r="Q825">
        <v>1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1</v>
      </c>
      <c r="AD825">
        <v>0</v>
      </c>
      <c r="AE825">
        <v>0</v>
      </c>
      <c r="AF825" t="s">
        <v>6</v>
      </c>
      <c r="AG825">
        <v>0</v>
      </c>
      <c r="AH825">
        <v>3</v>
      </c>
      <c r="AI825">
        <v>-1</v>
      </c>
      <c r="AJ825" t="s">
        <v>6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</row>
    <row r="826" spans="1:44" x14ac:dyDescent="0.2">
      <c r="A826">
        <f>ROW(Source!A401)</f>
        <v>401</v>
      </c>
      <c r="B826">
        <v>16632979</v>
      </c>
      <c r="C826">
        <v>16632950</v>
      </c>
      <c r="D826">
        <v>15163115</v>
      </c>
      <c r="E826">
        <v>17</v>
      </c>
      <c r="F826">
        <v>1</v>
      </c>
      <c r="G826">
        <v>1</v>
      </c>
      <c r="H826">
        <v>3</v>
      </c>
      <c r="I826" t="s">
        <v>1717</v>
      </c>
      <c r="J826" t="s">
        <v>6</v>
      </c>
      <c r="K826" t="s">
        <v>1718</v>
      </c>
      <c r="L826">
        <v>1346</v>
      </c>
      <c r="N826">
        <v>1009</v>
      </c>
      <c r="O826" t="s">
        <v>102</v>
      </c>
      <c r="P826" t="s">
        <v>102</v>
      </c>
      <c r="Q826">
        <v>1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1</v>
      </c>
      <c r="AD826">
        <v>0</v>
      </c>
      <c r="AE826">
        <v>0</v>
      </c>
      <c r="AF826" t="s">
        <v>6</v>
      </c>
      <c r="AG826">
        <v>0</v>
      </c>
      <c r="AH826">
        <v>3</v>
      </c>
      <c r="AI826">
        <v>-1</v>
      </c>
      <c r="AJ826" t="s">
        <v>6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</row>
    <row r="827" spans="1:44" x14ac:dyDescent="0.2">
      <c r="A827">
        <f>ROW(Source!A401)</f>
        <v>401</v>
      </c>
      <c r="B827">
        <v>16632980</v>
      </c>
      <c r="C827">
        <v>16632950</v>
      </c>
      <c r="D827">
        <v>15162898</v>
      </c>
      <c r="E827">
        <v>17</v>
      </c>
      <c r="F827">
        <v>1</v>
      </c>
      <c r="G827">
        <v>1</v>
      </c>
      <c r="H827">
        <v>3</v>
      </c>
      <c r="I827" t="s">
        <v>1752</v>
      </c>
      <c r="J827" t="s">
        <v>6</v>
      </c>
      <c r="K827" t="s">
        <v>1753</v>
      </c>
      <c r="L827">
        <v>1301</v>
      </c>
      <c r="N827">
        <v>1003</v>
      </c>
      <c r="O827" t="s">
        <v>150</v>
      </c>
      <c r="P827" t="s">
        <v>150</v>
      </c>
      <c r="Q827">
        <v>1</v>
      </c>
      <c r="X827">
        <v>93.8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 t="s">
        <v>6</v>
      </c>
      <c r="AG827">
        <v>93.8</v>
      </c>
      <c r="AH827">
        <v>3</v>
      </c>
      <c r="AI827">
        <v>-1</v>
      </c>
      <c r="AJ827" t="s">
        <v>6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</row>
    <row r="828" spans="1:44" x14ac:dyDescent="0.2">
      <c r="A828">
        <f>ROW(Source!A401)</f>
        <v>401</v>
      </c>
      <c r="B828">
        <v>16632981</v>
      </c>
      <c r="C828">
        <v>16632950</v>
      </c>
      <c r="D828">
        <v>15163160</v>
      </c>
      <c r="E828">
        <v>17</v>
      </c>
      <c r="F828">
        <v>1</v>
      </c>
      <c r="G828">
        <v>1</v>
      </c>
      <c r="H828">
        <v>3</v>
      </c>
      <c r="I828" t="s">
        <v>1754</v>
      </c>
      <c r="J828" t="s">
        <v>6</v>
      </c>
      <c r="K828" t="s">
        <v>1755</v>
      </c>
      <c r="L828">
        <v>1354</v>
      </c>
      <c r="N828">
        <v>1010</v>
      </c>
      <c r="O828" t="s">
        <v>132</v>
      </c>
      <c r="P828" t="s">
        <v>132</v>
      </c>
      <c r="Q828">
        <v>1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1</v>
      </c>
      <c r="AD828">
        <v>0</v>
      </c>
      <c r="AE828">
        <v>0</v>
      </c>
      <c r="AF828" t="s">
        <v>6</v>
      </c>
      <c r="AG828">
        <v>0</v>
      </c>
      <c r="AH828">
        <v>3</v>
      </c>
      <c r="AI828">
        <v>-1</v>
      </c>
      <c r="AJ828" t="s">
        <v>6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</row>
    <row r="829" spans="1:44" x14ac:dyDescent="0.2">
      <c r="A829">
        <f>ROW(Source!A404)</f>
        <v>404</v>
      </c>
      <c r="B829">
        <v>16632994</v>
      </c>
      <c r="C829">
        <v>16632984</v>
      </c>
      <c r="D829">
        <v>15430447</v>
      </c>
      <c r="E829">
        <v>1</v>
      </c>
      <c r="F829">
        <v>1</v>
      </c>
      <c r="G829">
        <v>1</v>
      </c>
      <c r="H829">
        <v>1</v>
      </c>
      <c r="I829" t="s">
        <v>1464</v>
      </c>
      <c r="J829" t="s">
        <v>6</v>
      </c>
      <c r="K829" t="s">
        <v>1465</v>
      </c>
      <c r="L829">
        <v>1191</v>
      </c>
      <c r="N829">
        <v>1013</v>
      </c>
      <c r="O829" t="s">
        <v>1148</v>
      </c>
      <c r="P829" t="s">
        <v>1148</v>
      </c>
      <c r="Q829">
        <v>1</v>
      </c>
      <c r="X829">
        <v>1.47</v>
      </c>
      <c r="Y829">
        <v>0</v>
      </c>
      <c r="Z829">
        <v>0</v>
      </c>
      <c r="AA829">
        <v>0</v>
      </c>
      <c r="AB829">
        <v>9.07</v>
      </c>
      <c r="AC829">
        <v>0</v>
      </c>
      <c r="AD829">
        <v>1</v>
      </c>
      <c r="AE829">
        <v>1</v>
      </c>
      <c r="AF829" t="s">
        <v>82</v>
      </c>
      <c r="AG829">
        <v>1.6904999999999999</v>
      </c>
      <c r="AH829">
        <v>2</v>
      </c>
      <c r="AI829">
        <v>16632985</v>
      </c>
      <c r="AJ829">
        <v>817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</row>
    <row r="830" spans="1:44" x14ac:dyDescent="0.2">
      <c r="A830">
        <f>ROW(Source!A404)</f>
        <v>404</v>
      </c>
      <c r="B830">
        <v>16632995</v>
      </c>
      <c r="C830">
        <v>16632984</v>
      </c>
      <c r="D830">
        <v>15430395</v>
      </c>
      <c r="E830">
        <v>1</v>
      </c>
      <c r="F830">
        <v>1</v>
      </c>
      <c r="G830">
        <v>1</v>
      </c>
      <c r="H830">
        <v>1</v>
      </c>
      <c r="I830" t="s">
        <v>1149</v>
      </c>
      <c r="J830" t="s">
        <v>6</v>
      </c>
      <c r="K830" t="s">
        <v>1150</v>
      </c>
      <c r="L830">
        <v>1191</v>
      </c>
      <c r="N830">
        <v>1013</v>
      </c>
      <c r="O830" t="s">
        <v>1148</v>
      </c>
      <c r="P830" t="s">
        <v>1148</v>
      </c>
      <c r="Q830">
        <v>1</v>
      </c>
      <c r="X830">
        <v>0.01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1</v>
      </c>
      <c r="AE830">
        <v>2</v>
      </c>
      <c r="AF830" t="s">
        <v>81</v>
      </c>
      <c r="AG830">
        <v>1.2500000000000001E-2</v>
      </c>
      <c r="AH830">
        <v>2</v>
      </c>
      <c r="AI830">
        <v>16632986</v>
      </c>
      <c r="AJ830">
        <v>818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</row>
    <row r="831" spans="1:44" x14ac:dyDescent="0.2">
      <c r="A831">
        <f>ROW(Source!A404)</f>
        <v>404</v>
      </c>
      <c r="B831">
        <v>16632996</v>
      </c>
      <c r="C831">
        <v>16632984</v>
      </c>
      <c r="D831">
        <v>15249073</v>
      </c>
      <c r="E831">
        <v>1</v>
      </c>
      <c r="F831">
        <v>1</v>
      </c>
      <c r="G831">
        <v>1</v>
      </c>
      <c r="H831">
        <v>2</v>
      </c>
      <c r="I831" t="s">
        <v>1157</v>
      </c>
      <c r="J831" t="s">
        <v>1158</v>
      </c>
      <c r="K831" t="s">
        <v>1159</v>
      </c>
      <c r="L831">
        <v>1368</v>
      </c>
      <c r="N831">
        <v>1011</v>
      </c>
      <c r="O831" t="s">
        <v>1154</v>
      </c>
      <c r="P831" t="s">
        <v>1154</v>
      </c>
      <c r="Q831">
        <v>1</v>
      </c>
      <c r="X831">
        <v>0.01</v>
      </c>
      <c r="Y831">
        <v>0</v>
      </c>
      <c r="Z831">
        <v>65.709999999999994</v>
      </c>
      <c r="AA831">
        <v>11.6</v>
      </c>
      <c r="AB831">
        <v>0</v>
      </c>
      <c r="AC831">
        <v>0</v>
      </c>
      <c r="AD831">
        <v>1</v>
      </c>
      <c r="AE831">
        <v>0</v>
      </c>
      <c r="AF831" t="s">
        <v>81</v>
      </c>
      <c r="AG831">
        <v>1.2500000000000001E-2</v>
      </c>
      <c r="AH831">
        <v>2</v>
      </c>
      <c r="AI831">
        <v>16632987</v>
      </c>
      <c r="AJ831">
        <v>819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</row>
    <row r="832" spans="1:44" x14ac:dyDescent="0.2">
      <c r="A832">
        <f>ROW(Source!A404)</f>
        <v>404</v>
      </c>
      <c r="B832">
        <v>16632997</v>
      </c>
      <c r="C832">
        <v>16632984</v>
      </c>
      <c r="D832">
        <v>15249377</v>
      </c>
      <c r="E832">
        <v>1</v>
      </c>
      <c r="F832">
        <v>1</v>
      </c>
      <c r="G832">
        <v>1</v>
      </c>
      <c r="H832">
        <v>2</v>
      </c>
      <c r="I832" t="s">
        <v>1222</v>
      </c>
      <c r="J832" t="s">
        <v>1223</v>
      </c>
      <c r="K832" t="s">
        <v>1224</v>
      </c>
      <c r="L832">
        <v>1368</v>
      </c>
      <c r="N832">
        <v>1011</v>
      </c>
      <c r="O832" t="s">
        <v>1154</v>
      </c>
      <c r="P832" t="s">
        <v>1154</v>
      </c>
      <c r="Q832">
        <v>1</v>
      </c>
      <c r="X832">
        <v>0.35</v>
      </c>
      <c r="Y832">
        <v>0</v>
      </c>
      <c r="Z832">
        <v>8.1</v>
      </c>
      <c r="AA832">
        <v>0</v>
      </c>
      <c r="AB832">
        <v>0</v>
      </c>
      <c r="AC832">
        <v>0</v>
      </c>
      <c r="AD832">
        <v>1</v>
      </c>
      <c r="AE832">
        <v>0</v>
      </c>
      <c r="AF832" t="s">
        <v>81</v>
      </c>
      <c r="AG832">
        <v>0.4375</v>
      </c>
      <c r="AH832">
        <v>2</v>
      </c>
      <c r="AI832">
        <v>16632988</v>
      </c>
      <c r="AJ832">
        <v>820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</row>
    <row r="833" spans="1:44" x14ac:dyDescent="0.2">
      <c r="A833">
        <f>ROW(Source!A404)</f>
        <v>404</v>
      </c>
      <c r="B833">
        <v>16632998</v>
      </c>
      <c r="C833">
        <v>16632984</v>
      </c>
      <c r="D833">
        <v>15165267</v>
      </c>
      <c r="E833">
        <v>1</v>
      </c>
      <c r="F833">
        <v>1</v>
      </c>
      <c r="G833">
        <v>1</v>
      </c>
      <c r="H833">
        <v>3</v>
      </c>
      <c r="I833" t="s">
        <v>1557</v>
      </c>
      <c r="J833" t="s">
        <v>1558</v>
      </c>
      <c r="K833" t="s">
        <v>1559</v>
      </c>
      <c r="L833">
        <v>1356</v>
      </c>
      <c r="N833">
        <v>1010</v>
      </c>
      <c r="O833" t="s">
        <v>278</v>
      </c>
      <c r="P833" t="s">
        <v>278</v>
      </c>
      <c r="Q833">
        <v>1000</v>
      </c>
      <c r="X833">
        <v>2E-3</v>
      </c>
      <c r="Y833">
        <v>3450</v>
      </c>
      <c r="Z833">
        <v>0</v>
      </c>
      <c r="AA833">
        <v>0</v>
      </c>
      <c r="AB833">
        <v>0</v>
      </c>
      <c r="AC833">
        <v>0</v>
      </c>
      <c r="AD833">
        <v>1</v>
      </c>
      <c r="AE833">
        <v>0</v>
      </c>
      <c r="AF833" t="s">
        <v>6</v>
      </c>
      <c r="AG833">
        <v>2E-3</v>
      </c>
      <c r="AH833">
        <v>2</v>
      </c>
      <c r="AI833">
        <v>16632989</v>
      </c>
      <c r="AJ833">
        <v>821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</row>
    <row r="834" spans="1:44" x14ac:dyDescent="0.2">
      <c r="A834">
        <f>ROW(Source!A404)</f>
        <v>404</v>
      </c>
      <c r="B834">
        <v>16632999</v>
      </c>
      <c r="C834">
        <v>16632984</v>
      </c>
      <c r="D834">
        <v>15168763</v>
      </c>
      <c r="E834">
        <v>1</v>
      </c>
      <c r="F834">
        <v>1</v>
      </c>
      <c r="G834">
        <v>1</v>
      </c>
      <c r="H834">
        <v>3</v>
      </c>
      <c r="I834" t="s">
        <v>1560</v>
      </c>
      <c r="J834" t="s">
        <v>1561</v>
      </c>
      <c r="K834" t="s">
        <v>1562</v>
      </c>
      <c r="L834">
        <v>1348</v>
      </c>
      <c r="N834">
        <v>1009</v>
      </c>
      <c r="O834" t="s">
        <v>98</v>
      </c>
      <c r="P834" t="s">
        <v>98</v>
      </c>
      <c r="Q834">
        <v>1000</v>
      </c>
      <c r="X834">
        <v>1.3999999999999999E-4</v>
      </c>
      <c r="Y834">
        <v>10362</v>
      </c>
      <c r="Z834">
        <v>0</v>
      </c>
      <c r="AA834">
        <v>0</v>
      </c>
      <c r="AB834">
        <v>0</v>
      </c>
      <c r="AC834">
        <v>0</v>
      </c>
      <c r="AD834">
        <v>1</v>
      </c>
      <c r="AE834">
        <v>0</v>
      </c>
      <c r="AF834" t="s">
        <v>6</v>
      </c>
      <c r="AG834">
        <v>1.3999999999999999E-4</v>
      </c>
      <c r="AH834">
        <v>2</v>
      </c>
      <c r="AI834">
        <v>16632990</v>
      </c>
      <c r="AJ834">
        <v>822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</row>
    <row r="835" spans="1:44" x14ac:dyDescent="0.2">
      <c r="A835">
        <f>ROW(Source!A404)</f>
        <v>404</v>
      </c>
      <c r="B835">
        <v>16633000</v>
      </c>
      <c r="C835">
        <v>16632984</v>
      </c>
      <c r="D835">
        <v>15169923</v>
      </c>
      <c r="E835">
        <v>1</v>
      </c>
      <c r="F835">
        <v>1</v>
      </c>
      <c r="G835">
        <v>1</v>
      </c>
      <c r="H835">
        <v>3</v>
      </c>
      <c r="I835" t="s">
        <v>1563</v>
      </c>
      <c r="J835" t="s">
        <v>1564</v>
      </c>
      <c r="K835" t="s">
        <v>1565</v>
      </c>
      <c r="L835">
        <v>1348</v>
      </c>
      <c r="N835">
        <v>1009</v>
      </c>
      <c r="O835" t="s">
        <v>98</v>
      </c>
      <c r="P835" t="s">
        <v>98</v>
      </c>
      <c r="Q835">
        <v>1000</v>
      </c>
      <c r="X835">
        <v>1.1000000000000001E-3</v>
      </c>
      <c r="Y835">
        <v>15323</v>
      </c>
      <c r="Z835">
        <v>0</v>
      </c>
      <c r="AA835">
        <v>0</v>
      </c>
      <c r="AB835">
        <v>0</v>
      </c>
      <c r="AC835">
        <v>0</v>
      </c>
      <c r="AD835">
        <v>1</v>
      </c>
      <c r="AE835">
        <v>0</v>
      </c>
      <c r="AF835" t="s">
        <v>6</v>
      </c>
      <c r="AG835">
        <v>1.1000000000000001E-3</v>
      </c>
      <c r="AH835">
        <v>2</v>
      </c>
      <c r="AI835">
        <v>16632991</v>
      </c>
      <c r="AJ835">
        <v>823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</row>
    <row r="836" spans="1:44" x14ac:dyDescent="0.2">
      <c r="A836">
        <f>ROW(Source!A404)</f>
        <v>404</v>
      </c>
      <c r="B836">
        <v>16633001</v>
      </c>
      <c r="C836">
        <v>16632984</v>
      </c>
      <c r="D836">
        <v>15162883</v>
      </c>
      <c r="E836">
        <v>17</v>
      </c>
      <c r="F836">
        <v>1</v>
      </c>
      <c r="G836">
        <v>1</v>
      </c>
      <c r="H836">
        <v>3</v>
      </c>
      <c r="I836" t="s">
        <v>1715</v>
      </c>
      <c r="J836" t="s">
        <v>6</v>
      </c>
      <c r="K836" t="s">
        <v>1721</v>
      </c>
      <c r="L836">
        <v>1354</v>
      </c>
      <c r="N836">
        <v>1010</v>
      </c>
      <c r="O836" t="s">
        <v>132</v>
      </c>
      <c r="P836" t="s">
        <v>132</v>
      </c>
      <c r="Q836">
        <v>1</v>
      </c>
      <c r="X836">
        <v>1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 t="s">
        <v>6</v>
      </c>
      <c r="AG836">
        <v>1</v>
      </c>
      <c r="AH836">
        <v>3</v>
      </c>
      <c r="AI836">
        <v>-1</v>
      </c>
      <c r="AJ836" t="s">
        <v>6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</row>
    <row r="837" spans="1:44" x14ac:dyDescent="0.2">
      <c r="A837">
        <f>ROW(Source!A404)</f>
        <v>404</v>
      </c>
      <c r="B837">
        <v>16633002</v>
      </c>
      <c r="C837">
        <v>16632984</v>
      </c>
      <c r="D837">
        <v>15161732</v>
      </c>
      <c r="E837">
        <v>17</v>
      </c>
      <c r="F837">
        <v>1</v>
      </c>
      <c r="G837">
        <v>1</v>
      </c>
      <c r="H837">
        <v>3</v>
      </c>
      <c r="I837" t="s">
        <v>1722</v>
      </c>
      <c r="J837" t="s">
        <v>6</v>
      </c>
      <c r="K837" t="s">
        <v>1723</v>
      </c>
      <c r="L837">
        <v>1354</v>
      </c>
      <c r="N837">
        <v>1010</v>
      </c>
      <c r="O837" t="s">
        <v>132</v>
      </c>
      <c r="P837" t="s">
        <v>132</v>
      </c>
      <c r="Q837">
        <v>1</v>
      </c>
      <c r="X837">
        <v>2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 t="s">
        <v>6</v>
      </c>
      <c r="AG837">
        <v>2</v>
      </c>
      <c r="AH837">
        <v>3</v>
      </c>
      <c r="AI837">
        <v>-1</v>
      </c>
      <c r="AJ837" t="s">
        <v>6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</row>
    <row r="838" spans="1:44" x14ac:dyDescent="0.2">
      <c r="A838">
        <f>ROW(Source!A407)</f>
        <v>407</v>
      </c>
      <c r="B838">
        <v>16633009</v>
      </c>
      <c r="C838">
        <v>16633005</v>
      </c>
      <c r="D838">
        <v>15430767</v>
      </c>
      <c r="E838">
        <v>1</v>
      </c>
      <c r="F838">
        <v>1</v>
      </c>
      <c r="G838">
        <v>1</v>
      </c>
      <c r="H838">
        <v>1</v>
      </c>
      <c r="I838" t="s">
        <v>1171</v>
      </c>
      <c r="J838" t="s">
        <v>6</v>
      </c>
      <c r="K838" t="s">
        <v>1172</v>
      </c>
      <c r="L838">
        <v>1191</v>
      </c>
      <c r="N838">
        <v>1013</v>
      </c>
      <c r="O838" t="s">
        <v>1148</v>
      </c>
      <c r="P838" t="s">
        <v>1148</v>
      </c>
      <c r="Q838">
        <v>1</v>
      </c>
      <c r="X838">
        <v>57.57</v>
      </c>
      <c r="Y838">
        <v>0</v>
      </c>
      <c r="Z838">
        <v>0</v>
      </c>
      <c r="AA838">
        <v>0</v>
      </c>
      <c r="AB838">
        <v>8.5299999999999994</v>
      </c>
      <c r="AC838">
        <v>0</v>
      </c>
      <c r="AD838">
        <v>1</v>
      </c>
      <c r="AE838">
        <v>1</v>
      </c>
      <c r="AF838" t="s">
        <v>6</v>
      </c>
      <c r="AG838">
        <v>57.57</v>
      </c>
      <c r="AH838">
        <v>2</v>
      </c>
      <c r="AI838">
        <v>16633006</v>
      </c>
      <c r="AJ838">
        <v>826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</row>
    <row r="839" spans="1:44" x14ac:dyDescent="0.2">
      <c r="A839">
        <f>ROW(Source!A407)</f>
        <v>407</v>
      </c>
      <c r="B839">
        <v>16633010</v>
      </c>
      <c r="C839">
        <v>16633005</v>
      </c>
      <c r="D839">
        <v>15430395</v>
      </c>
      <c r="E839">
        <v>1</v>
      </c>
      <c r="F839">
        <v>1</v>
      </c>
      <c r="G839">
        <v>1</v>
      </c>
      <c r="H839">
        <v>1</v>
      </c>
      <c r="I839" t="s">
        <v>1149</v>
      </c>
      <c r="J839" t="s">
        <v>6</v>
      </c>
      <c r="K839" t="s">
        <v>1150</v>
      </c>
      <c r="L839">
        <v>1191</v>
      </c>
      <c r="N839">
        <v>1013</v>
      </c>
      <c r="O839" t="s">
        <v>1148</v>
      </c>
      <c r="P839" t="s">
        <v>1148</v>
      </c>
      <c r="Q839">
        <v>1</v>
      </c>
      <c r="X839">
        <v>0.12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1</v>
      </c>
      <c r="AE839">
        <v>2</v>
      </c>
      <c r="AF839" t="s">
        <v>6</v>
      </c>
      <c r="AG839">
        <v>0.12</v>
      </c>
      <c r="AH839">
        <v>2</v>
      </c>
      <c r="AI839">
        <v>16633007</v>
      </c>
      <c r="AJ839">
        <v>827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</row>
    <row r="840" spans="1:44" x14ac:dyDescent="0.2">
      <c r="A840">
        <f>ROW(Source!A407)</f>
        <v>407</v>
      </c>
      <c r="B840">
        <v>16633011</v>
      </c>
      <c r="C840">
        <v>16633005</v>
      </c>
      <c r="D840">
        <v>15247974</v>
      </c>
      <c r="E840">
        <v>1</v>
      </c>
      <c r="F840">
        <v>1</v>
      </c>
      <c r="G840">
        <v>1</v>
      </c>
      <c r="H840">
        <v>2</v>
      </c>
      <c r="I840" t="s">
        <v>1151</v>
      </c>
      <c r="J840" t="s">
        <v>1152</v>
      </c>
      <c r="K840" t="s">
        <v>1153</v>
      </c>
      <c r="L840">
        <v>1368</v>
      </c>
      <c r="N840">
        <v>1011</v>
      </c>
      <c r="O840" t="s">
        <v>1154</v>
      </c>
      <c r="P840" t="s">
        <v>1154</v>
      </c>
      <c r="Q840">
        <v>1</v>
      </c>
      <c r="X840">
        <v>0.12</v>
      </c>
      <c r="Y840">
        <v>0</v>
      </c>
      <c r="Z840">
        <v>31.26</v>
      </c>
      <c r="AA840">
        <v>13.5</v>
      </c>
      <c r="AB840">
        <v>0</v>
      </c>
      <c r="AC840">
        <v>0</v>
      </c>
      <c r="AD840">
        <v>1</v>
      </c>
      <c r="AE840">
        <v>0</v>
      </c>
      <c r="AF840" t="s">
        <v>6</v>
      </c>
      <c r="AG840">
        <v>0.12</v>
      </c>
      <c r="AH840">
        <v>2</v>
      </c>
      <c r="AI840">
        <v>16633008</v>
      </c>
      <c r="AJ840">
        <v>828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</row>
    <row r="841" spans="1:44" x14ac:dyDescent="0.2">
      <c r="A841">
        <f>ROW(Source!A407)</f>
        <v>407</v>
      </c>
      <c r="B841">
        <v>16633012</v>
      </c>
      <c r="C841">
        <v>16633005</v>
      </c>
      <c r="D841">
        <v>15164566</v>
      </c>
      <c r="E841">
        <v>17</v>
      </c>
      <c r="F841">
        <v>1</v>
      </c>
      <c r="G841">
        <v>1</v>
      </c>
      <c r="H841">
        <v>3</v>
      </c>
      <c r="I841" t="s">
        <v>1670</v>
      </c>
      <c r="J841" t="s">
        <v>6</v>
      </c>
      <c r="K841" t="s">
        <v>1714</v>
      </c>
      <c r="L841">
        <v>1348</v>
      </c>
      <c r="N841">
        <v>1009</v>
      </c>
      <c r="O841" t="s">
        <v>98</v>
      </c>
      <c r="P841" t="s">
        <v>98</v>
      </c>
      <c r="Q841">
        <v>1000</v>
      </c>
      <c r="X841">
        <v>0.26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 t="s">
        <v>6</v>
      </c>
      <c r="AG841">
        <v>0.26</v>
      </c>
      <c r="AH841">
        <v>3</v>
      </c>
      <c r="AI841">
        <v>-1</v>
      </c>
      <c r="AJ841" t="s">
        <v>6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</row>
    <row r="842" spans="1:44" x14ac:dyDescent="0.2">
      <c r="A842">
        <f>ROW(Source!A408)</f>
        <v>408</v>
      </c>
      <c r="B842">
        <v>16633017</v>
      </c>
      <c r="C842">
        <v>16633013</v>
      </c>
      <c r="D842">
        <v>15430767</v>
      </c>
      <c r="E842">
        <v>1</v>
      </c>
      <c r="F842">
        <v>1</v>
      </c>
      <c r="G842">
        <v>1</v>
      </c>
      <c r="H842">
        <v>1</v>
      </c>
      <c r="I842" t="s">
        <v>1171</v>
      </c>
      <c r="J842" t="s">
        <v>6</v>
      </c>
      <c r="K842" t="s">
        <v>1172</v>
      </c>
      <c r="L842">
        <v>1191</v>
      </c>
      <c r="N842">
        <v>1013</v>
      </c>
      <c r="O842" t="s">
        <v>1148</v>
      </c>
      <c r="P842" t="s">
        <v>1148</v>
      </c>
      <c r="Q842">
        <v>1</v>
      </c>
      <c r="X842">
        <v>36.71</v>
      </c>
      <c r="Y842">
        <v>0</v>
      </c>
      <c r="Z842">
        <v>0</v>
      </c>
      <c r="AA842">
        <v>0</v>
      </c>
      <c r="AB842">
        <v>8.5299999999999994</v>
      </c>
      <c r="AC842">
        <v>0</v>
      </c>
      <c r="AD842">
        <v>1</v>
      </c>
      <c r="AE842">
        <v>1</v>
      </c>
      <c r="AF842" t="s">
        <v>6</v>
      </c>
      <c r="AG842">
        <v>36.71</v>
      </c>
      <c r="AH842">
        <v>2</v>
      </c>
      <c r="AI842">
        <v>16633014</v>
      </c>
      <c r="AJ842">
        <v>829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</row>
    <row r="843" spans="1:44" x14ac:dyDescent="0.2">
      <c r="A843">
        <f>ROW(Source!A408)</f>
        <v>408</v>
      </c>
      <c r="B843">
        <v>16633018</v>
      </c>
      <c r="C843">
        <v>16633013</v>
      </c>
      <c r="D843">
        <v>15430395</v>
      </c>
      <c r="E843">
        <v>1</v>
      </c>
      <c r="F843">
        <v>1</v>
      </c>
      <c r="G843">
        <v>1</v>
      </c>
      <c r="H843">
        <v>1</v>
      </c>
      <c r="I843" t="s">
        <v>1149</v>
      </c>
      <c r="J843" t="s">
        <v>6</v>
      </c>
      <c r="K843" t="s">
        <v>1150</v>
      </c>
      <c r="L843">
        <v>1191</v>
      </c>
      <c r="N843">
        <v>1013</v>
      </c>
      <c r="O843" t="s">
        <v>1148</v>
      </c>
      <c r="P843" t="s">
        <v>1148</v>
      </c>
      <c r="Q843">
        <v>1</v>
      </c>
      <c r="X843">
        <v>7.0000000000000007E-2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1</v>
      </c>
      <c r="AE843">
        <v>2</v>
      </c>
      <c r="AF843" t="s">
        <v>6</v>
      </c>
      <c r="AG843">
        <v>7.0000000000000007E-2</v>
      </c>
      <c r="AH843">
        <v>2</v>
      </c>
      <c r="AI843">
        <v>16633015</v>
      </c>
      <c r="AJ843">
        <v>830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</row>
    <row r="844" spans="1:44" x14ac:dyDescent="0.2">
      <c r="A844">
        <f>ROW(Source!A408)</f>
        <v>408</v>
      </c>
      <c r="B844">
        <v>16633019</v>
      </c>
      <c r="C844">
        <v>16633013</v>
      </c>
      <c r="D844">
        <v>15247974</v>
      </c>
      <c r="E844">
        <v>1</v>
      </c>
      <c r="F844">
        <v>1</v>
      </c>
      <c r="G844">
        <v>1</v>
      </c>
      <c r="H844">
        <v>2</v>
      </c>
      <c r="I844" t="s">
        <v>1151</v>
      </c>
      <c r="J844" t="s">
        <v>1152</v>
      </c>
      <c r="K844" t="s">
        <v>1153</v>
      </c>
      <c r="L844">
        <v>1368</v>
      </c>
      <c r="N844">
        <v>1011</v>
      </c>
      <c r="O844" t="s">
        <v>1154</v>
      </c>
      <c r="P844" t="s">
        <v>1154</v>
      </c>
      <c r="Q844">
        <v>1</v>
      </c>
      <c r="X844">
        <v>7.0000000000000007E-2</v>
      </c>
      <c r="Y844">
        <v>0</v>
      </c>
      <c r="Z844">
        <v>31.26</v>
      </c>
      <c r="AA844">
        <v>13.5</v>
      </c>
      <c r="AB844">
        <v>0</v>
      </c>
      <c r="AC844">
        <v>0</v>
      </c>
      <c r="AD844">
        <v>1</v>
      </c>
      <c r="AE844">
        <v>0</v>
      </c>
      <c r="AF844" t="s">
        <v>6</v>
      </c>
      <c r="AG844">
        <v>7.0000000000000007E-2</v>
      </c>
      <c r="AH844">
        <v>2</v>
      </c>
      <c r="AI844">
        <v>16633016</v>
      </c>
      <c r="AJ844">
        <v>831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</row>
    <row r="845" spans="1:44" x14ac:dyDescent="0.2">
      <c r="A845">
        <f>ROW(Source!A408)</f>
        <v>408</v>
      </c>
      <c r="B845">
        <v>16633020</v>
      </c>
      <c r="C845">
        <v>16633013</v>
      </c>
      <c r="D845">
        <v>15164566</v>
      </c>
      <c r="E845">
        <v>17</v>
      </c>
      <c r="F845">
        <v>1</v>
      </c>
      <c r="G845">
        <v>1</v>
      </c>
      <c r="H845">
        <v>3</v>
      </c>
      <c r="I845" t="s">
        <v>1670</v>
      </c>
      <c r="J845" t="s">
        <v>6</v>
      </c>
      <c r="K845" t="s">
        <v>1714</v>
      </c>
      <c r="L845">
        <v>1348</v>
      </c>
      <c r="N845">
        <v>1009</v>
      </c>
      <c r="O845" t="s">
        <v>98</v>
      </c>
      <c r="P845" t="s">
        <v>98</v>
      </c>
      <c r="Q845">
        <v>1000</v>
      </c>
      <c r="X845">
        <v>0.22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 t="s">
        <v>6</v>
      </c>
      <c r="AG845">
        <v>0.22</v>
      </c>
      <c r="AH845">
        <v>3</v>
      </c>
      <c r="AI845">
        <v>-1</v>
      </c>
      <c r="AJ845" t="s">
        <v>6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</row>
    <row r="846" spans="1:44" x14ac:dyDescent="0.2">
      <c r="A846">
        <f>ROW(Source!A409)</f>
        <v>409</v>
      </c>
      <c r="B846">
        <v>16633030</v>
      </c>
      <c r="C846">
        <v>16633021</v>
      </c>
      <c r="D846">
        <v>15436556</v>
      </c>
      <c r="E846">
        <v>1</v>
      </c>
      <c r="F846">
        <v>1</v>
      </c>
      <c r="G846">
        <v>1</v>
      </c>
      <c r="H846">
        <v>1</v>
      </c>
      <c r="I846" t="s">
        <v>1354</v>
      </c>
      <c r="J846" t="s">
        <v>6</v>
      </c>
      <c r="K846" t="s">
        <v>1355</v>
      </c>
      <c r="L846">
        <v>1191</v>
      </c>
      <c r="N846">
        <v>1013</v>
      </c>
      <c r="O846" t="s">
        <v>1148</v>
      </c>
      <c r="P846" t="s">
        <v>1148</v>
      </c>
      <c r="Q846">
        <v>1</v>
      </c>
      <c r="X846">
        <v>7</v>
      </c>
      <c r="Y846">
        <v>0</v>
      </c>
      <c r="Z846">
        <v>0</v>
      </c>
      <c r="AA846">
        <v>0</v>
      </c>
      <c r="AB846">
        <v>9.6199999999999992</v>
      </c>
      <c r="AC846">
        <v>0</v>
      </c>
      <c r="AD846">
        <v>1</v>
      </c>
      <c r="AE846">
        <v>1</v>
      </c>
      <c r="AF846" t="s">
        <v>82</v>
      </c>
      <c r="AG846">
        <v>8.0499999999999989</v>
      </c>
      <c r="AH846">
        <v>2</v>
      </c>
      <c r="AI846">
        <v>16633022</v>
      </c>
      <c r="AJ846">
        <v>832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</row>
    <row r="847" spans="1:44" x14ac:dyDescent="0.2">
      <c r="A847">
        <f>ROW(Source!A409)</f>
        <v>409</v>
      </c>
      <c r="B847">
        <v>16633031</v>
      </c>
      <c r="C847">
        <v>16633021</v>
      </c>
      <c r="D847">
        <v>15167963</v>
      </c>
      <c r="E847">
        <v>1</v>
      </c>
      <c r="F847">
        <v>1</v>
      </c>
      <c r="G847">
        <v>1</v>
      </c>
      <c r="H847">
        <v>3</v>
      </c>
      <c r="I847" t="s">
        <v>1533</v>
      </c>
      <c r="J847" t="s">
        <v>1534</v>
      </c>
      <c r="K847" t="s">
        <v>1535</v>
      </c>
      <c r="L847">
        <v>1346</v>
      </c>
      <c r="N847">
        <v>1009</v>
      </c>
      <c r="O847" t="s">
        <v>102</v>
      </c>
      <c r="P847" t="s">
        <v>102</v>
      </c>
      <c r="Q847">
        <v>1</v>
      </c>
      <c r="X847">
        <v>0.13</v>
      </c>
      <c r="Y847">
        <v>37.29</v>
      </c>
      <c r="Z847">
        <v>0</v>
      </c>
      <c r="AA847">
        <v>0</v>
      </c>
      <c r="AB847">
        <v>0</v>
      </c>
      <c r="AC847">
        <v>0</v>
      </c>
      <c r="AD847">
        <v>1</v>
      </c>
      <c r="AE847">
        <v>0</v>
      </c>
      <c r="AF847" t="s">
        <v>6</v>
      </c>
      <c r="AG847">
        <v>0.13</v>
      </c>
      <c r="AH847">
        <v>2</v>
      </c>
      <c r="AI847">
        <v>16633023</v>
      </c>
      <c r="AJ847">
        <v>833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</row>
    <row r="848" spans="1:44" x14ac:dyDescent="0.2">
      <c r="A848">
        <f>ROW(Source!A409)</f>
        <v>409</v>
      </c>
      <c r="B848">
        <v>16633032</v>
      </c>
      <c r="C848">
        <v>16633021</v>
      </c>
      <c r="D848">
        <v>15163011</v>
      </c>
      <c r="E848">
        <v>17</v>
      </c>
      <c r="F848">
        <v>1</v>
      </c>
      <c r="G848">
        <v>1</v>
      </c>
      <c r="H848">
        <v>3</v>
      </c>
      <c r="I848" t="s">
        <v>786</v>
      </c>
      <c r="J848" t="s">
        <v>6</v>
      </c>
      <c r="K848" t="s">
        <v>787</v>
      </c>
      <c r="L848">
        <v>1358</v>
      </c>
      <c r="N848">
        <v>1010</v>
      </c>
      <c r="O848" t="s">
        <v>616</v>
      </c>
      <c r="P848" t="s">
        <v>616</v>
      </c>
      <c r="Q848">
        <v>10</v>
      </c>
      <c r="X848">
        <v>2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 t="s">
        <v>6</v>
      </c>
      <c r="AG848">
        <v>2</v>
      </c>
      <c r="AH848">
        <v>3</v>
      </c>
      <c r="AI848">
        <v>-1</v>
      </c>
      <c r="AJ848" t="s">
        <v>6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</row>
    <row r="849" spans="1:44" x14ac:dyDescent="0.2">
      <c r="A849">
        <f>ROW(Source!A409)</f>
        <v>409</v>
      </c>
      <c r="B849">
        <v>16633033</v>
      </c>
      <c r="C849">
        <v>16633021</v>
      </c>
      <c r="D849">
        <v>15162072</v>
      </c>
      <c r="E849">
        <v>17</v>
      </c>
      <c r="F849">
        <v>1</v>
      </c>
      <c r="G849">
        <v>1</v>
      </c>
      <c r="H849">
        <v>3</v>
      </c>
      <c r="I849" t="s">
        <v>1674</v>
      </c>
      <c r="J849" t="s">
        <v>6</v>
      </c>
      <c r="K849" t="s">
        <v>1675</v>
      </c>
      <c r="L849">
        <v>1348</v>
      </c>
      <c r="N849">
        <v>1009</v>
      </c>
      <c r="O849" t="s">
        <v>98</v>
      </c>
      <c r="P849" t="s">
        <v>98</v>
      </c>
      <c r="Q849">
        <v>1000</v>
      </c>
      <c r="X849">
        <v>1E-4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 t="s">
        <v>6</v>
      </c>
      <c r="AG849">
        <v>1E-4</v>
      </c>
      <c r="AH849">
        <v>3</v>
      </c>
      <c r="AI849">
        <v>-1</v>
      </c>
      <c r="AJ849" t="s">
        <v>6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</row>
    <row r="850" spans="1:44" x14ac:dyDescent="0.2">
      <c r="A850">
        <f>ROW(Source!A409)</f>
        <v>409</v>
      </c>
      <c r="B850">
        <v>16633034</v>
      </c>
      <c r="C850">
        <v>16633021</v>
      </c>
      <c r="D850">
        <v>15203740</v>
      </c>
      <c r="E850">
        <v>1</v>
      </c>
      <c r="F850">
        <v>1</v>
      </c>
      <c r="G850">
        <v>1</v>
      </c>
      <c r="H850">
        <v>3</v>
      </c>
      <c r="I850" t="s">
        <v>1542</v>
      </c>
      <c r="J850" t="s">
        <v>1543</v>
      </c>
      <c r="K850" t="s">
        <v>1544</v>
      </c>
      <c r="L850">
        <v>1348</v>
      </c>
      <c r="N850">
        <v>1009</v>
      </c>
      <c r="O850" t="s">
        <v>98</v>
      </c>
      <c r="P850" t="s">
        <v>98</v>
      </c>
      <c r="Q850">
        <v>1000</v>
      </c>
      <c r="X850">
        <v>2.5999999999999998E-4</v>
      </c>
      <c r="Y850">
        <v>15119</v>
      </c>
      <c r="Z850">
        <v>0</v>
      </c>
      <c r="AA850">
        <v>0</v>
      </c>
      <c r="AB850">
        <v>0</v>
      </c>
      <c r="AC850">
        <v>0</v>
      </c>
      <c r="AD850">
        <v>1</v>
      </c>
      <c r="AE850">
        <v>0</v>
      </c>
      <c r="AF850" t="s">
        <v>6</v>
      </c>
      <c r="AG850">
        <v>2.5999999999999998E-4</v>
      </c>
      <c r="AH850">
        <v>2</v>
      </c>
      <c r="AI850">
        <v>16633024</v>
      </c>
      <c r="AJ850">
        <v>834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</row>
    <row r="851" spans="1:44" x14ac:dyDescent="0.2">
      <c r="A851">
        <f>ROW(Source!A409)</f>
        <v>409</v>
      </c>
      <c r="B851">
        <v>16633035</v>
      </c>
      <c r="C851">
        <v>16633021</v>
      </c>
      <c r="D851">
        <v>15204468</v>
      </c>
      <c r="E851">
        <v>1</v>
      </c>
      <c r="F851">
        <v>1</v>
      </c>
      <c r="G851">
        <v>1</v>
      </c>
      <c r="H851">
        <v>3</v>
      </c>
      <c r="I851" t="s">
        <v>1545</v>
      </c>
      <c r="J851" t="s">
        <v>1546</v>
      </c>
      <c r="K851" t="s">
        <v>1547</v>
      </c>
      <c r="L851">
        <v>1348</v>
      </c>
      <c r="N851">
        <v>1009</v>
      </c>
      <c r="O851" t="s">
        <v>98</v>
      </c>
      <c r="P851" t="s">
        <v>98</v>
      </c>
      <c r="Q851">
        <v>1000</v>
      </c>
      <c r="X851">
        <v>1.2999999999999999E-4</v>
      </c>
      <c r="Y851">
        <v>16950</v>
      </c>
      <c r="Z851">
        <v>0</v>
      </c>
      <c r="AA851">
        <v>0</v>
      </c>
      <c r="AB851">
        <v>0</v>
      </c>
      <c r="AC851">
        <v>0</v>
      </c>
      <c r="AD851">
        <v>1</v>
      </c>
      <c r="AE851">
        <v>0</v>
      </c>
      <c r="AF851" t="s">
        <v>6</v>
      </c>
      <c r="AG851">
        <v>1.2999999999999999E-4</v>
      </c>
      <c r="AH851">
        <v>2</v>
      </c>
      <c r="AI851">
        <v>16633025</v>
      </c>
      <c r="AJ851">
        <v>835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</row>
    <row r="852" spans="1:44" x14ac:dyDescent="0.2">
      <c r="A852">
        <f>ROW(Source!A409)</f>
        <v>409</v>
      </c>
      <c r="B852">
        <v>16633036</v>
      </c>
      <c r="C852">
        <v>16633021</v>
      </c>
      <c r="D852">
        <v>15163207</v>
      </c>
      <c r="E852">
        <v>17</v>
      </c>
      <c r="F852">
        <v>1</v>
      </c>
      <c r="G852">
        <v>1</v>
      </c>
      <c r="H852">
        <v>3</v>
      </c>
      <c r="I852" t="s">
        <v>1756</v>
      </c>
      <c r="J852" t="s">
        <v>6</v>
      </c>
      <c r="K852" t="s">
        <v>1757</v>
      </c>
      <c r="L852">
        <v>1354</v>
      </c>
      <c r="N852">
        <v>1010</v>
      </c>
      <c r="O852" t="s">
        <v>132</v>
      </c>
      <c r="P852" t="s">
        <v>132</v>
      </c>
      <c r="Q852">
        <v>1</v>
      </c>
      <c r="X852">
        <v>10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 t="s">
        <v>6</v>
      </c>
      <c r="AG852">
        <v>10</v>
      </c>
      <c r="AH852">
        <v>3</v>
      </c>
      <c r="AI852">
        <v>-1</v>
      </c>
      <c r="AJ852" t="s">
        <v>6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</row>
    <row r="853" spans="1:44" x14ac:dyDescent="0.2">
      <c r="A853">
        <f>ROW(Source!A414)</f>
        <v>414</v>
      </c>
      <c r="B853">
        <v>16633048</v>
      </c>
      <c r="C853">
        <v>16633041</v>
      </c>
      <c r="D853">
        <v>15478831</v>
      </c>
      <c r="E853">
        <v>1</v>
      </c>
      <c r="F853">
        <v>1</v>
      </c>
      <c r="G853">
        <v>1</v>
      </c>
      <c r="H853">
        <v>1</v>
      </c>
      <c r="I853" t="s">
        <v>1572</v>
      </c>
      <c r="J853" t="s">
        <v>6</v>
      </c>
      <c r="K853" t="s">
        <v>1573</v>
      </c>
      <c r="L853">
        <v>1191</v>
      </c>
      <c r="N853">
        <v>1013</v>
      </c>
      <c r="O853" t="s">
        <v>1148</v>
      </c>
      <c r="P853" t="s">
        <v>1148</v>
      </c>
      <c r="Q853">
        <v>1</v>
      </c>
      <c r="X853">
        <v>5.01</v>
      </c>
      <c r="Y853">
        <v>0</v>
      </c>
      <c r="Z853">
        <v>0</v>
      </c>
      <c r="AA853">
        <v>0</v>
      </c>
      <c r="AB853">
        <v>11.64</v>
      </c>
      <c r="AC853">
        <v>0</v>
      </c>
      <c r="AD853">
        <v>1</v>
      </c>
      <c r="AE853">
        <v>1</v>
      </c>
      <c r="AF853" t="s">
        <v>82</v>
      </c>
      <c r="AG853">
        <v>5.761499999999999</v>
      </c>
      <c r="AH853">
        <v>2</v>
      </c>
      <c r="AI853">
        <v>16633042</v>
      </c>
      <c r="AJ853">
        <v>840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</row>
    <row r="854" spans="1:44" x14ac:dyDescent="0.2">
      <c r="A854">
        <f>ROW(Source!A414)</f>
        <v>414</v>
      </c>
      <c r="B854">
        <v>16633049</v>
      </c>
      <c r="C854">
        <v>16633041</v>
      </c>
      <c r="D854">
        <v>15248793</v>
      </c>
      <c r="E854">
        <v>1</v>
      </c>
      <c r="F854">
        <v>1</v>
      </c>
      <c r="G854">
        <v>1</v>
      </c>
      <c r="H854">
        <v>2</v>
      </c>
      <c r="I854" t="s">
        <v>1548</v>
      </c>
      <c r="J854" t="s">
        <v>1549</v>
      </c>
      <c r="K854" t="s">
        <v>1550</v>
      </c>
      <c r="L854">
        <v>1368</v>
      </c>
      <c r="N854">
        <v>1011</v>
      </c>
      <c r="O854" t="s">
        <v>1154</v>
      </c>
      <c r="P854" t="s">
        <v>1154</v>
      </c>
      <c r="Q854">
        <v>1</v>
      </c>
      <c r="X854">
        <v>1.5</v>
      </c>
      <c r="Y854">
        <v>0</v>
      </c>
      <c r="Z854">
        <v>29.67</v>
      </c>
      <c r="AA854">
        <v>0</v>
      </c>
      <c r="AB854">
        <v>0</v>
      </c>
      <c r="AC854">
        <v>0</v>
      </c>
      <c r="AD854">
        <v>1</v>
      </c>
      <c r="AE854">
        <v>0</v>
      </c>
      <c r="AF854" t="s">
        <v>81</v>
      </c>
      <c r="AG854">
        <v>1.875</v>
      </c>
      <c r="AH854">
        <v>2</v>
      </c>
      <c r="AI854">
        <v>16633043</v>
      </c>
      <c r="AJ854">
        <v>841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</row>
    <row r="855" spans="1:44" x14ac:dyDescent="0.2">
      <c r="A855">
        <f>ROW(Source!A414)</f>
        <v>414</v>
      </c>
      <c r="B855">
        <v>16633050</v>
      </c>
      <c r="C855">
        <v>16633041</v>
      </c>
      <c r="D855">
        <v>15167286</v>
      </c>
      <c r="E855">
        <v>1</v>
      </c>
      <c r="F855">
        <v>1</v>
      </c>
      <c r="G855">
        <v>1</v>
      </c>
      <c r="H855">
        <v>3</v>
      </c>
      <c r="I855" t="s">
        <v>1265</v>
      </c>
      <c r="J855" t="s">
        <v>1266</v>
      </c>
      <c r="K855" t="s">
        <v>1267</v>
      </c>
      <c r="L855">
        <v>1339</v>
      </c>
      <c r="N855">
        <v>1007</v>
      </c>
      <c r="O855" t="s">
        <v>203</v>
      </c>
      <c r="P855" t="s">
        <v>203</v>
      </c>
      <c r="Q855">
        <v>1</v>
      </c>
      <c r="X855">
        <v>1</v>
      </c>
      <c r="Y855">
        <v>2.44</v>
      </c>
      <c r="Z855">
        <v>0</v>
      </c>
      <c r="AA855">
        <v>0</v>
      </c>
      <c r="AB855">
        <v>0</v>
      </c>
      <c r="AC855">
        <v>0</v>
      </c>
      <c r="AD855">
        <v>1</v>
      </c>
      <c r="AE855">
        <v>0</v>
      </c>
      <c r="AF855" t="s">
        <v>6</v>
      </c>
      <c r="AG855">
        <v>1</v>
      </c>
      <c r="AH855">
        <v>2</v>
      </c>
      <c r="AI855">
        <v>16633044</v>
      </c>
      <c r="AJ855">
        <v>842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</row>
    <row r="856" spans="1:44" x14ac:dyDescent="0.2">
      <c r="A856">
        <f>ROW(Source!A414)</f>
        <v>414</v>
      </c>
      <c r="B856">
        <v>16633051</v>
      </c>
      <c r="C856">
        <v>16633041</v>
      </c>
      <c r="D856">
        <v>15167963</v>
      </c>
      <c r="E856">
        <v>1</v>
      </c>
      <c r="F856">
        <v>1</v>
      </c>
      <c r="G856">
        <v>1</v>
      </c>
      <c r="H856">
        <v>3</v>
      </c>
      <c r="I856" t="s">
        <v>1533</v>
      </c>
      <c r="J856" t="s">
        <v>1534</v>
      </c>
      <c r="K856" t="s">
        <v>1535</v>
      </c>
      <c r="L856">
        <v>1346</v>
      </c>
      <c r="N856">
        <v>1009</v>
      </c>
      <c r="O856" t="s">
        <v>102</v>
      </c>
      <c r="P856" t="s">
        <v>102</v>
      </c>
      <c r="Q856">
        <v>1</v>
      </c>
      <c r="X856">
        <v>0.02</v>
      </c>
      <c r="Y856">
        <v>37.29</v>
      </c>
      <c r="Z856">
        <v>0</v>
      </c>
      <c r="AA856">
        <v>0</v>
      </c>
      <c r="AB856">
        <v>0</v>
      </c>
      <c r="AC856">
        <v>0</v>
      </c>
      <c r="AD856">
        <v>1</v>
      </c>
      <c r="AE856">
        <v>0</v>
      </c>
      <c r="AF856" t="s">
        <v>6</v>
      </c>
      <c r="AG856">
        <v>0.02</v>
      </c>
      <c r="AH856">
        <v>2</v>
      </c>
      <c r="AI856">
        <v>16633045</v>
      </c>
      <c r="AJ856">
        <v>843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</row>
    <row r="857" spans="1:44" x14ac:dyDescent="0.2">
      <c r="A857">
        <f>ROW(Source!A414)</f>
        <v>414</v>
      </c>
      <c r="B857">
        <v>16633052</v>
      </c>
      <c r="C857">
        <v>16633041</v>
      </c>
      <c r="D857">
        <v>15203740</v>
      </c>
      <c r="E857">
        <v>1</v>
      </c>
      <c r="F857">
        <v>1</v>
      </c>
      <c r="G857">
        <v>1</v>
      </c>
      <c r="H857">
        <v>3</v>
      </c>
      <c r="I857" t="s">
        <v>1542</v>
      </c>
      <c r="J857" t="s">
        <v>1543</v>
      </c>
      <c r="K857" t="s">
        <v>1544</v>
      </c>
      <c r="L857">
        <v>1348</v>
      </c>
      <c r="N857">
        <v>1009</v>
      </c>
      <c r="O857" t="s">
        <v>98</v>
      </c>
      <c r="P857" t="s">
        <v>98</v>
      </c>
      <c r="Q857">
        <v>1000</v>
      </c>
      <c r="X857">
        <v>5.0000000000000002E-5</v>
      </c>
      <c r="Y857">
        <v>15119</v>
      </c>
      <c r="Z857">
        <v>0</v>
      </c>
      <c r="AA857">
        <v>0</v>
      </c>
      <c r="AB857">
        <v>0</v>
      </c>
      <c r="AC857">
        <v>0</v>
      </c>
      <c r="AD857">
        <v>1</v>
      </c>
      <c r="AE857">
        <v>0</v>
      </c>
      <c r="AF857" t="s">
        <v>6</v>
      </c>
      <c r="AG857">
        <v>5.0000000000000002E-5</v>
      </c>
      <c r="AH857">
        <v>2</v>
      </c>
      <c r="AI857">
        <v>16633046</v>
      </c>
      <c r="AJ857">
        <v>844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</row>
    <row r="858" spans="1:44" x14ac:dyDescent="0.2">
      <c r="A858">
        <f>ROW(Source!A414)</f>
        <v>414</v>
      </c>
      <c r="B858">
        <v>16633053</v>
      </c>
      <c r="C858">
        <v>16633041</v>
      </c>
      <c r="D858">
        <v>15204468</v>
      </c>
      <c r="E858">
        <v>1</v>
      </c>
      <c r="F858">
        <v>1</v>
      </c>
      <c r="G858">
        <v>1</v>
      </c>
      <c r="H858">
        <v>3</v>
      </c>
      <c r="I858" t="s">
        <v>1545</v>
      </c>
      <c r="J858" t="s">
        <v>1546</v>
      </c>
      <c r="K858" t="s">
        <v>1547</v>
      </c>
      <c r="L858">
        <v>1348</v>
      </c>
      <c r="N858">
        <v>1009</v>
      </c>
      <c r="O858" t="s">
        <v>98</v>
      </c>
      <c r="P858" t="s">
        <v>98</v>
      </c>
      <c r="Q858">
        <v>1000</v>
      </c>
      <c r="X858">
        <v>2.0000000000000002E-5</v>
      </c>
      <c r="Y858">
        <v>16950</v>
      </c>
      <c r="Z858">
        <v>0</v>
      </c>
      <c r="AA858">
        <v>0</v>
      </c>
      <c r="AB858">
        <v>0</v>
      </c>
      <c r="AC858">
        <v>0</v>
      </c>
      <c r="AD858">
        <v>1</v>
      </c>
      <c r="AE858">
        <v>0</v>
      </c>
      <c r="AF858" t="s">
        <v>6</v>
      </c>
      <c r="AG858">
        <v>2.0000000000000002E-5</v>
      </c>
      <c r="AH858">
        <v>2</v>
      </c>
      <c r="AI858">
        <v>16633047</v>
      </c>
      <c r="AJ858">
        <v>845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</row>
    <row r="859" spans="1:44" x14ac:dyDescent="0.2">
      <c r="A859">
        <f>ROW(Source!A415)</f>
        <v>415</v>
      </c>
      <c r="B859">
        <v>16633064</v>
      </c>
      <c r="C859">
        <v>16633054</v>
      </c>
      <c r="D859">
        <v>15446300</v>
      </c>
      <c r="E859">
        <v>1</v>
      </c>
      <c r="F859">
        <v>1</v>
      </c>
      <c r="G859">
        <v>1</v>
      </c>
      <c r="H859">
        <v>1</v>
      </c>
      <c r="I859" t="s">
        <v>1220</v>
      </c>
      <c r="J859" t="s">
        <v>6</v>
      </c>
      <c r="K859" t="s">
        <v>1221</v>
      </c>
      <c r="L859">
        <v>1191</v>
      </c>
      <c r="N859">
        <v>1013</v>
      </c>
      <c r="O859" t="s">
        <v>1148</v>
      </c>
      <c r="P859" t="s">
        <v>1148</v>
      </c>
      <c r="Q859">
        <v>1</v>
      </c>
      <c r="X859">
        <v>4.46</v>
      </c>
      <c r="Y859">
        <v>0</v>
      </c>
      <c r="Z859">
        <v>0</v>
      </c>
      <c r="AA859">
        <v>0</v>
      </c>
      <c r="AB859">
        <v>9.92</v>
      </c>
      <c r="AC859">
        <v>0</v>
      </c>
      <c r="AD859">
        <v>1</v>
      </c>
      <c r="AE859">
        <v>1</v>
      </c>
      <c r="AF859" t="s">
        <v>82</v>
      </c>
      <c r="AG859">
        <v>5.1289999999999996</v>
      </c>
      <c r="AH859">
        <v>2</v>
      </c>
      <c r="AI859">
        <v>16633055</v>
      </c>
      <c r="AJ859">
        <v>846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</row>
    <row r="860" spans="1:44" x14ac:dyDescent="0.2">
      <c r="A860">
        <f>ROW(Source!A415)</f>
        <v>415</v>
      </c>
      <c r="B860">
        <v>16633065</v>
      </c>
      <c r="C860">
        <v>16633054</v>
      </c>
      <c r="D860">
        <v>15430395</v>
      </c>
      <c r="E860">
        <v>1</v>
      </c>
      <c r="F860">
        <v>1</v>
      </c>
      <c r="G860">
        <v>1</v>
      </c>
      <c r="H860">
        <v>1</v>
      </c>
      <c r="I860" t="s">
        <v>1149</v>
      </c>
      <c r="J860" t="s">
        <v>6</v>
      </c>
      <c r="K860" t="s">
        <v>1150</v>
      </c>
      <c r="L860">
        <v>1191</v>
      </c>
      <c r="N860">
        <v>1013</v>
      </c>
      <c r="O860" t="s">
        <v>1148</v>
      </c>
      <c r="P860" t="s">
        <v>1148</v>
      </c>
      <c r="Q860">
        <v>1</v>
      </c>
      <c r="X860">
        <v>0.01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1</v>
      </c>
      <c r="AE860">
        <v>2</v>
      </c>
      <c r="AF860" t="s">
        <v>81</v>
      </c>
      <c r="AG860">
        <v>1.2500000000000001E-2</v>
      </c>
      <c r="AH860">
        <v>2</v>
      </c>
      <c r="AI860">
        <v>16633056</v>
      </c>
      <c r="AJ860">
        <v>847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</row>
    <row r="861" spans="1:44" x14ac:dyDescent="0.2">
      <c r="A861">
        <f>ROW(Source!A415)</f>
        <v>415</v>
      </c>
      <c r="B861">
        <v>16633066</v>
      </c>
      <c r="C861">
        <v>16633054</v>
      </c>
      <c r="D861">
        <v>15249073</v>
      </c>
      <c r="E861">
        <v>1</v>
      </c>
      <c r="F861">
        <v>1</v>
      </c>
      <c r="G861">
        <v>1</v>
      </c>
      <c r="H861">
        <v>2</v>
      </c>
      <c r="I861" t="s">
        <v>1157</v>
      </c>
      <c r="J861" t="s">
        <v>1158</v>
      </c>
      <c r="K861" t="s">
        <v>1159</v>
      </c>
      <c r="L861">
        <v>1368</v>
      </c>
      <c r="N861">
        <v>1011</v>
      </c>
      <c r="O861" t="s">
        <v>1154</v>
      </c>
      <c r="P861" t="s">
        <v>1154</v>
      </c>
      <c r="Q861">
        <v>1</v>
      </c>
      <c r="X861">
        <v>0.01</v>
      </c>
      <c r="Y861">
        <v>0</v>
      </c>
      <c r="Z861">
        <v>65.709999999999994</v>
      </c>
      <c r="AA861">
        <v>11.6</v>
      </c>
      <c r="AB861">
        <v>0</v>
      </c>
      <c r="AC861">
        <v>0</v>
      </c>
      <c r="AD861">
        <v>1</v>
      </c>
      <c r="AE861">
        <v>0</v>
      </c>
      <c r="AF861" t="s">
        <v>81</v>
      </c>
      <c r="AG861">
        <v>1.2500000000000001E-2</v>
      </c>
      <c r="AH861">
        <v>2</v>
      </c>
      <c r="AI861">
        <v>16633057</v>
      </c>
      <c r="AJ861">
        <v>848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</row>
    <row r="862" spans="1:44" x14ac:dyDescent="0.2">
      <c r="A862">
        <f>ROW(Source!A415)</f>
        <v>415</v>
      </c>
      <c r="B862">
        <v>16633067</v>
      </c>
      <c r="C862">
        <v>16633054</v>
      </c>
      <c r="D862">
        <v>15249308</v>
      </c>
      <c r="E862">
        <v>1</v>
      </c>
      <c r="F862">
        <v>1</v>
      </c>
      <c r="G862">
        <v>1</v>
      </c>
      <c r="H862">
        <v>2</v>
      </c>
      <c r="I862" t="s">
        <v>1521</v>
      </c>
      <c r="J862" t="s">
        <v>1522</v>
      </c>
      <c r="K862" t="s">
        <v>1523</v>
      </c>
      <c r="L862">
        <v>1368</v>
      </c>
      <c r="N862">
        <v>1011</v>
      </c>
      <c r="O862" t="s">
        <v>1154</v>
      </c>
      <c r="P862" t="s">
        <v>1154</v>
      </c>
      <c r="Q862">
        <v>1</v>
      </c>
      <c r="X862">
        <v>0.49</v>
      </c>
      <c r="Y862">
        <v>0</v>
      </c>
      <c r="Z862">
        <v>1.2</v>
      </c>
      <c r="AA862">
        <v>0</v>
      </c>
      <c r="AB862">
        <v>0</v>
      </c>
      <c r="AC862">
        <v>0</v>
      </c>
      <c r="AD862">
        <v>1</v>
      </c>
      <c r="AE862">
        <v>0</v>
      </c>
      <c r="AF862" t="s">
        <v>81</v>
      </c>
      <c r="AG862">
        <v>0.61250000000000004</v>
      </c>
      <c r="AH862">
        <v>2</v>
      </c>
      <c r="AI862">
        <v>16633058</v>
      </c>
      <c r="AJ862">
        <v>849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</row>
    <row r="863" spans="1:44" x14ac:dyDescent="0.2">
      <c r="A863">
        <f>ROW(Source!A415)</f>
        <v>415</v>
      </c>
      <c r="B863">
        <v>16633068</v>
      </c>
      <c r="C863">
        <v>16633054</v>
      </c>
      <c r="D863">
        <v>15249377</v>
      </c>
      <c r="E863">
        <v>1</v>
      </c>
      <c r="F863">
        <v>1</v>
      </c>
      <c r="G863">
        <v>1</v>
      </c>
      <c r="H863">
        <v>2</v>
      </c>
      <c r="I863" t="s">
        <v>1222</v>
      </c>
      <c r="J863" t="s">
        <v>1223</v>
      </c>
      <c r="K863" t="s">
        <v>1224</v>
      </c>
      <c r="L863">
        <v>1368</v>
      </c>
      <c r="N863">
        <v>1011</v>
      </c>
      <c r="O863" t="s">
        <v>1154</v>
      </c>
      <c r="P863" t="s">
        <v>1154</v>
      </c>
      <c r="Q863">
        <v>1</v>
      </c>
      <c r="X863">
        <v>0.43</v>
      </c>
      <c r="Y863">
        <v>0</v>
      </c>
      <c r="Z863">
        <v>8.1</v>
      </c>
      <c r="AA863">
        <v>0</v>
      </c>
      <c r="AB863">
        <v>0</v>
      </c>
      <c r="AC863">
        <v>0</v>
      </c>
      <c r="AD863">
        <v>1</v>
      </c>
      <c r="AE863">
        <v>0</v>
      </c>
      <c r="AF863" t="s">
        <v>81</v>
      </c>
      <c r="AG863">
        <v>0.53749999999999998</v>
      </c>
      <c r="AH863">
        <v>2</v>
      </c>
      <c r="AI863">
        <v>16633059</v>
      </c>
      <c r="AJ863">
        <v>850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</row>
    <row r="864" spans="1:44" x14ac:dyDescent="0.2">
      <c r="A864">
        <f>ROW(Source!A415)</f>
        <v>415</v>
      </c>
      <c r="B864">
        <v>16633069</v>
      </c>
      <c r="C864">
        <v>16633054</v>
      </c>
      <c r="D864">
        <v>15165634</v>
      </c>
      <c r="E864">
        <v>1</v>
      </c>
      <c r="F864">
        <v>1</v>
      </c>
      <c r="G864">
        <v>1</v>
      </c>
      <c r="H864">
        <v>3</v>
      </c>
      <c r="I864" t="s">
        <v>1524</v>
      </c>
      <c r="J864" t="s">
        <v>1525</v>
      </c>
      <c r="K864" t="s">
        <v>1526</v>
      </c>
      <c r="L864">
        <v>1339</v>
      </c>
      <c r="N864">
        <v>1007</v>
      </c>
      <c r="O864" t="s">
        <v>203</v>
      </c>
      <c r="P864" t="s">
        <v>203</v>
      </c>
      <c r="Q864">
        <v>1</v>
      </c>
      <c r="X864">
        <v>8.3999999999999995E-3</v>
      </c>
      <c r="Y864">
        <v>38.51</v>
      </c>
      <c r="Z864">
        <v>0</v>
      </c>
      <c r="AA864">
        <v>0</v>
      </c>
      <c r="AB864">
        <v>0</v>
      </c>
      <c r="AC864">
        <v>0</v>
      </c>
      <c r="AD864">
        <v>1</v>
      </c>
      <c r="AE864">
        <v>0</v>
      </c>
      <c r="AF864" t="s">
        <v>6</v>
      </c>
      <c r="AG864">
        <v>8.3999999999999995E-3</v>
      </c>
      <c r="AH864">
        <v>2</v>
      </c>
      <c r="AI864">
        <v>16633060</v>
      </c>
      <c r="AJ864">
        <v>851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</row>
    <row r="865" spans="1:44" x14ac:dyDescent="0.2">
      <c r="A865">
        <f>ROW(Source!A415)</f>
        <v>415</v>
      </c>
      <c r="B865">
        <v>16633070</v>
      </c>
      <c r="C865">
        <v>16633054</v>
      </c>
      <c r="D865">
        <v>15165653</v>
      </c>
      <c r="E865">
        <v>1</v>
      </c>
      <c r="F865">
        <v>1</v>
      </c>
      <c r="G865">
        <v>1</v>
      </c>
      <c r="H865">
        <v>3</v>
      </c>
      <c r="I865" t="s">
        <v>1527</v>
      </c>
      <c r="J865" t="s">
        <v>1528</v>
      </c>
      <c r="K865" t="s">
        <v>1529</v>
      </c>
      <c r="L865">
        <v>1339</v>
      </c>
      <c r="N865">
        <v>1007</v>
      </c>
      <c r="O865" t="s">
        <v>203</v>
      </c>
      <c r="P865" t="s">
        <v>203</v>
      </c>
      <c r="Q865">
        <v>1</v>
      </c>
      <c r="X865">
        <v>3.6999999999999998E-2</v>
      </c>
      <c r="Y865">
        <v>6.22</v>
      </c>
      <c r="Z865">
        <v>0</v>
      </c>
      <c r="AA865">
        <v>0</v>
      </c>
      <c r="AB865">
        <v>0</v>
      </c>
      <c r="AC865">
        <v>0</v>
      </c>
      <c r="AD865">
        <v>1</v>
      </c>
      <c r="AE865">
        <v>0</v>
      </c>
      <c r="AF865" t="s">
        <v>6</v>
      </c>
      <c r="AG865">
        <v>3.6999999999999998E-2</v>
      </c>
      <c r="AH865">
        <v>2</v>
      </c>
      <c r="AI865">
        <v>16633061</v>
      </c>
      <c r="AJ865">
        <v>852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</row>
    <row r="866" spans="1:44" x14ac:dyDescent="0.2">
      <c r="A866">
        <f>ROW(Source!A415)</f>
        <v>415</v>
      </c>
      <c r="B866">
        <v>16633071</v>
      </c>
      <c r="C866">
        <v>16633054</v>
      </c>
      <c r="D866">
        <v>15168763</v>
      </c>
      <c r="E866">
        <v>1</v>
      </c>
      <c r="F866">
        <v>1</v>
      </c>
      <c r="G866">
        <v>1</v>
      </c>
      <c r="H866">
        <v>3</v>
      </c>
      <c r="I866" t="s">
        <v>1560</v>
      </c>
      <c r="J866" t="s">
        <v>1561</v>
      </c>
      <c r="K866" t="s">
        <v>1562</v>
      </c>
      <c r="L866">
        <v>1348</v>
      </c>
      <c r="N866">
        <v>1009</v>
      </c>
      <c r="O866" t="s">
        <v>98</v>
      </c>
      <c r="P866" t="s">
        <v>98</v>
      </c>
      <c r="Q866">
        <v>1000</v>
      </c>
      <c r="X866">
        <v>1.4999999999999999E-4</v>
      </c>
      <c r="Y866">
        <v>10362</v>
      </c>
      <c r="Z866">
        <v>0</v>
      </c>
      <c r="AA866">
        <v>0</v>
      </c>
      <c r="AB866">
        <v>0</v>
      </c>
      <c r="AC866">
        <v>0</v>
      </c>
      <c r="AD866">
        <v>1</v>
      </c>
      <c r="AE866">
        <v>0</v>
      </c>
      <c r="AF866" t="s">
        <v>6</v>
      </c>
      <c r="AG866">
        <v>1.4999999999999999E-4</v>
      </c>
      <c r="AH866">
        <v>2</v>
      </c>
      <c r="AI866">
        <v>16633062</v>
      </c>
      <c r="AJ866">
        <v>853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</row>
    <row r="867" spans="1:44" x14ac:dyDescent="0.2">
      <c r="A867">
        <f>ROW(Source!A415)</f>
        <v>415</v>
      </c>
      <c r="B867">
        <v>16633072</v>
      </c>
      <c r="C867">
        <v>16633054</v>
      </c>
      <c r="D867">
        <v>15162883</v>
      </c>
      <c r="E867">
        <v>17</v>
      </c>
      <c r="F867">
        <v>1</v>
      </c>
      <c r="G867">
        <v>1</v>
      </c>
      <c r="H867">
        <v>3</v>
      </c>
      <c r="I867" t="s">
        <v>1715</v>
      </c>
      <c r="J867" t="s">
        <v>6</v>
      </c>
      <c r="K867" t="s">
        <v>1716</v>
      </c>
      <c r="L867">
        <v>1354</v>
      </c>
      <c r="N867">
        <v>1010</v>
      </c>
      <c r="O867" t="s">
        <v>132</v>
      </c>
      <c r="P867" t="s">
        <v>132</v>
      </c>
      <c r="Q867">
        <v>1</v>
      </c>
      <c r="X867">
        <v>1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 t="s">
        <v>6</v>
      </c>
      <c r="AG867">
        <v>1</v>
      </c>
      <c r="AH867">
        <v>3</v>
      </c>
      <c r="AI867">
        <v>-1</v>
      </c>
      <c r="AJ867" t="s">
        <v>6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</row>
    <row r="868" spans="1:44" x14ac:dyDescent="0.2">
      <c r="A868">
        <f>ROW(Source!A415)</f>
        <v>415</v>
      </c>
      <c r="B868">
        <v>16633073</v>
      </c>
      <c r="C868">
        <v>16633054</v>
      </c>
      <c r="D868">
        <v>15227603</v>
      </c>
      <c r="E868">
        <v>1</v>
      </c>
      <c r="F868">
        <v>1</v>
      </c>
      <c r="G868">
        <v>1</v>
      </c>
      <c r="H868">
        <v>3</v>
      </c>
      <c r="I868" t="s">
        <v>1665</v>
      </c>
      <c r="J868" t="s">
        <v>1666</v>
      </c>
      <c r="K868" t="s">
        <v>1667</v>
      </c>
      <c r="L868">
        <v>1301</v>
      </c>
      <c r="N868">
        <v>1003</v>
      </c>
      <c r="O868" t="s">
        <v>150</v>
      </c>
      <c r="P868" t="s">
        <v>150</v>
      </c>
      <c r="Q868">
        <v>1</v>
      </c>
      <c r="X868">
        <v>0.4</v>
      </c>
      <c r="Y868">
        <v>40.5</v>
      </c>
      <c r="Z868">
        <v>0</v>
      </c>
      <c r="AA868">
        <v>0</v>
      </c>
      <c r="AB868">
        <v>0</v>
      </c>
      <c r="AC868">
        <v>0</v>
      </c>
      <c r="AD868">
        <v>1</v>
      </c>
      <c r="AE868">
        <v>0</v>
      </c>
      <c r="AF868" t="s">
        <v>6</v>
      </c>
      <c r="AG868">
        <v>0.4</v>
      </c>
      <c r="AH868">
        <v>2</v>
      </c>
      <c r="AI868">
        <v>16633063</v>
      </c>
      <c r="AJ868">
        <v>854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Смета 12 гр. по ФЕР</vt:lpstr>
      <vt:lpstr>Акт КС-2 c НР и СП</vt:lpstr>
      <vt:lpstr>Макет форма-3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dcterms:created xsi:type="dcterms:W3CDTF">2018-09-25T07:02:04Z</dcterms:created>
  <dcterms:modified xsi:type="dcterms:W3CDTF">2018-10-24T10:37:44Z</dcterms:modified>
</cp:coreProperties>
</file>